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'Прил.3'!$A$1:$H$47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ОБ'!$A$1:$J$63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  <font>
      <name val="Times New Roman"/>
      <charset val="204"/>
      <family val="1"/>
      <color theme="1"/>
      <sz val="12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4" fontId="1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49" fontId="20" fillId="0" borderId="0" pivotButton="0" quotePrefix="0" xfId="0"/>
    <xf numFmtId="49" fontId="16" fillId="0" borderId="0" applyAlignment="1" pivotButton="0" quotePrefix="0" xfId="0">
      <alignment horizontal="left" vertical="center"/>
    </xf>
    <xf numFmtId="2" fontId="20" fillId="0" borderId="0" pivotButton="0" quotePrefix="0" xfId="0"/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right" vertical="center"/>
    </xf>
    <xf numFmtId="49" fontId="1" fillId="0" borderId="1" applyAlignment="1" pivotButton="0" quotePrefix="0" xfId="0">
      <alignment horizontal="center" wrapText="1"/>
    </xf>
    <xf numFmtId="14" fontId="16" fillId="0" borderId="1" pivotButton="0" quotePrefix="0" xfId="0"/>
    <xf numFmtId="0" fontId="1" fillId="0" borderId="1" applyAlignment="1" pivotButton="0" quotePrefix="0" xfId="0">
      <alignment horizontal="left" wrapText="1"/>
    </xf>
    <xf numFmtId="0" fontId="1" fillId="0" borderId="1" applyAlignment="1" pivotButton="0" quotePrefix="0" xfId="0">
      <alignment horizontal="center" wrapText="1"/>
    </xf>
    <xf numFmtId="0" fontId="16" fillId="0" borderId="1" applyAlignment="1" pivotButton="0" quotePrefix="0" xfId="0">
      <alignment vertical="center"/>
    </xf>
    <xf numFmtId="0" fontId="18" fillId="0" borderId="1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/>
    </xf>
    <xf numFmtId="10" fontId="16" fillId="0" borderId="0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left" vertical="center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9" fontId="4" fillId="0" borderId="0" pivotButton="0" quotePrefix="0" xfId="0"/>
    <xf numFmtId="2" fontId="4" fillId="0" borderId="0" pivotButton="0" quotePrefix="0" xfId="0"/>
    <xf numFmtId="4" fontId="4" fillId="0" borderId="0" pivotButton="0" quotePrefix="0" xfId="0"/>
    <xf numFmtId="0" fontId="16" fillId="5" borderId="0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43" fontId="1" fillId="0" borderId="4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5" applyAlignment="1" pivotButton="0" quotePrefix="0" xfId="0">
      <alignment horizontal="right" vertical="center" wrapText="1"/>
    </xf>
    <xf numFmtId="43" fontId="1" fillId="0" borderId="5" applyAlignment="1" pivotButton="0" quotePrefix="0" xfId="0">
      <alignment horizontal="right" vertical="center"/>
    </xf>
    <xf numFmtId="43" fontId="1" fillId="0" borderId="1" pivotButton="0" quotePrefix="0" xfId="0"/>
    <xf numFmtId="4" fontId="1" fillId="0" borderId="1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center" vertical="center"/>
    </xf>
    <xf numFmtId="10" fontId="1" fillId="0" borderId="5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/>
    </xf>
    <xf numFmtId="43" fontId="1" fillId="0" borderId="1" applyAlignment="1" pivotButton="0" quotePrefix="0" xfId="0">
      <alignment horizontal="right" wrapText="1"/>
    </xf>
    <xf numFmtId="43" fontId="20" fillId="0" borderId="1" applyAlignment="1" pivotButton="0" quotePrefix="0" xfId="0">
      <alignment vertical="top"/>
    </xf>
    <xf numFmtId="43" fontId="2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16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4" fontId="20" fillId="0" borderId="2" applyAlignment="1" pivotButton="0" quotePrefix="0" xfId="0">
      <alignment horizontal="right" vertical="center" wrapText="1"/>
    </xf>
    <xf numFmtId="4" fontId="20" fillId="0" borderId="8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" fontId="16" fillId="0" borderId="2" applyAlignment="1" pivotButton="0" quotePrefix="0" xfId="0">
      <alignment horizontal="right" vertical="center"/>
    </xf>
    <xf numFmtId="4" fontId="16" fillId="0" borderId="8" applyAlignment="1" pivotButton="0" quotePrefix="0" xfId="0">
      <alignment horizontal="right" vertical="center"/>
    </xf>
    <xf numFmtId="0" fontId="20" fillId="0" borderId="1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left" vertical="center" wrapText="1"/>
    </xf>
    <xf numFmtId="0" fontId="20" fillId="0" borderId="7" applyAlignment="1" pivotButton="0" quotePrefix="0" xfId="0">
      <alignment horizontal="left" vertical="center" wrapText="1"/>
    </xf>
    <xf numFmtId="0" fontId="20" fillId="0" borderId="8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2" applyAlignment="1" pivotButton="0" quotePrefix="0" xfId="0">
      <alignment vertical="center"/>
    </xf>
    <xf numFmtId="0" fontId="20" fillId="0" borderId="7" applyAlignment="1" pivotButton="0" quotePrefix="0" xfId="0">
      <alignment vertical="center"/>
    </xf>
    <xf numFmtId="0" fontId="20" fillId="0" borderId="8" applyAlignment="1" pivotButton="0" quotePrefix="0" xfId="0">
      <alignment vertical="center"/>
    </xf>
    <xf numFmtId="0" fontId="20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7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32" fillId="0" borderId="0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4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wrapText="1"/>
    </xf>
    <xf numFmtId="43" fontId="20" fillId="0" borderId="1" applyAlignment="1" pivotButton="0" quotePrefix="0" xfId="0">
      <alignment vertical="top"/>
    </xf>
    <xf numFmtId="43" fontId="2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43" fontId="1" fillId="0" borderId="4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3" fontId="1" fillId="0" borderId="5" applyAlignment="1" pivotButton="0" quotePrefix="0" xfId="0">
      <alignment horizontal="right" vertical="center" wrapText="1"/>
    </xf>
    <xf numFmtId="43" fontId="1" fillId="0" borderId="5" applyAlignment="1" pivotButton="0" quotePrefix="0" xfId="0">
      <alignment horizontal="right" vertical="center"/>
    </xf>
    <xf numFmtId="43" fontId="1" fillId="0" borderId="1" pivotButton="0" quotePrefix="0" xfId="0"/>
    <xf numFmtId="167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70" zoomScaleNormal="70" zoomScaleSheetLayoutView="70" workbookViewId="0">
      <selection activeCell="C28" sqref="C28"/>
    </sheetView>
  </sheetViews>
  <sheetFormatPr baseColWidth="8" defaultColWidth="9.140625" defaultRowHeight="15.75"/>
  <cols>
    <col width="9.140625" customWidth="1" style="228" min="1" max="2"/>
    <col width="51.7109375" customWidth="1" style="228" min="3" max="3"/>
    <col width="47" customWidth="1" style="228" min="4" max="4"/>
    <col width="37.42578125" customWidth="1" style="228" min="5" max="5"/>
    <col width="9.140625" customWidth="1" style="228" min="6" max="6"/>
  </cols>
  <sheetData>
    <row r="3">
      <c r="B3" s="250" t="inlineStr">
        <is>
          <t>Приложение № 1</t>
        </is>
      </c>
    </row>
    <row r="4">
      <c r="B4" s="251" t="inlineStr">
        <is>
          <t>Сравнительная таблица отбора объекта-представителя</t>
        </is>
      </c>
    </row>
    <row r="5" ht="84.2" customHeight="1" s="230">
      <c r="B5" s="25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0">
      <c r="B6" s="158" t="n"/>
      <c r="C6" s="158" t="n"/>
      <c r="D6" s="158" t="n"/>
    </row>
    <row r="7" ht="64.5" customHeight="1" s="230">
      <c r="B7" s="252" t="inlineStr">
        <is>
          <t>Наименование разрабатываемого показателя УНЦ - Подготовка и устройство территории ПС (ЗПС) Краснодарский край, Республика Адыгея</t>
        </is>
      </c>
    </row>
    <row r="8" ht="31.7" customHeight="1" s="230">
      <c r="B8" s="132" t="inlineStr">
        <is>
          <t xml:space="preserve">Сопоставимый уровень цен: </t>
        </is>
      </c>
      <c r="C8" s="132" t="n"/>
      <c r="D8" s="242">
        <f>D22</f>
        <v/>
      </c>
    </row>
    <row r="9" ht="15.75" customHeight="1" s="230">
      <c r="B9" s="252" t="inlineStr">
        <is>
          <t>Единица измерения  — 1 м2</t>
        </is>
      </c>
    </row>
    <row r="10">
      <c r="B10" s="252" t="n"/>
    </row>
    <row r="11">
      <c r="B11" s="256" t="inlineStr">
        <is>
          <t>№ п/п</t>
        </is>
      </c>
      <c r="C11" s="256" t="inlineStr">
        <is>
          <t>Параметр</t>
        </is>
      </c>
      <c r="D11" s="256" t="inlineStr">
        <is>
          <t xml:space="preserve">Объект-представитель </t>
        </is>
      </c>
      <c r="E11" s="140" t="n"/>
    </row>
    <row r="12">
      <c r="B12" s="256" t="n">
        <v>1</v>
      </c>
      <c r="C12" s="266" t="inlineStr">
        <is>
          <t>Наименование объекта-представителя</t>
        </is>
      </c>
      <c r="D12" s="256" t="inlineStr">
        <is>
          <t>ПС 330 кВ Кисловодск с заходами ВЛ 330 кВ</t>
        </is>
      </c>
    </row>
    <row r="13">
      <c r="B13" s="256" t="n">
        <v>2</v>
      </c>
      <c r="C13" s="266" t="inlineStr">
        <is>
          <t>Наименование субъекта Российской Федерации</t>
        </is>
      </c>
      <c r="D13" s="256" t="inlineStr">
        <is>
          <t>Ставропольский край</t>
        </is>
      </c>
    </row>
    <row r="14">
      <c r="B14" s="256" t="n">
        <v>3</v>
      </c>
      <c r="C14" s="266" t="inlineStr">
        <is>
          <t>Климатический район и подрайон</t>
        </is>
      </c>
      <c r="D14" s="256" t="inlineStr">
        <is>
          <t>IIIВ</t>
        </is>
      </c>
    </row>
    <row r="15">
      <c r="B15" s="256" t="n">
        <v>4</v>
      </c>
      <c r="C15" s="266" t="inlineStr">
        <is>
          <t>Мощность объекта</t>
        </is>
      </c>
      <c r="D15" s="256" t="n">
        <v>70840</v>
      </c>
    </row>
    <row r="16" ht="63" customHeight="1" s="230">
      <c r="B16" s="256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6" t="inlineStr">
        <is>
          <t>Сваи железобетонные С35-1-12-1</t>
        </is>
      </c>
    </row>
    <row r="17" ht="63" customHeight="1" s="230">
      <c r="B17" s="256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40">
        <f>D18+D19+D20+D21</f>
        <v/>
      </c>
      <c r="E17" s="157" t="n"/>
    </row>
    <row r="18">
      <c r="B18" s="139" t="inlineStr">
        <is>
          <t>6.1</t>
        </is>
      </c>
      <c r="C18" s="266" t="inlineStr">
        <is>
          <t>строительно-монтажные работы</t>
        </is>
      </c>
      <c r="D18" s="240">
        <f>'Прил.2 Расч стоим'!F14</f>
        <v/>
      </c>
    </row>
    <row r="19">
      <c r="B19" s="139" t="inlineStr">
        <is>
          <t>6.2</t>
        </is>
      </c>
      <c r="C19" s="266" t="inlineStr">
        <is>
          <t>оборудование и инвентарь</t>
        </is>
      </c>
      <c r="D19" s="240">
        <f>'Прил.2 Расч стоим'!H14</f>
        <v/>
      </c>
    </row>
    <row r="20">
      <c r="B20" s="139" t="inlineStr">
        <is>
          <t>6.3</t>
        </is>
      </c>
      <c r="C20" s="266" t="inlineStr">
        <is>
          <t>пусконаладочные работы</t>
        </is>
      </c>
      <c r="D20" s="256" t="n">
        <v>0</v>
      </c>
    </row>
    <row r="21">
      <c r="B21" s="139" t="inlineStr">
        <is>
          <t>6.4</t>
        </is>
      </c>
      <c r="C21" s="138" t="inlineStr">
        <is>
          <t>прочие и лимитированные затраты</t>
        </is>
      </c>
      <c r="D21" s="240">
        <f>D18*0.039+(D18*0.039+D18)*0.006</f>
        <v/>
      </c>
    </row>
    <row r="22">
      <c r="B22" s="256" t="n">
        <v>7</v>
      </c>
      <c r="C22" s="138" t="inlineStr">
        <is>
          <t>Сопоставимый уровень цен</t>
        </is>
      </c>
      <c r="D22" s="161" t="inlineStr">
        <is>
          <t>4 кв. 2012 г.</t>
        </is>
      </c>
      <c r="E22" s="136" t="n"/>
    </row>
    <row r="23" ht="78.75" customHeight="1" s="230">
      <c r="B23" s="256" t="n">
        <v>8</v>
      </c>
      <c r="C23" s="13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40">
        <f>D17</f>
        <v/>
      </c>
      <c r="E23" s="157" t="n"/>
    </row>
    <row r="24" ht="31.5" customHeight="1" s="230">
      <c r="B24" s="256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240">
        <f>D23/D15</f>
        <v/>
      </c>
      <c r="E24" s="136" t="n"/>
    </row>
    <row r="25">
      <c r="B25" s="256" t="n">
        <v>10</v>
      </c>
      <c r="C25" s="266" t="inlineStr">
        <is>
          <t>Примечание</t>
        </is>
      </c>
      <c r="D25" s="256" t="n"/>
    </row>
    <row r="26">
      <c r="B26" s="134" t="n"/>
      <c r="C26" s="133" t="n"/>
      <c r="D26" s="133" t="n"/>
    </row>
    <row r="27" ht="37.5" customHeight="1" s="230">
      <c r="B27" s="132" t="n"/>
    </row>
    <row r="28">
      <c r="B28" s="228" t="inlineStr">
        <is>
          <t>Составил ______________________    Д.А. Самуйленко</t>
        </is>
      </c>
    </row>
    <row r="29">
      <c r="B29" s="132" t="inlineStr">
        <is>
          <t xml:space="preserve">                         (подпись, инициалы, фамилия)</t>
        </is>
      </c>
    </row>
    <row r="31">
      <c r="B31" s="228" t="inlineStr">
        <is>
          <t>Проверил ______________________        А.В. Костянецкая</t>
        </is>
      </c>
    </row>
    <row r="32">
      <c r="B32" s="132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M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28" min="1" max="1"/>
    <col width="9.140625" customWidth="1" style="228" min="2" max="2"/>
    <col width="35.28515625" customWidth="1" style="228" min="3" max="3"/>
    <col width="13.85546875" customWidth="1" style="228" min="4" max="4"/>
    <col width="24.85546875" customWidth="1" style="228" min="5" max="5"/>
    <col width="15.5703125" customWidth="1" style="228" min="6" max="6"/>
    <col width="14.85546875" customWidth="1" style="228" min="7" max="7"/>
    <col width="16.7109375" customWidth="1" style="228" min="8" max="8"/>
    <col width="13" customWidth="1" style="228" min="9" max="10"/>
    <col width="18" customWidth="1" style="228" min="11" max="11"/>
    <col width="9.140625" customWidth="1" style="228" min="12" max="12"/>
  </cols>
  <sheetData>
    <row r="3">
      <c r="B3" s="250" t="inlineStr">
        <is>
          <t>Приложение № 2</t>
        </is>
      </c>
      <c r="K3" s="132" t="n"/>
    </row>
    <row r="4">
      <c r="B4" s="251" t="inlineStr">
        <is>
          <t>Расчет стоимости основных видов работ для выбора объекта-представителя</t>
        </is>
      </c>
    </row>
    <row r="5">
      <c r="B5" s="141" t="n"/>
      <c r="C5" s="141" t="n"/>
      <c r="D5" s="141" t="n"/>
      <c r="E5" s="141" t="n"/>
      <c r="F5" s="141" t="n"/>
      <c r="G5" s="141" t="n"/>
      <c r="H5" s="141" t="n"/>
      <c r="I5" s="141" t="n"/>
      <c r="J5" s="141" t="n"/>
      <c r="K5" s="141" t="n"/>
    </row>
    <row r="6" ht="63.75" customHeight="1" s="230">
      <c r="B6" s="257">
        <f>'Прил.1 Сравнит табл'!B7:D7</f>
        <v/>
      </c>
      <c r="K6" s="196" t="n"/>
    </row>
    <row r="7">
      <c r="B7" s="252">
        <f>'Прил.1 Сравнит табл'!B9:D9</f>
        <v/>
      </c>
    </row>
    <row r="8" ht="18.75" customHeight="1" s="230">
      <c r="B8" s="113" t="n"/>
    </row>
    <row r="9" ht="15.75" customHeight="1" s="230">
      <c r="A9" s="228" t="n"/>
      <c r="B9" s="256" t="inlineStr">
        <is>
          <t>№ п/п</t>
        </is>
      </c>
      <c r="C9" s="2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6" t="inlineStr">
        <is>
          <t>Объект-представитель 1</t>
        </is>
      </c>
      <c r="E9" s="362" t="n"/>
      <c r="F9" s="362" t="n"/>
      <c r="G9" s="362" t="n"/>
      <c r="H9" s="362" t="n"/>
      <c r="I9" s="362" t="n"/>
      <c r="J9" s="363" t="n"/>
      <c r="K9" s="228" t="n"/>
      <c r="L9" s="228" t="n"/>
    </row>
    <row r="10" ht="15.75" customHeight="1" s="230">
      <c r="A10" s="228" t="n"/>
      <c r="B10" s="364" t="n"/>
      <c r="C10" s="364" t="n"/>
      <c r="D10" s="256" t="inlineStr">
        <is>
          <t>Номер сметы</t>
        </is>
      </c>
      <c r="E10" s="256" t="inlineStr">
        <is>
          <t>Наименование сметы</t>
        </is>
      </c>
      <c r="F10" s="256" t="inlineStr">
        <is>
          <t>Сметная стоимость в уровне цен 4 кв. 2012 г., тыс. руб.</t>
        </is>
      </c>
      <c r="G10" s="362" t="n"/>
      <c r="H10" s="362" t="n"/>
      <c r="I10" s="362" t="n"/>
      <c r="J10" s="363" t="n"/>
      <c r="K10" s="228" t="n"/>
      <c r="L10" s="228" t="n"/>
    </row>
    <row r="11" ht="31.5" customHeight="1" s="230">
      <c r="A11" s="228" t="n"/>
      <c r="B11" s="365" t="n"/>
      <c r="C11" s="365" t="n"/>
      <c r="D11" s="365" t="n"/>
      <c r="E11" s="365" t="n"/>
      <c r="F11" s="256" t="inlineStr">
        <is>
          <t>Строительные работы</t>
        </is>
      </c>
      <c r="G11" s="256" t="inlineStr">
        <is>
          <t>Монтажные работы</t>
        </is>
      </c>
      <c r="H11" s="256" t="inlineStr">
        <is>
          <t>Оборудование</t>
        </is>
      </c>
      <c r="I11" s="256" t="inlineStr">
        <is>
          <t>Прочее</t>
        </is>
      </c>
      <c r="J11" s="256" t="inlineStr">
        <is>
          <t>Всего</t>
        </is>
      </c>
      <c r="L11" s="228" t="n"/>
    </row>
    <row r="12" ht="31.5" customHeight="1" s="230">
      <c r="A12" s="228" t="n"/>
      <c r="B12" s="231" t="n">
        <v>1</v>
      </c>
      <c r="C12" s="232" t="inlineStr">
        <is>
          <t>Сваи железобетонные С35-1-12-1</t>
        </is>
      </c>
      <c r="D12" s="233" t="n"/>
      <c r="E12" s="266" t="n"/>
      <c r="F12" s="235" t="n">
        <v>77854.627325697</v>
      </c>
      <c r="G12" s="363" t="n"/>
      <c r="H12" s="235" t="n"/>
      <c r="I12" s="235" t="n"/>
      <c r="J12" s="236">
        <f>SUM(F12:I12)</f>
        <v/>
      </c>
      <c r="L12" s="228" t="n"/>
    </row>
    <row r="13" ht="15" customHeight="1" s="230">
      <c r="A13" s="228" t="n"/>
      <c r="B13" s="260" t="inlineStr">
        <is>
          <t>Всего по объекту:</t>
        </is>
      </c>
      <c r="C13" s="362" t="n"/>
      <c r="D13" s="362" t="n"/>
      <c r="E13" s="363" t="n"/>
      <c r="F13" s="238" t="n"/>
      <c r="G13" s="238" t="n"/>
      <c r="H13" s="238" t="n"/>
      <c r="I13" s="238" t="n"/>
      <c r="J13" s="238" t="n"/>
      <c r="K13" s="239" t="n"/>
      <c r="L13" s="228" t="n"/>
    </row>
    <row r="14" ht="15.75" customHeight="1" s="230">
      <c r="A14" s="228" t="n"/>
      <c r="B14" s="260" t="inlineStr">
        <is>
          <t>Всего по объекту в сопоставимом уровне цен 4 кв. 2012 г. :</t>
        </is>
      </c>
      <c r="C14" s="362" t="n"/>
      <c r="D14" s="362" t="n"/>
      <c r="E14" s="363" t="n"/>
      <c r="F14" s="366">
        <f>F12</f>
        <v/>
      </c>
      <c r="G14" s="363" t="n"/>
      <c r="H14" s="238">
        <f>H12</f>
        <v/>
      </c>
      <c r="I14" s="238">
        <f>'Прил.1 Сравнит табл'!D21</f>
        <v/>
      </c>
      <c r="J14" s="238">
        <f>SUM(F14:I14)</f>
        <v/>
      </c>
      <c r="L14" s="228" t="n"/>
    </row>
    <row r="15" ht="15" customHeight="1" s="230"/>
    <row r="16" ht="15" customHeight="1" s="230"/>
    <row r="17" ht="15" customHeight="1" s="230"/>
    <row r="18" ht="15" customHeight="1" s="230">
      <c r="C18" s="218" t="inlineStr">
        <is>
          <t>Составил ______________________     Д.А. Самуйленко</t>
        </is>
      </c>
      <c r="D18" s="219" t="n"/>
      <c r="E18" s="219" t="n"/>
    </row>
    <row r="19" ht="15" customHeight="1" s="230">
      <c r="C19" s="221" t="inlineStr">
        <is>
          <t xml:space="preserve">                         (подпись, инициалы, фамилия)</t>
        </is>
      </c>
      <c r="D19" s="219" t="n"/>
      <c r="E19" s="219" t="n"/>
    </row>
    <row r="20" ht="15" customHeight="1" s="230">
      <c r="C20" s="218" t="n"/>
      <c r="D20" s="219" t="n"/>
      <c r="E20" s="219" t="n"/>
    </row>
    <row r="21" ht="15" customHeight="1" s="230">
      <c r="C21" s="218" t="inlineStr">
        <is>
          <t>Проверил ______________________        А.В. Костянецкая</t>
        </is>
      </c>
      <c r="D21" s="219" t="n"/>
      <c r="E21" s="219" t="n"/>
    </row>
    <row r="22" ht="15" customHeight="1" s="230">
      <c r="C22" s="221" t="inlineStr">
        <is>
          <t xml:space="preserve">                        (подпись, инициалы, фамилия)</t>
        </is>
      </c>
      <c r="D22" s="219" t="n"/>
      <c r="E22" s="219" t="n"/>
    </row>
    <row r="23" ht="15" customHeight="1" s="230"/>
    <row r="24" ht="15" customHeight="1" s="230"/>
    <row r="25" ht="15" customHeight="1" s="230"/>
    <row r="26" ht="15" customHeight="1" s="230"/>
    <row r="27" ht="15" customHeight="1" s="230"/>
    <row r="28" ht="15" customHeight="1" s="23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422"/>
  <sheetViews>
    <sheetView view="pageBreakPreview" topLeftCell="A21" zoomScale="85" workbookViewId="0">
      <selection activeCell="C43" sqref="C43"/>
    </sheetView>
  </sheetViews>
  <sheetFormatPr baseColWidth="8" defaultColWidth="9.140625" defaultRowHeight="15.75"/>
  <cols>
    <col width="9.140625" customWidth="1" style="228" min="1" max="1"/>
    <col width="12.5703125" customWidth="1" style="228" min="2" max="2"/>
    <col width="22.42578125" customWidth="1" style="228" min="3" max="3"/>
    <col width="49.7109375" customWidth="1" style="228" min="4" max="4"/>
    <col width="10.140625" customWidth="1" style="228" min="5" max="5"/>
    <col width="20.7109375" customWidth="1" style="228" min="6" max="6"/>
    <col width="20" customWidth="1" style="228" min="7" max="7"/>
    <col width="16.7109375" customWidth="1" style="228" min="8" max="8"/>
    <col width="9.140625" customWidth="1" style="228" min="9" max="9"/>
    <col width="11.28515625" customWidth="1" style="228" min="10" max="10"/>
    <col width="15" customWidth="1" style="228" min="11" max="11"/>
    <col width="9.140625" customWidth="1" style="228" min="12" max="12"/>
    <col width="13.5703125" customWidth="1" style="228" min="13" max="13"/>
    <col width="9.140625" customWidth="1" style="228" min="14" max="14"/>
  </cols>
  <sheetData>
    <row r="2">
      <c r="A2" s="250" t="inlineStr">
        <is>
          <t xml:space="preserve">Приложение № 3 </t>
        </is>
      </c>
    </row>
    <row r="3">
      <c r="A3" s="251" t="inlineStr">
        <is>
          <t>Объектная ресурсная ведомость</t>
        </is>
      </c>
    </row>
    <row r="4" ht="18.75" customHeight="1" s="230">
      <c r="A4" s="160" t="n"/>
      <c r="B4" s="160" t="n"/>
      <c r="C4" s="27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52" t="n"/>
    </row>
    <row r="6" ht="51" customHeight="1" s="230">
      <c r="A6" s="257" t="inlineStr">
        <is>
          <t>Наименование разрабатываемого показателя УНЦ -  Подготовка и устройство территории ПС (ЗПС) Краснодарский край, Республика Адыгея</t>
        </is>
      </c>
    </row>
    <row r="7" ht="18.75" customHeight="1" s="230">
      <c r="A7" s="257" t="n"/>
      <c r="B7" s="257" t="n"/>
      <c r="C7" s="257" t="n"/>
      <c r="D7" s="257" t="n"/>
      <c r="E7" s="257" t="n"/>
      <c r="F7" s="257" t="n"/>
      <c r="G7" s="257" t="n"/>
      <c r="H7" s="257" t="n"/>
      <c r="I7" s="228" t="n"/>
      <c r="J7" s="228" t="n"/>
      <c r="K7" s="228" t="n"/>
      <c r="L7" s="228" t="n"/>
      <c r="M7" s="228" t="n"/>
      <c r="N7" s="228" t="n"/>
    </row>
    <row r="8">
      <c r="A8" s="142" t="n"/>
      <c r="B8" s="142" t="n"/>
      <c r="C8" s="142" t="n"/>
      <c r="D8" s="142" t="n"/>
      <c r="E8" s="142" t="n"/>
      <c r="F8" s="142" t="n"/>
      <c r="G8" s="142" t="n"/>
      <c r="H8" s="142" t="n"/>
    </row>
    <row r="9" ht="38.25" customHeight="1" s="230">
      <c r="A9" s="256" t="inlineStr">
        <is>
          <t>п/п</t>
        </is>
      </c>
      <c r="B9" s="256" t="inlineStr">
        <is>
          <t>№ЛСР</t>
        </is>
      </c>
      <c r="C9" s="256" t="inlineStr">
        <is>
          <t>Код ресурса</t>
        </is>
      </c>
      <c r="D9" s="256" t="inlineStr">
        <is>
          <t>Наименование ресурса</t>
        </is>
      </c>
      <c r="E9" s="256" t="inlineStr">
        <is>
          <t>Ед. изм.</t>
        </is>
      </c>
      <c r="F9" s="256" t="inlineStr">
        <is>
          <t>Кол-во единиц по данным объекта-представителя</t>
        </is>
      </c>
      <c r="G9" s="256" t="inlineStr">
        <is>
          <t>Сметная стоимость в ценах на 01.01.2000 (руб.)</t>
        </is>
      </c>
      <c r="H9" s="363" t="n"/>
    </row>
    <row r="10" ht="40.7" customHeight="1" s="230">
      <c r="A10" s="365" t="n"/>
      <c r="B10" s="365" t="n"/>
      <c r="C10" s="365" t="n"/>
      <c r="D10" s="365" t="n"/>
      <c r="E10" s="365" t="n"/>
      <c r="F10" s="365" t="n"/>
      <c r="G10" s="256" t="inlineStr">
        <is>
          <t>на ед.изм.</t>
        </is>
      </c>
      <c r="H10" s="256" t="inlineStr">
        <is>
          <t>общая</t>
        </is>
      </c>
    </row>
    <row r="11">
      <c r="A11" s="232" t="n">
        <v>1</v>
      </c>
      <c r="B11" s="232" t="n"/>
      <c r="C11" s="232" t="n">
        <v>2</v>
      </c>
      <c r="D11" s="232" t="inlineStr">
        <is>
          <t>З</t>
        </is>
      </c>
      <c r="E11" s="232" t="n">
        <v>4</v>
      </c>
      <c r="F11" s="232" t="n">
        <v>5</v>
      </c>
      <c r="G11" s="232" t="n">
        <v>6</v>
      </c>
      <c r="H11" s="232" t="n">
        <v>7</v>
      </c>
    </row>
    <row r="12" customFormat="1" s="213">
      <c r="A12" s="264" t="inlineStr">
        <is>
          <t>Затраты труда рабочих</t>
        </is>
      </c>
      <c r="B12" s="362" t="n"/>
      <c r="C12" s="362" t="n"/>
      <c r="D12" s="362" t="n"/>
      <c r="E12" s="363" t="n"/>
      <c r="F12" s="367" t="n">
        <v>10328.42</v>
      </c>
      <c r="G12" s="367" t="n"/>
      <c r="H12" s="367">
        <f>SUM(H13:H16)</f>
        <v/>
      </c>
      <c r="K12" s="171" t="n"/>
      <c r="M12" s="173" t="n"/>
      <c r="N12" s="171" t="n"/>
    </row>
    <row r="13">
      <c r="A13" s="181" t="inlineStr">
        <is>
          <t>1</t>
        </is>
      </c>
      <c r="B13" s="182" t="n"/>
      <c r="C13" s="181" t="inlineStr">
        <is>
          <t>1-3-9</t>
        </is>
      </c>
      <c r="D13" s="183" t="inlineStr">
        <is>
          <t>Затраты труда рабочих (средний разряд работы 3,9)</t>
        </is>
      </c>
      <c r="E13" s="184" t="inlineStr">
        <is>
          <t>чел.-ч</t>
        </is>
      </c>
      <c r="F13" s="163" t="n">
        <v>5202.14</v>
      </c>
      <c r="G13" s="368" t="n">
        <v>9.51</v>
      </c>
      <c r="H13" s="369">
        <f>ROUND(F13*G13,2)</f>
        <v/>
      </c>
      <c r="J13" s="141" t="n"/>
      <c r="K13" s="223" t="n"/>
    </row>
    <row r="14">
      <c r="A14" s="181" t="inlineStr">
        <is>
          <t>2</t>
        </is>
      </c>
      <c r="B14" s="182" t="n"/>
      <c r="C14" s="181" t="inlineStr">
        <is>
          <t>1-4-0</t>
        </is>
      </c>
      <c r="D14" s="183" t="inlineStr">
        <is>
          <t>Затраты труда рабочих (средний разряд работы 4,0)</t>
        </is>
      </c>
      <c r="E14" s="184" t="inlineStr">
        <is>
          <t>чел.-ч</t>
        </is>
      </c>
      <c r="F14" s="163" t="n">
        <v>4878.52</v>
      </c>
      <c r="G14" s="368" t="n">
        <v>9.619999999999999</v>
      </c>
      <c r="H14" s="369">
        <f>ROUND(F14*G14,2)</f>
        <v/>
      </c>
      <c r="J14" s="141" t="n"/>
      <c r="K14" s="223" t="n"/>
    </row>
    <row r="15">
      <c r="A15" s="181" t="inlineStr">
        <is>
          <t>3</t>
        </is>
      </c>
      <c r="B15" s="182" t="n"/>
      <c r="C15" s="181" t="inlineStr">
        <is>
          <t>1-1-5</t>
        </is>
      </c>
      <c r="D15" s="183" t="inlineStr">
        <is>
          <t>Затраты труда рабочих (средний разряд работы 1,5)</t>
        </is>
      </c>
      <c r="E15" s="184" t="inlineStr">
        <is>
          <t>чел.-ч</t>
        </is>
      </c>
      <c r="F15" s="163" t="n">
        <v>246.38</v>
      </c>
      <c r="G15" s="368" t="n">
        <v>7.5</v>
      </c>
      <c r="H15" s="369">
        <f>ROUND(F15*G15,2)</f>
        <v/>
      </c>
      <c r="J15" s="141" t="n"/>
      <c r="K15" s="223" t="n"/>
    </row>
    <row r="16">
      <c r="A16" s="181" t="inlineStr">
        <is>
          <t>4</t>
        </is>
      </c>
      <c r="B16" s="182" t="n"/>
      <c r="C16" s="181" t="inlineStr">
        <is>
          <t>1-2-0</t>
        </is>
      </c>
      <c r="D16" s="183" t="inlineStr">
        <is>
          <t>Затраты труда рабочих (средний разряд работы 2,0)</t>
        </is>
      </c>
      <c r="E16" s="184" t="inlineStr">
        <is>
          <t>чел.-ч</t>
        </is>
      </c>
      <c r="F16" s="163" t="n">
        <v>1.38</v>
      </c>
      <c r="G16" s="368" t="n">
        <v>7.8</v>
      </c>
      <c r="H16" s="369">
        <f>ROUND(F16*G16,2)</f>
        <v/>
      </c>
      <c r="J16" s="141" t="n"/>
      <c r="K16" s="223" t="n"/>
    </row>
    <row r="17" ht="15.75" customHeight="1" s="230">
      <c r="A17" s="270" t="inlineStr">
        <is>
          <t>Затраты труда машинистов</t>
        </is>
      </c>
      <c r="B17" s="362" t="n"/>
      <c r="C17" s="362" t="n"/>
      <c r="D17" s="362" t="n"/>
      <c r="E17" s="363" t="n"/>
      <c r="F17" s="145" t="n"/>
      <c r="G17" s="370" t="n"/>
      <c r="H17" s="367">
        <f>H18</f>
        <v/>
      </c>
      <c r="J17" s="132" t="n"/>
    </row>
    <row r="18">
      <c r="A18" s="277" t="n">
        <v>5</v>
      </c>
      <c r="B18" s="143" t="n"/>
      <c r="C18" s="163" t="n">
        <v>2</v>
      </c>
      <c r="D18" s="280" t="inlineStr">
        <is>
          <t>Затраты труда машинистов</t>
        </is>
      </c>
      <c r="E18" s="277" t="inlineStr">
        <is>
          <t>чел.-ч</t>
        </is>
      </c>
      <c r="F18" s="277" t="n">
        <v>5137.49</v>
      </c>
      <c r="G18" s="299" t="n">
        <v>0</v>
      </c>
      <c r="H18" s="368">
        <f>73301.2+2300.81</f>
        <v/>
      </c>
      <c r="J18" s="132" t="n"/>
    </row>
    <row r="19" customFormat="1" s="213">
      <c r="A19" s="264" t="inlineStr">
        <is>
          <t>Машины и механизмы</t>
        </is>
      </c>
      <c r="B19" s="362" t="n"/>
      <c r="C19" s="362" t="n"/>
      <c r="D19" s="362" t="n"/>
      <c r="E19" s="363" t="n"/>
      <c r="F19" s="145" t="n"/>
      <c r="G19" s="370" t="n"/>
      <c r="H19" s="371">
        <f>SUM(H20:H30)</f>
        <v/>
      </c>
      <c r="J19" s="187" t="n"/>
    </row>
    <row r="20" ht="25.5" customFormat="1" customHeight="1" s="213">
      <c r="A20" s="277" t="n">
        <v>6</v>
      </c>
      <c r="B20" s="265" t="n"/>
      <c r="C20" s="163" t="inlineStr">
        <is>
          <t>91.02.02-003</t>
        </is>
      </c>
      <c r="D20" s="280" t="inlineStr">
        <is>
          <t>Агрегаты копровые без дизель-молота на базе экскаватора с емкостью ковша 1 м3</t>
        </is>
      </c>
      <c r="E20" s="277" t="inlineStr">
        <is>
          <t>маш.час</t>
        </is>
      </c>
      <c r="F20" s="163" t="n">
        <v>1965.25</v>
      </c>
      <c r="G20" s="368" t="n">
        <v>200.67</v>
      </c>
      <c r="H20" s="368">
        <f>ROUND(F20*G20,2)</f>
        <v/>
      </c>
      <c r="J20" s="188" t="n"/>
    </row>
    <row r="21" ht="38.25" customHeight="1" s="230">
      <c r="A21" s="7" t="n">
        <v>7</v>
      </c>
      <c r="B21" s="265" t="n"/>
      <c r="C21" s="163" t="inlineStr">
        <is>
          <t>91.04.01-021</t>
        </is>
      </c>
      <c r="D21" s="280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21" s="277" t="inlineStr">
        <is>
          <t>маш.час</t>
        </is>
      </c>
      <c r="F21" s="163" t="n">
        <v>2441.56</v>
      </c>
      <c r="G21" s="368" t="n">
        <v>87.59999999999999</v>
      </c>
      <c r="H21" s="368">
        <f>ROUND(F21*G21,2)</f>
        <v/>
      </c>
      <c r="I21" s="148" t="n"/>
      <c r="J21" s="188" t="n"/>
      <c r="L21" s="148" t="n"/>
    </row>
    <row r="22">
      <c r="A22" s="277" t="n">
        <v>8</v>
      </c>
      <c r="B22" s="265" t="n"/>
      <c r="C22" s="163" t="inlineStr">
        <is>
          <t>91.02.03-024</t>
        </is>
      </c>
      <c r="D22" s="280" t="inlineStr">
        <is>
          <t>Дизель-молоты 2,5 т</t>
        </is>
      </c>
      <c r="E22" s="277" t="inlineStr">
        <is>
          <t>маш.час</t>
        </is>
      </c>
      <c r="F22" s="163" t="n">
        <v>1965.25</v>
      </c>
      <c r="G22" s="368" t="n">
        <v>70.67</v>
      </c>
      <c r="H22" s="368">
        <f>ROUND(F22*G22,2)</f>
        <v/>
      </c>
      <c r="I22" s="148" t="n"/>
      <c r="J22" s="188" t="n"/>
      <c r="L22" s="148" t="n"/>
    </row>
    <row r="23" ht="25.5" customHeight="1" s="230">
      <c r="A23" s="7" t="n">
        <v>9</v>
      </c>
      <c r="B23" s="265" t="n"/>
      <c r="C23" s="163" t="inlineStr">
        <is>
          <t>91.10.05-001</t>
        </is>
      </c>
      <c r="D23" s="280" t="inlineStr">
        <is>
          <t>Трубоукладчики для труб диаметром 800-1000 мм грузоподъемностью 35 т</t>
        </is>
      </c>
      <c r="E23" s="277" t="inlineStr">
        <is>
          <t>маш.час</t>
        </is>
      </c>
      <c r="F23" s="163" t="n">
        <v>520.21</v>
      </c>
      <c r="G23" s="368" t="n">
        <v>175.35</v>
      </c>
      <c r="H23" s="368">
        <f>ROUND(F23*G23,2)</f>
        <v/>
      </c>
      <c r="I23" s="148" t="n"/>
      <c r="J23" s="188" t="n"/>
      <c r="L23" s="148" t="n"/>
    </row>
    <row r="24">
      <c r="A24" s="7" t="n">
        <v>13</v>
      </c>
      <c r="B24" s="145" t="n"/>
      <c r="C24" s="7" t="inlineStr">
        <is>
          <t>91.14.03-002</t>
        </is>
      </c>
      <c r="D24" s="190" t="inlineStr">
        <is>
          <t>Автомобили-самосвалы, грузоподъемность до 10 т</t>
        </is>
      </c>
      <c r="E24" s="277" t="inlineStr">
        <is>
          <t>маш.час</t>
        </is>
      </c>
      <c r="F24" s="7" t="n">
        <v>170.43</v>
      </c>
      <c r="G24" s="372" t="n">
        <v>87.48999999999999</v>
      </c>
      <c r="H24" s="368">
        <f>ROUND(F24*G24,2)</f>
        <v/>
      </c>
      <c r="I24" s="148" t="n"/>
      <c r="J24" s="188" t="n"/>
      <c r="L24" s="148" t="n"/>
    </row>
    <row r="25">
      <c r="A25" s="277" t="n">
        <v>10</v>
      </c>
      <c r="B25" s="265" t="n"/>
      <c r="C25" s="163" t="inlineStr">
        <is>
          <t>91.14.04-001</t>
        </is>
      </c>
      <c r="D25" s="280" t="inlineStr">
        <is>
          <t>Тягачи седельные, грузоподъемность 12 т</t>
        </is>
      </c>
      <c r="E25" s="277" t="inlineStr">
        <is>
          <t>маш.час</t>
        </is>
      </c>
      <c r="F25" s="163" t="n">
        <v>57.8</v>
      </c>
      <c r="G25" s="368" t="n">
        <v>102.84</v>
      </c>
      <c r="H25" s="368">
        <f>ROUND(F25*G25,2)</f>
        <v/>
      </c>
      <c r="I25" s="148" t="n"/>
      <c r="J25" s="188" t="n"/>
      <c r="L25" s="148" t="n"/>
    </row>
    <row r="26">
      <c r="A26" s="7" t="n">
        <v>11</v>
      </c>
      <c r="B26" s="265" t="n"/>
      <c r="C26" s="163" t="inlineStr">
        <is>
          <t>91.14.02-001</t>
        </is>
      </c>
      <c r="D26" s="280" t="inlineStr">
        <is>
          <t>Автомобили бортовые, грузоподъемность до 5 т</t>
        </is>
      </c>
      <c r="E26" s="277" t="inlineStr">
        <is>
          <t>маш.час</t>
        </is>
      </c>
      <c r="F26" s="163" t="n">
        <v>70.31</v>
      </c>
      <c r="G26" s="368" t="n">
        <v>65.70999999999999</v>
      </c>
      <c r="H26" s="368">
        <f>ROUND(F26*G26,2)</f>
        <v/>
      </c>
      <c r="I26" s="148" t="n"/>
      <c r="J26" s="188" t="n"/>
      <c r="L26" s="148" t="n"/>
    </row>
    <row r="27" ht="25.5" customHeight="1" s="230">
      <c r="A27" s="277" t="n">
        <v>12</v>
      </c>
      <c r="B27" s="265" t="n"/>
      <c r="C27" s="163" t="inlineStr">
        <is>
          <t>91.05.06-012</t>
        </is>
      </c>
      <c r="D27" s="280" t="inlineStr">
        <is>
          <t>Краны на гусеничном ходу при работе на других видах строительства до 16 т</t>
        </is>
      </c>
      <c r="E27" s="277" t="inlineStr">
        <is>
          <t>маш.час</t>
        </is>
      </c>
      <c r="F27" s="163" t="n">
        <v>38.53</v>
      </c>
      <c r="G27" s="368" t="n">
        <v>96.89</v>
      </c>
      <c r="H27" s="368">
        <f>ROUND(F27*G27,2)</f>
        <v/>
      </c>
      <c r="I27" s="148" t="n"/>
      <c r="J27" s="188" t="n"/>
      <c r="L27" s="148" t="n"/>
    </row>
    <row r="28" ht="25.5" customHeight="1" s="230">
      <c r="A28" s="277" t="n">
        <v>14</v>
      </c>
      <c r="B28" s="265" t="n"/>
      <c r="C28" s="163" t="inlineStr">
        <is>
          <t>91.14.05-011</t>
        </is>
      </c>
      <c r="D28" s="280" t="inlineStr">
        <is>
          <t>Полуприцепы общего назначения, грузоподъемность 12 т</t>
        </is>
      </c>
      <c r="E28" s="277" t="inlineStr">
        <is>
          <t>маш.час</t>
        </is>
      </c>
      <c r="F28" s="163" t="n">
        <v>57.8</v>
      </c>
      <c r="G28" s="368" t="n">
        <v>12</v>
      </c>
      <c r="H28" s="368">
        <f>ROUND(F28*G28,2)</f>
        <v/>
      </c>
      <c r="I28" s="148" t="n"/>
      <c r="J28" s="188" t="n"/>
      <c r="L28" s="148" t="n"/>
    </row>
    <row r="29" ht="25.5" customHeight="1" s="230">
      <c r="A29" s="7" t="n">
        <v>15</v>
      </c>
      <c r="B29" s="265" t="n"/>
      <c r="C29" s="163" t="inlineStr">
        <is>
          <t>91.01.01-035</t>
        </is>
      </c>
      <c r="D29" s="280" t="inlineStr">
        <is>
          <t>Бульдозеры при работе на других видах строительства 79 кВт (108 л.с.)</t>
        </is>
      </c>
      <c r="E29" s="277" t="inlineStr">
        <is>
          <t>маш.час</t>
        </is>
      </c>
      <c r="F29" s="163" t="n">
        <v>1.5</v>
      </c>
      <c r="G29" s="368" t="n">
        <v>79.06999999999999</v>
      </c>
      <c r="H29" s="368">
        <f>ROUND(F29*G29,2)</f>
        <v/>
      </c>
      <c r="I29" s="148" t="n"/>
      <c r="J29" s="188" t="n"/>
      <c r="L29" s="148" t="n"/>
    </row>
    <row r="30">
      <c r="A30" s="277" t="n">
        <v>16</v>
      </c>
      <c r="B30" s="265" t="n"/>
      <c r="C30" s="163" t="inlineStr">
        <is>
          <t>91.14.03-001</t>
        </is>
      </c>
      <c r="D30" s="280" t="inlineStr">
        <is>
          <t>Автомобиль-самосвал, грузоподъемность до 7 т</t>
        </is>
      </c>
      <c r="E30" s="277" t="inlineStr">
        <is>
          <t>маш.час</t>
        </is>
      </c>
      <c r="F30" s="163" t="n">
        <v>0.03</v>
      </c>
      <c r="G30" s="368" t="n">
        <v>89.54000000000001</v>
      </c>
      <c r="H30" s="368">
        <f>ROUND(F30*G30,2)</f>
        <v/>
      </c>
      <c r="I30" s="148" t="n"/>
      <c r="J30" s="188" t="n"/>
      <c r="L30" s="148" t="n"/>
    </row>
    <row r="31" ht="15" customHeight="1" s="230">
      <c r="A31" s="270" t="inlineStr">
        <is>
          <t>Оборудование</t>
        </is>
      </c>
      <c r="B31" s="362" t="n"/>
      <c r="C31" s="362" t="n"/>
      <c r="D31" s="362" t="n"/>
      <c r="E31" s="363" t="n"/>
      <c r="F31" s="10" t="n"/>
      <c r="G31" s="367" t="n"/>
      <c r="H31" s="10" t="n">
        <v>0</v>
      </c>
      <c r="J31" s="68" t="n"/>
    </row>
    <row r="32">
      <c r="A32" s="264" t="inlineStr">
        <is>
          <t>Материалы</t>
        </is>
      </c>
      <c r="B32" s="362" t="n"/>
      <c r="C32" s="362" t="n"/>
      <c r="D32" s="362" t="n"/>
      <c r="E32" s="363" t="n"/>
      <c r="F32" s="145" t="n"/>
      <c r="G32" s="370" t="n"/>
      <c r="H32" s="367">
        <f>SUM(H33:H40)</f>
        <v/>
      </c>
      <c r="J32" s="132" t="n"/>
    </row>
    <row r="33" ht="25.5" customHeight="1" s="230">
      <c r="A33" s="7" t="n">
        <v>17</v>
      </c>
      <c r="B33" s="7" t="n"/>
      <c r="C33" s="277" t="inlineStr">
        <is>
          <t>05.1.05.16-0040</t>
        </is>
      </c>
      <c r="D33" s="280" t="inlineStr">
        <is>
          <t>Сваи железобетонные С35-1-12-1 (бетон B22,5, расход арматуры 185 кг)</t>
        </is>
      </c>
      <c r="E33" s="7" t="inlineStr">
        <is>
          <t>м3</t>
        </is>
      </c>
      <c r="F33" s="7" t="n">
        <v>1946</v>
      </c>
      <c r="G33" s="372" t="n">
        <v>5337.26</v>
      </c>
      <c r="H33" s="368">
        <f>G33*F33</f>
        <v/>
      </c>
      <c r="J33" s="188" t="n"/>
    </row>
    <row r="34">
      <c r="A34" s="179" t="n">
        <v>18</v>
      </c>
      <c r="B34" s="143" t="n"/>
      <c r="C34" s="186" t="inlineStr">
        <is>
          <t>01.4.01.10-0016</t>
        </is>
      </c>
      <c r="D34" s="170" t="inlineStr">
        <is>
          <t>Шнек диаметром 135 мм</t>
        </is>
      </c>
      <c r="E34" s="277" t="inlineStr">
        <is>
          <t>шт.</t>
        </is>
      </c>
      <c r="F34" s="163" t="n">
        <v>420.032</v>
      </c>
      <c r="G34" s="368" t="n">
        <v>597</v>
      </c>
      <c r="H34" s="368">
        <f>G34*F34</f>
        <v/>
      </c>
      <c r="J34" s="188" t="n"/>
    </row>
    <row r="35">
      <c r="A35" s="7" t="n">
        <v>19</v>
      </c>
      <c r="B35" s="143" t="n"/>
      <c r="C35" s="186" t="inlineStr">
        <is>
          <t>11.1.03.06-0002</t>
        </is>
      </c>
      <c r="D35" s="170" t="inlineStr">
        <is>
          <t>Доски дубовые II сорта</t>
        </is>
      </c>
      <c r="E35" s="277" t="inlineStr">
        <is>
          <t>м3</t>
        </is>
      </c>
      <c r="F35" s="163" t="n">
        <v>5.78</v>
      </c>
      <c r="G35" s="368" t="n">
        <v>1410</v>
      </c>
      <c r="H35" s="368">
        <f>G35*F35</f>
        <v/>
      </c>
      <c r="J35" s="188" t="n"/>
    </row>
    <row r="36">
      <c r="A36" s="179" t="n">
        <v>20</v>
      </c>
      <c r="B36" s="143" t="n"/>
      <c r="C36" s="186" t="inlineStr">
        <is>
          <t>01.4.01.06-0014</t>
        </is>
      </c>
      <c r="D36" s="170" t="inlineStr">
        <is>
          <t>Коронки буровые типа К-100В</t>
        </is>
      </c>
      <c r="E36" s="277" t="inlineStr">
        <is>
          <t>шт.</t>
        </is>
      </c>
      <c r="F36" s="163" t="n">
        <v>11.333</v>
      </c>
      <c r="G36" s="368" t="n">
        <v>176.51</v>
      </c>
      <c r="H36" s="368">
        <f>G36*F36</f>
        <v/>
      </c>
      <c r="J36" s="188" t="n"/>
    </row>
    <row r="37" ht="63.75" customHeight="1" s="230">
      <c r="A37" s="7" t="n">
        <v>21</v>
      </c>
      <c r="B37" s="143" t="n"/>
      <c r="C37" s="186" t="inlineStr">
        <is>
          <t>07.2.07.12-0003</t>
        </is>
      </c>
      <c r="D37" s="170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37" s="277" t="inlineStr">
        <is>
          <t>т</t>
        </is>
      </c>
      <c r="F37" s="163" t="n">
        <v>0.1156</v>
      </c>
      <c r="G37" s="368" t="n">
        <v>11255</v>
      </c>
      <c r="H37" s="368">
        <f>G37*F37</f>
        <v/>
      </c>
      <c r="J37" s="188" t="n"/>
    </row>
    <row r="38" ht="25.5" customHeight="1" s="230">
      <c r="A38" s="179" t="n">
        <v>22</v>
      </c>
      <c r="B38" s="143" t="n"/>
      <c r="C38" s="163" t="inlineStr">
        <is>
          <t>101-0388</t>
        </is>
      </c>
      <c r="D38" s="170" t="inlineStr">
        <is>
          <t>Краски масляные земляные марки МА-0115 мумия, сурик железный</t>
        </is>
      </c>
      <c r="E38" s="277" t="inlineStr">
        <is>
          <t>т</t>
        </is>
      </c>
      <c r="F38" s="163" t="n">
        <v>0.0385</v>
      </c>
      <c r="G38" s="368" t="n">
        <v>15119</v>
      </c>
      <c r="H38" s="368">
        <f>G38*F38</f>
        <v/>
      </c>
      <c r="J38" s="188" t="n"/>
    </row>
    <row r="39">
      <c r="A39" s="7" t="n">
        <v>23</v>
      </c>
      <c r="B39" s="143" t="n"/>
      <c r="C39" s="163" t="inlineStr">
        <is>
          <t>101-1805</t>
        </is>
      </c>
      <c r="D39" s="170" t="inlineStr">
        <is>
          <t>Гвозди строительные</t>
        </is>
      </c>
      <c r="E39" s="277" t="inlineStr">
        <is>
          <t>т</t>
        </is>
      </c>
      <c r="F39" s="163" t="n">
        <v>0.0385</v>
      </c>
      <c r="G39" s="368" t="n">
        <v>11978</v>
      </c>
      <c r="H39" s="368">
        <f>G39*F39</f>
        <v/>
      </c>
      <c r="J39" s="188" t="n"/>
    </row>
    <row r="40" ht="25.5" customHeight="1" s="230">
      <c r="A40" s="179" t="n">
        <v>24</v>
      </c>
      <c r="B40" s="143" t="n"/>
      <c r="C40" s="163" t="inlineStr">
        <is>
          <t>408-0015</t>
        </is>
      </c>
      <c r="D40" s="170" t="inlineStr">
        <is>
          <t>Щебень из природного камня для строительных работ марка 800, фракция 20-40 мм</t>
        </is>
      </c>
      <c r="E40" s="277" t="inlineStr">
        <is>
          <t>м3</t>
        </is>
      </c>
      <c r="F40" s="163" t="n">
        <v>0.0092</v>
      </c>
      <c r="G40" s="368" t="n">
        <v>108.4</v>
      </c>
      <c r="H40" s="368">
        <f>G40*F40</f>
        <v/>
      </c>
      <c r="J40" s="188" t="n"/>
      <c r="L40" s="148" t="n"/>
    </row>
    <row r="43">
      <c r="B43" s="228" t="inlineStr">
        <is>
          <t>Составил ______________________    Д.А. Самуйленко</t>
        </is>
      </c>
    </row>
    <row r="44">
      <c r="B44" s="132" t="inlineStr">
        <is>
          <t xml:space="preserve">                         (подпись, инициалы, фамилия)</t>
        </is>
      </c>
    </row>
    <row r="46">
      <c r="B46" s="228" t="inlineStr">
        <is>
          <t>Проверил ______________________        А.В. Костянецкая</t>
        </is>
      </c>
    </row>
    <row r="47">
      <c r="B47" s="132" t="inlineStr">
        <is>
          <t xml:space="preserve">                        (подпись, инициалы, фамилия)</t>
        </is>
      </c>
    </row>
    <row r="422">
      <c r="D422" s="361" t="n"/>
    </row>
  </sheetData>
  <mergeCells count="16">
    <mergeCell ref="C9:C10"/>
    <mergeCell ref="B9:B10"/>
    <mergeCell ref="A12:E12"/>
    <mergeCell ref="A3:H3"/>
    <mergeCell ref="D9:D10"/>
    <mergeCell ref="E9:E10"/>
    <mergeCell ref="F9:F10"/>
    <mergeCell ref="A9:A10"/>
    <mergeCell ref="A2:H2"/>
    <mergeCell ref="A19:E19"/>
    <mergeCell ref="A32:E32"/>
    <mergeCell ref="C4:H4"/>
    <mergeCell ref="A31:E31"/>
    <mergeCell ref="G9:H9"/>
    <mergeCell ref="A17:E17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5" workbookViewId="0">
      <selection activeCell="B43" sqref="B43"/>
    </sheetView>
  </sheetViews>
  <sheetFormatPr baseColWidth="8" defaultColWidth="9.140625" defaultRowHeight="15"/>
  <cols>
    <col width="4.140625" customWidth="1" style="230" min="1" max="1"/>
    <col width="36.28515625" customWidth="1" style="230" min="2" max="2"/>
    <col width="18.85546875" customWidth="1" style="230" min="3" max="3"/>
    <col width="18.28515625" customWidth="1" style="230" min="4" max="4"/>
    <col width="18.85546875" customWidth="1" style="230" min="5" max="5"/>
    <col width="13.42578125" customWidth="1" style="230" min="7" max="7"/>
    <col width="13.5703125" customWidth="1" style="230" min="12" max="12"/>
  </cols>
  <sheetData>
    <row r="1">
      <c r="B1" s="218" t="n"/>
      <c r="C1" s="218" t="n"/>
      <c r="D1" s="218" t="n"/>
      <c r="E1" s="218" t="n"/>
    </row>
    <row r="2">
      <c r="B2" s="218" t="n"/>
      <c r="C2" s="218" t="n"/>
      <c r="D2" s="218" t="n"/>
      <c r="E2" s="295" t="inlineStr">
        <is>
          <t>Приложение № 4</t>
        </is>
      </c>
    </row>
    <row r="3">
      <c r="B3" s="218" t="n"/>
      <c r="C3" s="218" t="n"/>
      <c r="D3" s="218" t="n"/>
      <c r="E3" s="218" t="n"/>
    </row>
    <row r="4">
      <c r="B4" s="218" t="n"/>
      <c r="C4" s="218" t="n"/>
      <c r="D4" s="218" t="n"/>
      <c r="E4" s="218" t="n"/>
    </row>
    <row r="5">
      <c r="B5" s="243" t="inlineStr">
        <is>
          <t>Ресурсная модель</t>
        </is>
      </c>
    </row>
    <row r="6">
      <c r="B6" s="156" t="n"/>
      <c r="C6" s="218" t="n"/>
      <c r="D6" s="218" t="n"/>
      <c r="E6" s="218" t="n"/>
    </row>
    <row r="7" ht="55.5" customHeight="1" s="230">
      <c r="B7" s="272" t="inlineStr">
        <is>
          <t>Наименование разрабатываемого показателя УНЦ — Подготовка и устройство территории ПС (ЗПС) Краснодарский край, Республика Адыгея</t>
        </is>
      </c>
    </row>
    <row r="8">
      <c r="B8" s="273" t="inlineStr">
        <is>
          <t>Единица измерения  — 1 м2</t>
        </is>
      </c>
    </row>
    <row r="9">
      <c r="B9" s="156" t="n"/>
      <c r="C9" s="218" t="n"/>
      <c r="D9" s="218" t="n"/>
      <c r="E9" s="218" t="n"/>
    </row>
    <row r="10" ht="51" customHeight="1" s="230">
      <c r="B10" s="277" t="inlineStr">
        <is>
          <t>Наименование</t>
        </is>
      </c>
      <c r="C10" s="277" t="inlineStr">
        <is>
          <t>Сметная стоимость в ценах на 01.01.2023
 (руб.)</t>
        </is>
      </c>
      <c r="D10" s="277" t="inlineStr">
        <is>
          <t>Удельный вес, 
(в СМР)</t>
        </is>
      </c>
      <c r="E10" s="277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50">
        <f>'Прил.5 Расчет СМР и ОБ'!J14</f>
        <v/>
      </c>
      <c r="D11" s="151">
        <f>C11/$C$24</f>
        <v/>
      </c>
      <c r="E11" s="151">
        <f>C11/$C$40</f>
        <v/>
      </c>
    </row>
    <row r="12">
      <c r="B12" s="99" t="inlineStr">
        <is>
          <t>Эксплуатация машин основных</t>
        </is>
      </c>
      <c r="C12" s="150">
        <f>'Прил.5 Расчет СМР и ОБ'!J22</f>
        <v/>
      </c>
      <c r="D12" s="151">
        <f>C12/$C$24</f>
        <v/>
      </c>
      <c r="E12" s="151">
        <f>C12/$C$40</f>
        <v/>
      </c>
    </row>
    <row r="13">
      <c r="B13" s="99" t="inlineStr">
        <is>
          <t>Эксплуатация машин прочих</t>
        </is>
      </c>
      <c r="C13" s="150">
        <f>'Прил.5 Расчет СМР и ОБ'!J31</f>
        <v/>
      </c>
      <c r="D13" s="151">
        <f>C13/$C$24</f>
        <v/>
      </c>
      <c r="E13" s="151">
        <f>C13/$C$40</f>
        <v/>
      </c>
    </row>
    <row r="14">
      <c r="B14" s="99" t="inlineStr">
        <is>
          <t>ЭКСПЛУАТАЦИЯ МАШИН, ВСЕГО:</t>
        </is>
      </c>
      <c r="C14" s="150">
        <f>C13+C12</f>
        <v/>
      </c>
      <c r="D14" s="151">
        <f>C14/$C$24</f>
        <v/>
      </c>
      <c r="E14" s="151">
        <f>C14/$C$40</f>
        <v/>
      </c>
    </row>
    <row r="15">
      <c r="B15" s="99" t="inlineStr">
        <is>
          <t>в том числе зарплата машинистов</t>
        </is>
      </c>
      <c r="C15" s="150">
        <f>'Прил.5 Расчет СМР и ОБ'!J16</f>
        <v/>
      </c>
      <c r="D15" s="151">
        <f>C15/$C$24</f>
        <v/>
      </c>
      <c r="E15" s="151">
        <f>C15/$C$40</f>
        <v/>
      </c>
    </row>
    <row r="16">
      <c r="B16" s="99" t="inlineStr">
        <is>
          <t>Материалы основные</t>
        </is>
      </c>
      <c r="C16" s="150">
        <f>'Прил.5 Расчет СМР и ОБ'!J42</f>
        <v/>
      </c>
      <c r="D16" s="151">
        <f>C16/$C$24</f>
        <v/>
      </c>
      <c r="E16" s="151">
        <f>C16/$C$40</f>
        <v/>
      </c>
    </row>
    <row r="17">
      <c r="B17" s="99" t="inlineStr">
        <is>
          <t>Материалы прочие</t>
        </is>
      </c>
      <c r="C17" s="150">
        <f>'Прил.5 Расчет СМР и ОБ'!J50</f>
        <v/>
      </c>
      <c r="D17" s="151">
        <f>C17/$C$24</f>
        <v/>
      </c>
      <c r="E17" s="151">
        <f>C17/$C$40</f>
        <v/>
      </c>
      <c r="G17" s="373" t="n"/>
    </row>
    <row r="18">
      <c r="B18" s="99" t="inlineStr">
        <is>
          <t>МАТЕРИАЛЫ, ВСЕГО:</t>
        </is>
      </c>
      <c r="C18" s="150">
        <f>C17+C16</f>
        <v/>
      </c>
      <c r="D18" s="151">
        <f>C18/$C$24</f>
        <v/>
      </c>
      <c r="E18" s="151">
        <f>C18/$C$40</f>
        <v/>
      </c>
    </row>
    <row r="19">
      <c r="B19" s="99" t="inlineStr">
        <is>
          <t>ИТОГО</t>
        </is>
      </c>
      <c r="C19" s="150">
        <f>C18+C14+C11</f>
        <v/>
      </c>
      <c r="D19" s="151" t="n"/>
      <c r="E19" s="99" t="n"/>
    </row>
    <row r="20">
      <c r="B20" s="99" t="inlineStr">
        <is>
          <t>Сметная прибыль, руб.</t>
        </is>
      </c>
      <c r="C20" s="150">
        <f>ROUND(C21*(C11+C15),2)</f>
        <v/>
      </c>
      <c r="D20" s="151">
        <f>C20/$C$24</f>
        <v/>
      </c>
      <c r="E20" s="151">
        <f>C20/$C$40</f>
        <v/>
      </c>
    </row>
    <row r="21">
      <c r="B21" s="99" t="inlineStr">
        <is>
          <t>Сметная прибыль, %</t>
        </is>
      </c>
      <c r="C21" s="154">
        <f>'Прил.5 Расчет СМР и ОБ'!D54</f>
        <v/>
      </c>
      <c r="D21" s="151" t="n"/>
      <c r="E21" s="99" t="n"/>
    </row>
    <row r="22">
      <c r="B22" s="99" t="inlineStr">
        <is>
          <t>Накладные расходы, руб.</t>
        </is>
      </c>
      <c r="C22" s="150">
        <f>ROUND(C23*(C11+C15),2)</f>
        <v/>
      </c>
      <c r="D22" s="151">
        <f>C22/$C$24</f>
        <v/>
      </c>
      <c r="E22" s="151">
        <f>C22/$C$40</f>
        <v/>
      </c>
    </row>
    <row r="23">
      <c r="B23" s="99" t="inlineStr">
        <is>
          <t>Накладные расходы, %</t>
        </is>
      </c>
      <c r="C23" s="154">
        <f>'Прил.5 Расчет СМР и ОБ'!D53</f>
        <v/>
      </c>
      <c r="D23" s="151" t="n"/>
      <c r="E23" s="99" t="n"/>
    </row>
    <row r="24">
      <c r="B24" s="99" t="inlineStr">
        <is>
          <t>ВСЕГО СМР с НР и СП</t>
        </is>
      </c>
      <c r="C24" s="150">
        <f>C19+C20+C22</f>
        <v/>
      </c>
      <c r="D24" s="151">
        <f>C24/$C$24</f>
        <v/>
      </c>
      <c r="E24" s="151">
        <f>C24/$C$40</f>
        <v/>
      </c>
    </row>
    <row r="25" ht="25.5" customHeight="1" s="230">
      <c r="B25" s="99" t="inlineStr">
        <is>
          <t>ВСЕГО стоимость оборудования, в том числе</t>
        </is>
      </c>
      <c r="C25" s="150">
        <f>'Прил.5 Расчет СМР и ОБ'!J37</f>
        <v/>
      </c>
      <c r="D25" s="151" t="n"/>
      <c r="E25" s="151">
        <f>C25/$C$40</f>
        <v/>
      </c>
    </row>
    <row r="26" ht="25.5" customHeight="1" s="230">
      <c r="B26" s="99" t="inlineStr">
        <is>
          <t>стоимость оборудования технологического</t>
        </is>
      </c>
      <c r="C26" s="150">
        <f>'Прил.5 Расчет СМР и ОБ'!J38</f>
        <v/>
      </c>
      <c r="D26" s="151" t="n"/>
      <c r="E26" s="151">
        <f>C26/$C$40</f>
        <v/>
      </c>
    </row>
    <row r="27">
      <c r="B27" s="99" t="inlineStr">
        <is>
          <t>ИТОГО (СМР + ОБОРУДОВАНИЕ)</t>
        </is>
      </c>
      <c r="C27" s="153">
        <f>C24+C25</f>
        <v/>
      </c>
      <c r="D27" s="151" t="n"/>
      <c r="E27" s="151">
        <f>C27/$C$40</f>
        <v/>
      </c>
      <c r="G27" s="152" t="n"/>
    </row>
    <row r="28" ht="33" customHeight="1" s="230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 s="230">
      <c r="B29" s="99" t="inlineStr">
        <is>
          <t>Временные здания и сооружения - 3,9%</t>
        </is>
      </c>
      <c r="C29" s="153">
        <f>ROUND(C24*3.9%,2)</f>
        <v/>
      </c>
      <c r="D29" s="99" t="n"/>
      <c r="E29" s="151">
        <f>C29/$C$40</f>
        <v/>
      </c>
    </row>
    <row r="30" ht="38.25" customHeight="1" s="230">
      <c r="B30" s="99" t="inlineStr">
        <is>
          <t>Дополнительные затраты при производстве строительно-монтажных работ в зимнее время - 0,6%</t>
        </is>
      </c>
      <c r="C30" s="153">
        <f>ROUND((C24+C29)*0.6%,2)</f>
        <v/>
      </c>
      <c r="D30" s="99" t="n"/>
      <c r="E30" s="151">
        <f>C30/$C$40</f>
        <v/>
      </c>
    </row>
    <row r="31">
      <c r="B31" s="99" t="inlineStr">
        <is>
          <t>Пусконаладочные работы</t>
        </is>
      </c>
      <c r="C31" s="153" t="n">
        <v>0</v>
      </c>
      <c r="D31" s="99" t="n"/>
      <c r="E31" s="151">
        <f>C31/$C$40</f>
        <v/>
      </c>
    </row>
    <row r="32" ht="25.5" customHeight="1" s="230">
      <c r="B32" s="99" t="inlineStr">
        <is>
          <t>Затраты по перевозке работников к месту работы и обратно</t>
        </is>
      </c>
      <c r="C32" s="153" t="n">
        <v>0</v>
      </c>
      <c r="D32" s="99" t="n"/>
      <c r="E32" s="151">
        <f>C32/$C$40</f>
        <v/>
      </c>
    </row>
    <row r="33" ht="25.5" customHeight="1" s="230">
      <c r="B33" s="99" t="inlineStr">
        <is>
          <t>Затраты, связанные с осуществлением работ вахтовым методом</t>
        </is>
      </c>
      <c r="C33" s="153">
        <f>ROUND(C27*0%,2)</f>
        <v/>
      </c>
      <c r="D33" s="99" t="n"/>
      <c r="E33" s="151">
        <f>C33/$C$40</f>
        <v/>
      </c>
    </row>
    <row r="34" ht="51" customHeight="1" s="230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3" t="n">
        <v>0</v>
      </c>
      <c r="D34" s="99" t="n"/>
      <c r="E34" s="151">
        <f>C34/$C$40</f>
        <v/>
      </c>
    </row>
    <row r="35" ht="76.5" customHeight="1" s="230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3">
        <f>ROUND(C27*0%,2)</f>
        <v/>
      </c>
      <c r="D35" s="99" t="n"/>
      <c r="E35" s="151">
        <f>C35/$C$40</f>
        <v/>
      </c>
    </row>
    <row r="36" ht="25.5" customHeight="1" s="230">
      <c r="B36" s="99" t="inlineStr">
        <is>
          <t>Строительный контроль и содержание службы заказчика - 2,14%</t>
        </is>
      </c>
      <c r="C36" s="153">
        <f>ROUND((C27+C32+C33+C34+C35+C29+C31+C30)*2.14%,2)</f>
        <v/>
      </c>
      <c r="D36" s="99" t="n"/>
      <c r="E36" s="151">
        <f>C36/$C$40</f>
        <v/>
      </c>
      <c r="G36" s="107" t="n"/>
      <c r="L36" s="152" t="n"/>
    </row>
    <row r="37">
      <c r="B37" s="99" t="inlineStr">
        <is>
          <t>Авторский надзор - 0,2%</t>
        </is>
      </c>
      <c r="C37" s="153">
        <f>ROUND((C27+C32+C33+C34+C35+C29+C31+C30)*0.2%,2)</f>
        <v/>
      </c>
      <c r="D37" s="99" t="n"/>
      <c r="E37" s="151">
        <f>C37/$C$40</f>
        <v/>
      </c>
      <c r="G37" s="110" t="n"/>
      <c r="L37" s="152" t="n"/>
    </row>
    <row r="38" ht="38.25" customHeight="1" s="230">
      <c r="B38" s="99" t="inlineStr">
        <is>
          <t>ИТОГО (СМР+ОБОРУДОВАНИЕ+ПРОЧ. ЗАТР., УЧТЕННЫЕ ПОКАЗАТЕЛЕМ)</t>
        </is>
      </c>
      <c r="C38" s="150">
        <f>C27+C32+C33+C34+C35+C29+C31+C30+C36+C37</f>
        <v/>
      </c>
      <c r="D38" s="99" t="n"/>
      <c r="E38" s="151">
        <f>C38/$C$40</f>
        <v/>
      </c>
    </row>
    <row r="39" ht="13.7" customHeight="1" s="230">
      <c r="B39" s="99" t="inlineStr">
        <is>
          <t>Непредвиденные расходы</t>
        </is>
      </c>
      <c r="C39" s="150">
        <f>ROUND(C38*3%,2)</f>
        <v/>
      </c>
      <c r="D39" s="99" t="n"/>
      <c r="E39" s="151">
        <f>C39/$C$38</f>
        <v/>
      </c>
    </row>
    <row r="40">
      <c r="B40" s="99" t="inlineStr">
        <is>
          <t>ВСЕГО:</t>
        </is>
      </c>
      <c r="C40" s="150">
        <f>C39+C38</f>
        <v/>
      </c>
      <c r="D40" s="99" t="n"/>
      <c r="E40" s="151">
        <f>C40/$C$40</f>
        <v/>
      </c>
    </row>
    <row r="41">
      <c r="B41" s="99" t="inlineStr">
        <is>
          <t>ИТОГО ПОКАЗАТЕЛЬ НА ЕД. ИЗМ.</t>
        </is>
      </c>
      <c r="C41" s="150">
        <f>C40/'Прил.5 Расчет СМР и ОБ'!E57</f>
        <v/>
      </c>
      <c r="D41" s="99" t="n"/>
      <c r="E41" s="99" t="n"/>
    </row>
    <row r="42">
      <c r="B42" s="149" t="n"/>
      <c r="C42" s="218" t="n"/>
      <c r="D42" s="218" t="n"/>
      <c r="E42" s="218" t="n"/>
    </row>
    <row r="43">
      <c r="B43" s="149" t="inlineStr">
        <is>
          <t>Составил ____________________________  Д.А. Самуйленко</t>
        </is>
      </c>
      <c r="C43" s="218" t="n"/>
      <c r="D43" s="218" t="n"/>
      <c r="E43" s="218" t="n"/>
    </row>
    <row r="44">
      <c r="B44" s="149" t="inlineStr">
        <is>
          <t xml:space="preserve">(должность, подпись, инициалы, фамилия) </t>
        </is>
      </c>
      <c r="C44" s="218" t="n"/>
      <c r="D44" s="218" t="n"/>
      <c r="E44" s="218" t="n"/>
    </row>
    <row r="45">
      <c r="B45" s="149" t="n"/>
      <c r="C45" s="218" t="n"/>
      <c r="D45" s="218" t="n"/>
      <c r="E45" s="218" t="n"/>
    </row>
    <row r="46">
      <c r="B46" s="149" t="inlineStr">
        <is>
          <t>Проверил ____________________________ А.В. Костянецкая</t>
        </is>
      </c>
      <c r="C46" s="218" t="n"/>
      <c r="D46" s="218" t="n"/>
      <c r="E46" s="218" t="n"/>
    </row>
    <row r="47">
      <c r="B47" s="273" t="inlineStr">
        <is>
          <t>(должность, подпись, инициалы, фамилия)</t>
        </is>
      </c>
      <c r="D47" s="218" t="n"/>
      <c r="E47" s="218" t="n"/>
    </row>
    <row r="49">
      <c r="B49" s="218" t="n"/>
      <c r="C49" s="218" t="n"/>
      <c r="D49" s="218" t="n"/>
      <c r="E49" s="218" t="n"/>
    </row>
    <row r="50">
      <c r="B50" s="218" t="n"/>
      <c r="C50" s="218" t="n"/>
      <c r="D50" s="218" t="n"/>
      <c r="E50" s="21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3"/>
  <sheetViews>
    <sheetView view="pageBreakPreview" zoomScale="85" workbookViewId="0">
      <selection activeCell="H53" sqref="H53"/>
    </sheetView>
  </sheetViews>
  <sheetFormatPr baseColWidth="8" defaultColWidth="9.140625" defaultRowHeight="15" outlineLevelRow="2"/>
  <cols>
    <col width="5.7109375" customWidth="1" style="219" min="1" max="1"/>
    <col width="22.5703125" customWidth="1" style="219" min="2" max="2"/>
    <col width="39.28515625" customWidth="1" style="219" min="3" max="3"/>
    <col width="13.5703125" customWidth="1" style="219" min="4" max="4"/>
    <col width="12.7109375" customWidth="1" style="219" min="5" max="5"/>
    <col width="14.5703125" customWidth="1" style="219" min="6" max="6"/>
    <col width="13.42578125" customWidth="1" style="219" min="7" max="7"/>
    <col width="12.7109375" customWidth="1" style="219" min="8" max="8"/>
    <col width="13.85546875" customWidth="1" style="219" min="9" max="9"/>
    <col width="17.5703125" customWidth="1" style="219" min="10" max="10"/>
    <col width="10.85546875" customWidth="1" style="219" min="11" max="11"/>
    <col width="13.85546875" customWidth="1" style="219" min="12" max="12"/>
  </cols>
  <sheetData>
    <row r="1">
      <c r="M1" s="219" t="n"/>
      <c r="N1" s="219" t="n"/>
    </row>
    <row r="2" ht="15.75" customHeight="1" s="230">
      <c r="H2" s="274" t="inlineStr">
        <is>
          <t>Приложение №5</t>
        </is>
      </c>
      <c r="M2" s="219" t="n"/>
      <c r="N2" s="219" t="n"/>
    </row>
    <row r="3">
      <c r="M3" s="219" t="n"/>
      <c r="N3" s="219" t="n"/>
    </row>
    <row r="4" ht="12.75" customFormat="1" customHeight="1" s="218">
      <c r="A4" s="243" t="inlineStr">
        <is>
          <t>Расчет стоимости СМР и оборудования</t>
        </is>
      </c>
    </row>
    <row r="5" ht="12.75" customFormat="1" customHeight="1" s="218">
      <c r="A5" s="243" t="n"/>
      <c r="B5" s="243" t="n"/>
      <c r="C5" s="303" t="n"/>
      <c r="D5" s="243" t="n"/>
      <c r="E5" s="243" t="n"/>
      <c r="F5" s="243" t="n"/>
      <c r="G5" s="243" t="n"/>
      <c r="H5" s="243" t="n"/>
      <c r="I5" s="243" t="n"/>
      <c r="J5" s="243" t="n"/>
    </row>
    <row r="6" ht="37.5" customFormat="1" customHeight="1" s="218">
      <c r="A6" s="129" t="inlineStr">
        <is>
          <t>Наименование разрабатываемого показателя УНЦ</t>
        </is>
      </c>
      <c r="B6" s="128" t="n"/>
      <c r="C6" s="128" t="n"/>
      <c r="D6" s="246" t="inlineStr">
        <is>
          <t>Подготовка и устройство территории ПС (ЗПС) Краснодарский край, Республика Адыгея</t>
        </is>
      </c>
    </row>
    <row r="7" ht="12.75" customFormat="1" customHeight="1" s="218">
      <c r="A7" s="246" t="inlineStr">
        <is>
          <t>Единица измерения  — 1 м2</t>
        </is>
      </c>
      <c r="I7" s="272" t="n"/>
      <c r="J7" s="272" t="n"/>
    </row>
    <row r="8" ht="13.7" customFormat="1" customHeight="1" s="218">
      <c r="A8" s="246" t="n"/>
    </row>
    <row r="9" ht="27" customHeight="1" s="230">
      <c r="A9" s="277" t="inlineStr">
        <is>
          <t>№ пп.</t>
        </is>
      </c>
      <c r="B9" s="277" t="inlineStr">
        <is>
          <t>Код ресурса</t>
        </is>
      </c>
      <c r="C9" s="277" t="inlineStr">
        <is>
          <t>Наименование</t>
        </is>
      </c>
      <c r="D9" s="277" t="inlineStr">
        <is>
          <t>Ед. изм.</t>
        </is>
      </c>
      <c r="E9" s="277" t="inlineStr">
        <is>
          <t>Кол-во единиц по проектным данным</t>
        </is>
      </c>
      <c r="F9" s="277" t="inlineStr">
        <is>
          <t>Сметная стоимость в ценах на 01.01.2000 (руб.)</t>
        </is>
      </c>
      <c r="G9" s="363" t="n"/>
      <c r="H9" s="277" t="inlineStr">
        <is>
          <t>Удельный вес, %</t>
        </is>
      </c>
      <c r="I9" s="277" t="inlineStr">
        <is>
          <t>Сметная стоимость в ценах на 01.01.2023 (руб.)</t>
        </is>
      </c>
      <c r="J9" s="363" t="n"/>
      <c r="M9" s="219" t="n"/>
      <c r="N9" s="219" t="n"/>
    </row>
    <row r="10" ht="28.5" customHeight="1" s="230">
      <c r="A10" s="365" t="n"/>
      <c r="B10" s="365" t="n"/>
      <c r="C10" s="365" t="n"/>
      <c r="D10" s="365" t="n"/>
      <c r="E10" s="365" t="n"/>
      <c r="F10" s="277" t="inlineStr">
        <is>
          <t>на ед. изм.</t>
        </is>
      </c>
      <c r="G10" s="277" t="inlineStr">
        <is>
          <t>общая</t>
        </is>
      </c>
      <c r="H10" s="365" t="n"/>
      <c r="I10" s="277" t="inlineStr">
        <is>
          <t>на ед. изм.</t>
        </is>
      </c>
      <c r="J10" s="277" t="inlineStr">
        <is>
          <t>общая</t>
        </is>
      </c>
      <c r="M10" s="219" t="n"/>
      <c r="N10" s="219" t="n"/>
    </row>
    <row r="11">
      <c r="A11" s="277" t="n">
        <v>1</v>
      </c>
      <c r="B11" s="277" t="n">
        <v>2</v>
      </c>
      <c r="C11" s="277" t="n">
        <v>3</v>
      </c>
      <c r="D11" s="277" t="n">
        <v>4</v>
      </c>
      <c r="E11" s="277" t="n">
        <v>5</v>
      </c>
      <c r="F11" s="277" t="n">
        <v>6</v>
      </c>
      <c r="G11" s="277" t="n">
        <v>7</v>
      </c>
      <c r="H11" s="277" t="n">
        <v>8</v>
      </c>
      <c r="I11" s="278" t="n">
        <v>9</v>
      </c>
      <c r="J11" s="278" t="n">
        <v>10</v>
      </c>
      <c r="M11" s="219" t="n"/>
      <c r="N11" s="219" t="n"/>
    </row>
    <row r="12">
      <c r="A12" s="277" t="n"/>
      <c r="B12" s="284" t="inlineStr">
        <is>
          <t>Затраты труда рабочих-строителей</t>
        </is>
      </c>
      <c r="C12" s="362" t="n"/>
      <c r="D12" s="362" t="n"/>
      <c r="E12" s="362" t="n"/>
      <c r="F12" s="362" t="n"/>
      <c r="G12" s="362" t="n"/>
      <c r="H12" s="363" t="n"/>
      <c r="I12" s="120" t="n"/>
      <c r="J12" s="120" t="n"/>
    </row>
    <row r="13" ht="25.5" customHeight="1" s="230">
      <c r="A13" s="277" t="n">
        <v>1</v>
      </c>
      <c r="B13" s="163" t="inlineStr">
        <is>
          <t>1-3-9</t>
        </is>
      </c>
      <c r="C13" s="280" t="inlineStr">
        <is>
          <t>Затраты труда рабочих (средний разряд работы 3,9)</t>
        </is>
      </c>
      <c r="D13" s="277" t="inlineStr">
        <is>
          <t>чел.-ч</t>
        </is>
      </c>
      <c r="E13" s="281">
        <f>G13/F13</f>
        <v/>
      </c>
      <c r="F13" s="281" t="n">
        <v>9.51</v>
      </c>
      <c r="G13" s="368" t="n">
        <v>98262.32000000001</v>
      </c>
      <c r="H13" s="283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219">
      <c r="A14" s="277" t="n"/>
      <c r="B14" s="277" t="n"/>
      <c r="C14" s="284" t="inlineStr">
        <is>
          <t>Итого по разделу "Затраты труда рабочих-строителей"</t>
        </is>
      </c>
      <c r="D14" s="277" t="inlineStr">
        <is>
          <t>чел.-ч.</t>
        </is>
      </c>
      <c r="E14" s="281">
        <f>SUM(E13)</f>
        <v/>
      </c>
      <c r="F14" s="282" t="n"/>
      <c r="G14" s="368">
        <f>SUM(G13)</f>
        <v/>
      </c>
      <c r="H14" s="285" t="n">
        <v>1</v>
      </c>
      <c r="I14" s="189" t="n"/>
      <c r="J14" s="26">
        <f>SUM(J13)</f>
        <v/>
      </c>
    </row>
    <row r="15" ht="14.25" customFormat="1" customHeight="1" s="219">
      <c r="A15" s="277" t="n"/>
      <c r="B15" s="280" t="inlineStr">
        <is>
          <t>Затраты труда машинистов</t>
        </is>
      </c>
      <c r="C15" s="362" t="n"/>
      <c r="D15" s="362" t="n"/>
      <c r="E15" s="362" t="n"/>
      <c r="F15" s="362" t="n"/>
      <c r="G15" s="362" t="n"/>
      <c r="H15" s="363" t="n"/>
      <c r="I15" s="120" t="n"/>
      <c r="J15" s="120" t="n"/>
    </row>
    <row r="16" ht="14.25" customFormat="1" customHeight="1" s="219">
      <c r="A16" s="277" t="n">
        <v>2</v>
      </c>
      <c r="B16" s="277" t="n">
        <v>2</v>
      </c>
      <c r="C16" s="280" t="inlineStr">
        <is>
          <t>Затраты труда машинистов</t>
        </is>
      </c>
      <c r="D16" s="277" t="inlineStr">
        <is>
          <t>чел.-ч.</t>
        </is>
      </c>
      <c r="E16" s="277" t="n">
        <v>5137.49</v>
      </c>
      <c r="F16" s="203">
        <f>G16/E16</f>
        <v/>
      </c>
      <c r="G16" s="368" t="n">
        <v>75602.00999999999</v>
      </c>
      <c r="H16" s="285" t="n">
        <v>1</v>
      </c>
      <c r="I16" s="26">
        <f>ROUND(F16*Прил.10!$D$11,2)</f>
        <v/>
      </c>
      <c r="J16" s="26">
        <f>ROUND(I16*E16,2)</f>
        <v/>
      </c>
      <c r="K16" s="193" t="n"/>
      <c r="L16" s="194" t="n"/>
    </row>
    <row r="17" ht="14.25" customFormat="1" customHeight="1" s="219">
      <c r="A17" s="277" t="n"/>
      <c r="B17" s="284" t="inlineStr">
        <is>
          <t>Машины и механизмы</t>
        </is>
      </c>
      <c r="C17" s="362" t="n"/>
      <c r="D17" s="362" t="n"/>
      <c r="E17" s="362" t="n"/>
      <c r="F17" s="362" t="n"/>
      <c r="G17" s="362" t="n"/>
      <c r="H17" s="363" t="n"/>
      <c r="I17" s="120" t="n"/>
      <c r="J17" s="120" t="n"/>
    </row>
    <row r="18" ht="14.25" customFormat="1" customHeight="1" s="219">
      <c r="A18" s="278" t="n"/>
      <c r="B18" s="286" t="inlineStr">
        <is>
          <t>Основные машины и механизмы</t>
        </is>
      </c>
      <c r="C18" s="374" t="n"/>
      <c r="D18" s="374" t="n"/>
      <c r="E18" s="374" t="n"/>
      <c r="F18" s="374" t="n"/>
      <c r="G18" s="374" t="n"/>
      <c r="H18" s="375" t="n"/>
      <c r="I18" s="174" t="n"/>
      <c r="J18" s="174" t="n"/>
    </row>
    <row r="19" ht="25.5" customFormat="1" customHeight="1" s="219">
      <c r="A19" s="277" t="n">
        <v>3</v>
      </c>
      <c r="B19" s="163" t="inlineStr">
        <is>
          <t>91.02.02-003</t>
        </is>
      </c>
      <c r="C19" s="280" t="inlineStr">
        <is>
          <t>Агрегаты копровые без дизель-молота на базе экскаватора с емкостью ковша 1 м3</t>
        </is>
      </c>
      <c r="D19" s="277" t="inlineStr">
        <is>
          <t>маш.час</t>
        </is>
      </c>
      <c r="E19" s="281" t="n">
        <v>1965.25</v>
      </c>
      <c r="F19" s="281" t="n">
        <v>200.67</v>
      </c>
      <c r="G19" s="368">
        <f>ROUND(E19*F19,2)</f>
        <v/>
      </c>
      <c r="H19" s="283">
        <f>G19/$G$32</f>
        <v/>
      </c>
      <c r="I19" s="26">
        <f>ROUND(F19*Прил.10!$D$12,2)</f>
        <v/>
      </c>
      <c r="J19" s="26">
        <f>ROUND(I19*E19,2)</f>
        <v/>
      </c>
    </row>
    <row r="20" ht="51" customFormat="1" customHeight="1" s="219">
      <c r="A20" s="277" t="n">
        <v>4</v>
      </c>
      <c r="B20" s="163" t="inlineStr">
        <is>
          <t>91.04.01-021</t>
        </is>
      </c>
      <c r="C20" s="280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0" s="277" t="inlineStr">
        <is>
          <t>маш.час</t>
        </is>
      </c>
      <c r="E20" s="281" t="n">
        <v>2441.56</v>
      </c>
      <c r="F20" s="281" t="n">
        <v>87.59999999999999</v>
      </c>
      <c r="G20" s="368">
        <f>ROUND(E20*F20,2)</f>
        <v/>
      </c>
      <c r="H20" s="283">
        <f>G20/$G$32</f>
        <v/>
      </c>
      <c r="I20" s="26">
        <f>ROUND(F20*Прил.10!$D$12,2)</f>
        <v/>
      </c>
      <c r="J20" s="26">
        <f>ROUND(I20*E20,2)</f>
        <v/>
      </c>
    </row>
    <row r="21" ht="14.25" customFormat="1" customHeight="1" s="219">
      <c r="A21" s="277" t="n">
        <v>5</v>
      </c>
      <c r="B21" s="163" t="inlineStr">
        <is>
          <t>91.02.03-024</t>
        </is>
      </c>
      <c r="C21" s="280" t="inlineStr">
        <is>
          <t>Дизель-молоты 2,5 т</t>
        </is>
      </c>
      <c r="D21" s="277" t="inlineStr">
        <is>
          <t>маш.час</t>
        </is>
      </c>
      <c r="E21" s="281" t="n">
        <v>1965.25</v>
      </c>
      <c r="F21" s="281" t="n">
        <v>70.67</v>
      </c>
      <c r="G21" s="368">
        <f>ROUND(E21*F21,2)</f>
        <v/>
      </c>
      <c r="H21" s="283">
        <f>G21/$G$32</f>
        <v/>
      </c>
      <c r="I21" s="26">
        <f>ROUND(F21*Прил.10!$D$12,2)</f>
        <v/>
      </c>
      <c r="J21" s="26">
        <f>ROUND(I21*E21,2)</f>
        <v/>
      </c>
    </row>
    <row r="22" ht="14.25" customFormat="1" customHeight="1" s="219">
      <c r="A22" s="277" t="n"/>
      <c r="B22" s="163" t="n"/>
      <c r="C22" s="170" t="inlineStr">
        <is>
          <t>Итого основные машины и механизмы</t>
        </is>
      </c>
      <c r="D22" s="277" t="n"/>
      <c r="E22" s="281" t="n"/>
      <c r="F22" s="282" t="n"/>
      <c r="G22" s="368">
        <f>SUM(G19:G21)</f>
        <v/>
      </c>
      <c r="H22" s="283">
        <f>G22/G32</f>
        <v/>
      </c>
      <c r="I22" s="26" t="n"/>
      <c r="J22" s="26">
        <f>SUM(J19:J21)</f>
        <v/>
      </c>
    </row>
    <row r="23" hidden="1" outlineLevel="1" ht="25.5" customFormat="1" customHeight="1" s="219">
      <c r="A23" s="277" t="n">
        <v>6</v>
      </c>
      <c r="B23" s="163" t="inlineStr">
        <is>
          <t>91.10.05-001</t>
        </is>
      </c>
      <c r="C23" s="280" t="inlineStr">
        <is>
          <t>Трубоукладчики для труб диаметром 800-1000 мм грузоподъемностью 35 т</t>
        </is>
      </c>
      <c r="D23" s="277" t="inlineStr">
        <is>
          <t>маш.час</t>
        </is>
      </c>
      <c r="E23" s="281" t="n">
        <v>520.21</v>
      </c>
      <c r="F23" s="281" t="n">
        <v>175.35</v>
      </c>
      <c r="G23" s="368">
        <f>ROUND(E23*F23,2)</f>
        <v/>
      </c>
      <c r="H23" s="283">
        <f>G23/$G$32</f>
        <v/>
      </c>
      <c r="I23" s="26">
        <f>ROUND(F23*Прил.10!$D$12,2)</f>
        <v/>
      </c>
      <c r="J23" s="26">
        <f>ROUND(I23*E23,2)</f>
        <v/>
      </c>
    </row>
    <row r="24" hidden="1" outlineLevel="1" ht="25.5" customFormat="1" customHeight="1" s="219">
      <c r="A24" s="277" t="n">
        <v>10</v>
      </c>
      <c r="B24" s="7" t="inlineStr">
        <is>
          <t>91.14.03-002</t>
        </is>
      </c>
      <c r="C24" s="280" t="inlineStr">
        <is>
          <t>Автомобили-самосвалы, грузоподъемность до 10 т</t>
        </is>
      </c>
      <c r="D24" s="277" t="inlineStr">
        <is>
          <t>маш.час</t>
        </is>
      </c>
      <c r="E24" s="207" t="n">
        <v>170.43</v>
      </c>
      <c r="F24" s="207" t="n">
        <v>87.48999999999999</v>
      </c>
      <c r="G24" s="368">
        <f>ROUND(E24*F24,2)</f>
        <v/>
      </c>
      <c r="H24" s="283">
        <f>G24/$G$32</f>
        <v/>
      </c>
      <c r="I24" s="26">
        <f>ROUND(F24*Прил.10!$D$12,2)</f>
        <v/>
      </c>
      <c r="J24" s="26">
        <f>ROUND(I24*E24,2)</f>
        <v/>
      </c>
    </row>
    <row r="25" hidden="1" outlineLevel="1" ht="14.25" customFormat="1" customHeight="1" s="219">
      <c r="A25" s="277" t="n">
        <v>7</v>
      </c>
      <c r="B25" s="163" t="inlineStr">
        <is>
          <t>91.14.04-001</t>
        </is>
      </c>
      <c r="C25" s="280" t="inlineStr">
        <is>
          <t>Тягачи седельные, грузоподъемность 12 т</t>
        </is>
      </c>
      <c r="D25" s="277" t="inlineStr">
        <is>
          <t>маш.час</t>
        </is>
      </c>
      <c r="E25" s="281" t="n">
        <v>57.8</v>
      </c>
      <c r="F25" s="281" t="n">
        <v>102.84</v>
      </c>
      <c r="G25" s="368">
        <f>ROUND(E25*F25,2)</f>
        <v/>
      </c>
      <c r="H25" s="283">
        <f>G25/$G$32</f>
        <v/>
      </c>
      <c r="I25" s="26">
        <f>ROUND(F25*Прил.10!$D$12,2)</f>
        <v/>
      </c>
      <c r="J25" s="26">
        <f>ROUND(I25*E25,2)</f>
        <v/>
      </c>
    </row>
    <row r="26" hidden="1" outlineLevel="1" ht="25.5" customFormat="1" customHeight="1" s="219">
      <c r="A26" s="277" t="n">
        <v>8</v>
      </c>
      <c r="B26" s="163" t="inlineStr">
        <is>
          <t>91.14.02-001</t>
        </is>
      </c>
      <c r="C26" s="280" t="inlineStr">
        <is>
          <t>Автомобили бортовые, грузоподъемность до 5 т</t>
        </is>
      </c>
      <c r="D26" s="277" t="inlineStr">
        <is>
          <t>маш.час</t>
        </is>
      </c>
      <c r="E26" s="281" t="n">
        <v>70.31</v>
      </c>
      <c r="F26" s="281" t="n">
        <v>65.70999999999999</v>
      </c>
      <c r="G26" s="368">
        <f>ROUND(E26*F26,2)</f>
        <v/>
      </c>
      <c r="H26" s="283">
        <f>G26/$G$32</f>
        <v/>
      </c>
      <c r="I26" s="26">
        <f>ROUND(F26*Прил.10!$D$12,2)</f>
        <v/>
      </c>
      <c r="J26" s="26">
        <f>ROUND(I26*E26,2)</f>
        <v/>
      </c>
    </row>
    <row r="27" hidden="1" outlineLevel="1" ht="25.5" customFormat="1" customHeight="1" s="219">
      <c r="A27" s="277" t="n">
        <v>9</v>
      </c>
      <c r="B27" s="163" t="inlineStr">
        <is>
          <t>91.05.06-012</t>
        </is>
      </c>
      <c r="C27" s="280" t="inlineStr">
        <is>
          <t>Краны на гусеничном ходу при работе на других видах строительства до 16 т</t>
        </is>
      </c>
      <c r="D27" s="277" t="inlineStr">
        <is>
          <t>маш.час</t>
        </is>
      </c>
      <c r="E27" s="281" t="n">
        <v>38.53</v>
      </c>
      <c r="F27" s="281" t="n">
        <v>96.89</v>
      </c>
      <c r="G27" s="368">
        <f>ROUND(E27*F27,2)</f>
        <v/>
      </c>
      <c r="H27" s="283">
        <f>G27/$G$32</f>
        <v/>
      </c>
      <c r="I27" s="26">
        <f>ROUND(F27*Прил.10!$D$12,2)</f>
        <v/>
      </c>
      <c r="J27" s="26">
        <f>ROUND(I27*E27,2)</f>
        <v/>
      </c>
    </row>
    <row r="28" hidden="1" outlineLevel="1" ht="25.5" customFormat="1" customHeight="1" s="219">
      <c r="A28" s="277" t="n">
        <v>11</v>
      </c>
      <c r="B28" s="163" t="inlineStr">
        <is>
          <t>91.14.05-011</t>
        </is>
      </c>
      <c r="C28" s="280" t="inlineStr">
        <is>
          <t>Полуприцепы общего назначения, грузоподъемность 12 т</t>
        </is>
      </c>
      <c r="D28" s="277" t="inlineStr">
        <is>
          <t>маш.час</t>
        </is>
      </c>
      <c r="E28" s="281" t="n">
        <v>57.8</v>
      </c>
      <c r="F28" s="281" t="n">
        <v>12</v>
      </c>
      <c r="G28" s="368">
        <f>ROUND(E28*F28,2)</f>
        <v/>
      </c>
      <c r="H28" s="283">
        <f>G28/$G$32</f>
        <v/>
      </c>
      <c r="I28" s="26">
        <f>ROUND(F28*Прил.10!$D$12,2)</f>
        <v/>
      </c>
      <c r="J28" s="26">
        <f>ROUND(I28*E28,2)</f>
        <v/>
      </c>
    </row>
    <row r="29" hidden="1" outlineLevel="1" ht="25.5" customFormat="1" customHeight="1" s="219">
      <c r="A29" s="277" t="n">
        <v>12</v>
      </c>
      <c r="B29" s="163" t="inlineStr">
        <is>
          <t>91.01.01-035</t>
        </is>
      </c>
      <c r="C29" s="280" t="inlineStr">
        <is>
          <t>Бульдозеры при работе на других видах строительства 79 кВт (108 л.с.)</t>
        </is>
      </c>
      <c r="D29" s="277" t="inlineStr">
        <is>
          <t>маш.час</t>
        </is>
      </c>
      <c r="E29" s="281" t="n">
        <v>1.5</v>
      </c>
      <c r="F29" s="281" t="n">
        <v>79.06999999999999</v>
      </c>
      <c r="G29" s="368">
        <f>ROUND(E29*F29,2)</f>
        <v/>
      </c>
      <c r="H29" s="283">
        <f>G29/$G$32</f>
        <v/>
      </c>
      <c r="I29" s="26">
        <f>ROUND(F29*Прил.10!$D$12,2)</f>
        <v/>
      </c>
      <c r="J29" s="26">
        <f>ROUND(I29*E29,2)</f>
        <v/>
      </c>
    </row>
    <row r="30" hidden="1" outlineLevel="1" ht="25.5" customFormat="1" customHeight="1" s="219">
      <c r="A30" s="277" t="n">
        <v>13</v>
      </c>
      <c r="B30" s="163" t="inlineStr">
        <is>
          <t>91.14.03-001</t>
        </is>
      </c>
      <c r="C30" s="280" t="inlineStr">
        <is>
          <t>Автомобиль-самосвал, грузоподъемность до 7 т</t>
        </is>
      </c>
      <c r="D30" s="277" t="inlineStr">
        <is>
          <t>маш.час</t>
        </is>
      </c>
      <c r="E30" s="281" t="n">
        <v>0.03</v>
      </c>
      <c r="F30" s="281" t="n">
        <v>89.54000000000001</v>
      </c>
      <c r="G30" s="368">
        <f>ROUND(E30*F30,2)</f>
        <v/>
      </c>
      <c r="H30" s="283">
        <f>G30/$G$32</f>
        <v/>
      </c>
      <c r="I30" s="26">
        <f>ROUND(F30*Прил.10!$D$12,2)</f>
        <v/>
      </c>
      <c r="J30" s="26">
        <f>ROUND(I30*E30,2)</f>
        <v/>
      </c>
    </row>
    <row r="31" collapsed="1" ht="14.25" customFormat="1" customHeight="1" s="219">
      <c r="A31" s="277" t="n"/>
      <c r="B31" s="277" t="n"/>
      <c r="C31" s="280" t="inlineStr">
        <is>
          <t>Итого прочие машины и механизмы</t>
        </is>
      </c>
      <c r="D31" s="277" t="n"/>
      <c r="E31" s="281" t="n"/>
      <c r="F31" s="26" t="n"/>
      <c r="G31" s="368">
        <f>SUM(G23:G30)</f>
        <v/>
      </c>
      <c r="H31" s="283">
        <f>G31/G32</f>
        <v/>
      </c>
      <c r="I31" s="26" t="n"/>
      <c r="J31" s="26">
        <f>SUM(J23:J30)</f>
        <v/>
      </c>
    </row>
    <row r="32" ht="25.5" customFormat="1" customHeight="1" s="219">
      <c r="A32" s="277" t="n"/>
      <c r="B32" s="279" t="n"/>
      <c r="C32" s="176" t="inlineStr">
        <is>
          <t>Итого по разделу «Машины и механизмы»</t>
        </is>
      </c>
      <c r="D32" s="279" t="n"/>
      <c r="E32" s="177" t="n"/>
      <c r="F32" s="178" t="n"/>
      <c r="G32" s="376">
        <f>G22+G31</f>
        <v/>
      </c>
      <c r="H32" s="122">
        <f>H22+H31</f>
        <v/>
      </c>
      <c r="I32" s="123" t="n"/>
      <c r="J32" s="178">
        <f>J22+J31</f>
        <v/>
      </c>
    </row>
    <row r="33" ht="14.25" customFormat="1" customHeight="1" s="219">
      <c r="A33" s="277" t="n"/>
      <c r="B33" s="284" t="inlineStr">
        <is>
          <t>Оборудование</t>
        </is>
      </c>
      <c r="C33" s="362" t="n"/>
      <c r="D33" s="362" t="n"/>
      <c r="E33" s="362" t="n"/>
      <c r="F33" s="362" t="n"/>
      <c r="G33" s="362" t="n"/>
      <c r="H33" s="363" t="n"/>
      <c r="I33" s="120" t="n"/>
      <c r="J33" s="120" t="n"/>
    </row>
    <row r="34">
      <c r="A34" s="277" t="n"/>
      <c r="B34" s="280" t="inlineStr">
        <is>
          <t>Основное оборудование</t>
        </is>
      </c>
      <c r="C34" s="362" t="n"/>
      <c r="D34" s="362" t="n"/>
      <c r="E34" s="362" t="n"/>
      <c r="F34" s="362" t="n"/>
      <c r="G34" s="362" t="n"/>
      <c r="H34" s="363" t="n"/>
      <c r="I34" s="120" t="n"/>
      <c r="J34" s="120" t="n"/>
    </row>
    <row r="35">
      <c r="A35" s="277" t="n"/>
      <c r="B35" s="277" t="n"/>
      <c r="C35" s="280" t="inlineStr">
        <is>
          <t>Итого основное оборудование</t>
        </is>
      </c>
      <c r="D35" s="277" t="n"/>
      <c r="E35" s="377" t="n"/>
      <c r="F35" s="282" t="n"/>
      <c r="G35" s="26" t="n">
        <v>0</v>
      </c>
      <c r="H35" s="285" t="n">
        <v>0</v>
      </c>
      <c r="I35" s="124" t="n"/>
      <c r="J35" s="26" t="n">
        <v>0</v>
      </c>
    </row>
    <row r="36">
      <c r="A36" s="277" t="n"/>
      <c r="B36" s="277" t="n"/>
      <c r="C36" s="280" t="inlineStr">
        <is>
          <t>Итого прочее оборудование</t>
        </is>
      </c>
      <c r="D36" s="277" t="n"/>
      <c r="E36" s="378" t="n"/>
      <c r="F36" s="282" t="n"/>
      <c r="G36" s="26" t="n">
        <v>0</v>
      </c>
      <c r="H36" s="283" t="n">
        <v>0</v>
      </c>
      <c r="I36" s="168" t="n"/>
      <c r="J36" s="167" t="n">
        <v>0</v>
      </c>
    </row>
    <row r="37">
      <c r="A37" s="277" t="n"/>
      <c r="B37" s="278" t="n"/>
      <c r="C37" s="164" t="inlineStr">
        <is>
          <t>Итого по разделу «Оборудование»</t>
        </is>
      </c>
      <c r="D37" s="278" t="n"/>
      <c r="E37" s="287" t="n"/>
      <c r="F37" s="288" t="n"/>
      <c r="G37" s="167">
        <f>G35</f>
        <v/>
      </c>
      <c r="H37" s="289" t="n">
        <v>0</v>
      </c>
      <c r="I37" s="168" t="n"/>
      <c r="J37" s="167">
        <f>J35</f>
        <v/>
      </c>
    </row>
    <row r="38" ht="25.5" customHeight="1" s="230">
      <c r="A38" s="277" t="n"/>
      <c r="B38" s="277" t="n"/>
      <c r="C38" s="280" t="inlineStr">
        <is>
          <t>в том числе технологическое оборудование</t>
        </is>
      </c>
      <c r="D38" s="277" t="n"/>
      <c r="E38" s="378" t="n"/>
      <c r="F38" s="282" t="n"/>
      <c r="G38" s="26">
        <f>G37</f>
        <v/>
      </c>
      <c r="H38" s="283" t="n"/>
      <c r="I38" s="26" t="n"/>
      <c r="J38" s="26">
        <f>J37</f>
        <v/>
      </c>
    </row>
    <row r="39" ht="14.25" customFormat="1" customHeight="1" s="219">
      <c r="A39" s="277" t="n"/>
      <c r="B39" s="284" t="inlineStr">
        <is>
          <t>Материалы</t>
        </is>
      </c>
      <c r="C39" s="362" t="n"/>
      <c r="D39" s="362" t="n"/>
      <c r="E39" s="362" t="n"/>
      <c r="F39" s="362" t="n"/>
      <c r="G39" s="362" t="n"/>
      <c r="H39" s="363" t="n"/>
      <c r="I39" s="120" t="n"/>
      <c r="J39" s="120" t="n"/>
    </row>
    <row r="40" ht="14.25" customFormat="1" customHeight="1" s="219">
      <c r="A40" s="277" t="n"/>
      <c r="B40" s="280" t="inlineStr">
        <is>
          <t>Основные материалы</t>
        </is>
      </c>
      <c r="C40" s="362" t="n"/>
      <c r="D40" s="362" t="n"/>
      <c r="E40" s="362" t="n"/>
      <c r="F40" s="362" t="n"/>
      <c r="G40" s="362" t="n"/>
      <c r="H40" s="363" t="n"/>
      <c r="I40" s="120" t="n"/>
      <c r="J40" s="120" t="n"/>
    </row>
    <row r="41" ht="25.5" customFormat="1" customHeight="1" s="219">
      <c r="A41" s="277" t="n">
        <v>14</v>
      </c>
      <c r="B41" s="278" t="inlineStr">
        <is>
          <t>05.1.05.16-0040</t>
        </is>
      </c>
      <c r="C41" s="286" t="inlineStr">
        <is>
          <t>Сваи железобетонные С35-1-12-1 (бетон B22,5, расход арматуры 185 кг)</t>
        </is>
      </c>
      <c r="D41" s="102" t="inlineStr">
        <is>
          <t>м3</t>
        </is>
      </c>
      <c r="E41" s="206" t="n">
        <v>1946</v>
      </c>
      <c r="F41" s="204" t="n">
        <v>5337.26</v>
      </c>
      <c r="G41" s="379">
        <f>F41*E41</f>
        <v/>
      </c>
      <c r="H41" s="205">
        <f>G41/$G$51</f>
        <v/>
      </c>
      <c r="I41" s="380">
        <f>ROUND(F41*Прил.10!$D$13,2)</f>
        <v/>
      </c>
      <c r="J41" s="380">
        <f>ROUND(I41*E41,2)</f>
        <v/>
      </c>
    </row>
    <row r="42" ht="14.25" customFormat="1" customHeight="1" s="219">
      <c r="A42" s="277" t="n"/>
      <c r="B42" s="163" t="n"/>
      <c r="C42" s="280" t="inlineStr">
        <is>
          <t>Итого основные материалы</t>
        </is>
      </c>
      <c r="D42" s="277" t="n"/>
      <c r="E42" s="281" t="n"/>
      <c r="F42" s="281" t="n"/>
      <c r="G42" s="368">
        <f>SUM(G41:G41)</f>
        <v/>
      </c>
      <c r="H42" s="283">
        <f>G42/$G$51</f>
        <v/>
      </c>
      <c r="I42" s="381" t="n"/>
      <c r="J42" s="368">
        <f>SUM(J41:J41)</f>
        <v/>
      </c>
    </row>
    <row r="43" hidden="1" outlineLevel="1" ht="14.25" customFormat="1" customHeight="1" s="219">
      <c r="A43" s="277" t="n">
        <v>15</v>
      </c>
      <c r="B43" s="277" t="inlineStr">
        <is>
          <t>01.4.01.10-0016</t>
        </is>
      </c>
      <c r="C43" s="170" t="inlineStr">
        <is>
          <t>Шнек диаметром 135 мм</t>
        </is>
      </c>
      <c r="D43" s="277" t="inlineStr">
        <is>
          <t>шт.</t>
        </is>
      </c>
      <c r="E43" s="281" t="n">
        <v>420.032</v>
      </c>
      <c r="F43" s="281" t="n">
        <v>597</v>
      </c>
      <c r="G43" s="368">
        <f>F43*E43</f>
        <v/>
      </c>
      <c r="H43" s="283">
        <f>G43/$G$51</f>
        <v/>
      </c>
      <c r="I43" s="372">
        <f>ROUND(F43*Прил.10!$D$13,2)</f>
        <v/>
      </c>
      <c r="J43" s="372">
        <f>ROUND(I43*E43,2)</f>
        <v/>
      </c>
    </row>
    <row r="44" hidden="1" outlineLevel="1" ht="14.25" customFormat="1" customHeight="1" s="219">
      <c r="A44" s="277" t="n">
        <v>16</v>
      </c>
      <c r="B44" s="277" t="inlineStr">
        <is>
          <t>11.1.03.06-0002</t>
        </is>
      </c>
      <c r="C44" s="170" t="inlineStr">
        <is>
          <t>Доски дубовые II сорта</t>
        </is>
      </c>
      <c r="D44" s="277" t="inlineStr">
        <is>
          <t>м3</t>
        </is>
      </c>
      <c r="E44" s="281" t="n">
        <v>5.78</v>
      </c>
      <c r="F44" s="281" t="n">
        <v>1410</v>
      </c>
      <c r="G44" s="368">
        <f>F44*E44</f>
        <v/>
      </c>
      <c r="H44" s="283">
        <f>G44/$G$51</f>
        <v/>
      </c>
      <c r="I44" s="372">
        <f>ROUND(F44*Прил.10!$D$13,2)</f>
        <v/>
      </c>
      <c r="J44" s="372">
        <f>ROUND(I44*E44,2)</f>
        <v/>
      </c>
    </row>
    <row r="45" hidden="1" outlineLevel="1" ht="14.25" customFormat="1" customHeight="1" s="219">
      <c r="A45" s="277" t="n">
        <v>17</v>
      </c>
      <c r="B45" s="277" t="inlineStr">
        <is>
          <t>01.4.01.06-0014</t>
        </is>
      </c>
      <c r="C45" s="170" t="inlineStr">
        <is>
          <t>Коронки буровые типа К-100В</t>
        </is>
      </c>
      <c r="D45" s="277" t="inlineStr">
        <is>
          <t>шт.</t>
        </is>
      </c>
      <c r="E45" s="281" t="n">
        <v>11.333</v>
      </c>
      <c r="F45" s="281" t="n">
        <v>176.51</v>
      </c>
      <c r="G45" s="368">
        <f>F45*E45</f>
        <v/>
      </c>
      <c r="H45" s="283">
        <f>G45/$G$51</f>
        <v/>
      </c>
      <c r="I45" s="372">
        <f>ROUND(F45*Прил.10!$D$13,2)</f>
        <v/>
      </c>
      <c r="J45" s="372">
        <f>ROUND(I45*E45,2)</f>
        <v/>
      </c>
    </row>
    <row r="46" hidden="1" outlineLevel="1" ht="76.5" customFormat="1" customHeight="1" s="219">
      <c r="A46" s="277" t="n">
        <v>18</v>
      </c>
      <c r="B46" s="277" t="inlineStr">
        <is>
          <t>07.2.07.12-0003</t>
        </is>
      </c>
      <c r="C46" s="170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46" s="277" t="inlineStr">
        <is>
          <t>т</t>
        </is>
      </c>
      <c r="E46" s="281" t="n">
        <v>0.1156</v>
      </c>
      <c r="F46" s="281" t="n">
        <v>11255</v>
      </c>
      <c r="G46" s="368">
        <f>F46*E46</f>
        <v/>
      </c>
      <c r="H46" s="283">
        <f>G46/$G$51</f>
        <v/>
      </c>
      <c r="I46" s="372">
        <f>ROUND(F46*Прил.10!$D$13,2)</f>
        <v/>
      </c>
      <c r="J46" s="372">
        <f>ROUND(I46*E46,2)</f>
        <v/>
      </c>
    </row>
    <row r="47" hidden="1" outlineLevel="1" ht="25.5" customFormat="1" customHeight="1" s="219">
      <c r="A47" s="277" t="n">
        <v>19</v>
      </c>
      <c r="B47" s="163" t="inlineStr">
        <is>
          <t>101-0388</t>
        </is>
      </c>
      <c r="C47" s="170" t="inlineStr">
        <is>
          <t>Краски масляные земляные марки МА-0115 мумия, сурик железный</t>
        </is>
      </c>
      <c r="D47" s="277" t="inlineStr">
        <is>
          <t>т</t>
        </is>
      </c>
      <c r="E47" s="281" t="n">
        <v>0.0385</v>
      </c>
      <c r="F47" s="281" t="n">
        <v>15119</v>
      </c>
      <c r="G47" s="368">
        <f>F47*E47</f>
        <v/>
      </c>
      <c r="H47" s="283">
        <f>G47/$G$51</f>
        <v/>
      </c>
      <c r="I47" s="372">
        <f>ROUND(F47*Прил.10!$D$13,2)</f>
        <v/>
      </c>
      <c r="J47" s="372">
        <f>ROUND(I47*E47,2)</f>
        <v/>
      </c>
    </row>
    <row r="48" hidden="1" outlineLevel="2" ht="14.25" customFormat="1" customHeight="1" s="219">
      <c r="A48" s="277" t="n">
        <v>20</v>
      </c>
      <c r="B48" s="163" t="inlineStr">
        <is>
          <t>101-1805</t>
        </is>
      </c>
      <c r="C48" s="170" t="inlineStr">
        <is>
          <t>Гвозди строительные</t>
        </is>
      </c>
      <c r="D48" s="277" t="inlineStr">
        <is>
          <t>т</t>
        </is>
      </c>
      <c r="E48" s="281" t="n">
        <v>0.0385</v>
      </c>
      <c r="F48" s="281" t="n">
        <v>11978</v>
      </c>
      <c r="G48" s="368">
        <f>F48*E48</f>
        <v/>
      </c>
      <c r="H48" s="283">
        <f>G48/$G$51</f>
        <v/>
      </c>
      <c r="I48" s="372">
        <f>ROUND(F48*Прил.10!$D$13,2)</f>
        <v/>
      </c>
      <c r="J48" s="372">
        <f>ROUND(I48*E48,2)</f>
        <v/>
      </c>
    </row>
    <row r="49" hidden="1" outlineLevel="2" ht="38.25" customFormat="1" customHeight="1" s="219">
      <c r="A49" s="277" t="n">
        <v>21</v>
      </c>
      <c r="B49" s="163" t="inlineStr">
        <is>
          <t>408-0015</t>
        </is>
      </c>
      <c r="C49" s="170" t="inlineStr">
        <is>
          <t>Щебень из природного камня для строительных работ марка 800, фракция 20-40 мм</t>
        </is>
      </c>
      <c r="D49" s="277" t="inlineStr">
        <is>
          <t>м3</t>
        </is>
      </c>
      <c r="E49" s="281" t="n">
        <v>0.0092</v>
      </c>
      <c r="F49" s="281" t="n">
        <v>108.4</v>
      </c>
      <c r="G49" s="282">
        <f>F49*E49</f>
        <v/>
      </c>
      <c r="H49" s="283">
        <f>G49/$G$51</f>
        <v/>
      </c>
      <c r="I49" s="180">
        <f>ROUND(F49*Прил.10!$D$13,2)</f>
        <v/>
      </c>
      <c r="J49" s="180">
        <f>ROUND(I49*E49,2)</f>
        <v/>
      </c>
    </row>
    <row r="50" collapsed="1" ht="14.25" customFormat="1" customHeight="1" s="219">
      <c r="A50" s="277" t="n"/>
      <c r="B50" s="277" t="n"/>
      <c r="C50" s="280" t="inlineStr">
        <is>
          <t>Итого прочие материалы</t>
        </is>
      </c>
      <c r="D50" s="277" t="n"/>
      <c r="E50" s="281" t="n"/>
      <c r="F50" s="282" t="n"/>
      <c r="G50" s="26">
        <f>SUM(G43:G49)</f>
        <v/>
      </c>
      <c r="H50" s="283">
        <f>G50/$G$51</f>
        <v/>
      </c>
      <c r="I50" s="26" t="n"/>
      <c r="J50" s="26">
        <f>SUM(J43:J49)</f>
        <v/>
      </c>
    </row>
    <row r="51" ht="14.25" customFormat="1" customHeight="1" s="219">
      <c r="A51" s="277" t="n"/>
      <c r="B51" s="279" t="n"/>
      <c r="C51" s="176" t="inlineStr">
        <is>
          <t>Итого по разделу «Материалы»</t>
        </is>
      </c>
      <c r="D51" s="279" t="n"/>
      <c r="E51" s="177" t="n"/>
      <c r="F51" s="191" t="n"/>
      <c r="G51" s="178">
        <f>G42+G50</f>
        <v/>
      </c>
      <c r="H51" s="192">
        <f>H42+H50</f>
        <v/>
      </c>
      <c r="I51" s="178" t="n"/>
      <c r="J51" s="178">
        <f>J42+J50</f>
        <v/>
      </c>
    </row>
    <row r="52" ht="14.25" customFormat="1" customHeight="1" s="219">
      <c r="A52" s="277" t="n"/>
      <c r="B52" s="277" t="n"/>
      <c r="C52" s="280" t="inlineStr">
        <is>
          <t>ИТОГО ПО РМ</t>
        </is>
      </c>
      <c r="D52" s="277" t="n"/>
      <c r="E52" s="281" t="n"/>
      <c r="F52" s="282" t="n"/>
      <c r="G52" s="26">
        <f>G14+G32+G51</f>
        <v/>
      </c>
      <c r="H52" s="285" t="n"/>
      <c r="I52" s="26" t="n"/>
      <c r="J52" s="26">
        <f>J14+J32+J51</f>
        <v/>
      </c>
    </row>
    <row r="53" ht="14.25" customFormat="1" customHeight="1" s="219">
      <c r="A53" s="277" t="n"/>
      <c r="B53" s="277" t="n"/>
      <c r="C53" s="280" t="inlineStr">
        <is>
          <t>Накладные расходы</t>
        </is>
      </c>
      <c r="D53" s="125">
        <f>ROUND(G53/(G$16+$G$14),2)</f>
        <v/>
      </c>
      <c r="E53" s="281" t="n"/>
      <c r="F53" s="282" t="n"/>
      <c r="G53" s="26">
        <f>207708+2162.76</f>
        <v/>
      </c>
      <c r="H53" s="285" t="n"/>
      <c r="I53" s="26" t="n"/>
      <c r="J53" s="26">
        <f>ROUND(D53*(J14+J16),2)</f>
        <v/>
      </c>
      <c r="L53" s="195" t="n"/>
    </row>
    <row r="54" ht="14.25" customFormat="1" customHeight="1" s="219">
      <c r="A54" s="277" t="n"/>
      <c r="B54" s="277" t="n"/>
      <c r="C54" s="280" t="inlineStr">
        <is>
          <t>Сметная прибыль</t>
        </is>
      </c>
      <c r="D54" s="125">
        <f>ROUND(G54/(G$14+G$16),2)</f>
        <v/>
      </c>
      <c r="E54" s="281" t="n"/>
      <c r="F54" s="282" t="n"/>
      <c r="G54" s="26">
        <f>113421+1403.49</f>
        <v/>
      </c>
      <c r="H54" s="285" t="n"/>
      <c r="I54" s="26" t="n"/>
      <c r="J54" s="26">
        <f>ROUND(D54*(J14+J16),2)</f>
        <v/>
      </c>
      <c r="L54" s="195" t="n"/>
    </row>
    <row r="55" ht="14.25" customFormat="1" customHeight="1" s="219">
      <c r="A55" s="277" t="n"/>
      <c r="B55" s="277" t="n"/>
      <c r="C55" s="280" t="inlineStr">
        <is>
          <t>Итого СМР (с НР и СП)</t>
        </is>
      </c>
      <c r="D55" s="277" t="n"/>
      <c r="E55" s="281" t="n"/>
      <c r="F55" s="282" t="n"/>
      <c r="G55" s="26">
        <f>ROUND((G14+G32+G51+G53+G54),2)</f>
        <v/>
      </c>
      <c r="H55" s="285" t="n"/>
      <c r="I55" s="26" t="n"/>
      <c r="J55" s="26">
        <f>ROUND((J14+J32+J51+J53+J54),2)</f>
        <v/>
      </c>
    </row>
    <row r="56" ht="14.25" customFormat="1" customHeight="1" s="219">
      <c r="A56" s="277" t="n"/>
      <c r="B56" s="277" t="n"/>
      <c r="C56" s="280" t="inlineStr">
        <is>
          <t>ВСЕГО СМР + ОБОРУДОВАНИЕ</t>
        </is>
      </c>
      <c r="D56" s="277" t="n"/>
      <c r="E56" s="281" t="n"/>
      <c r="F56" s="282" t="n"/>
      <c r="G56" s="26">
        <f>G55+G37</f>
        <v/>
      </c>
      <c r="H56" s="285" t="n"/>
      <c r="I56" s="26" t="n"/>
      <c r="J56" s="26">
        <f>J55+J37</f>
        <v/>
      </c>
    </row>
    <row r="57" ht="34.5" customFormat="1" customHeight="1" s="219">
      <c r="A57" s="277" t="n"/>
      <c r="B57" s="277" t="n"/>
      <c r="C57" s="280" t="inlineStr">
        <is>
          <t>ИТОГО ПОКАЗАТЕЛЬ НА ЕД. ИЗМ.</t>
        </is>
      </c>
      <c r="D57" s="277" t="inlineStr">
        <is>
          <t>1 м2</t>
        </is>
      </c>
      <c r="E57" s="281" t="n">
        <v>70840</v>
      </c>
      <c r="F57" s="282" t="n"/>
      <c r="G57" s="26">
        <f>G56/E57</f>
        <v/>
      </c>
      <c r="H57" s="285" t="n"/>
      <c r="I57" s="26" t="n"/>
      <c r="J57" s="26">
        <f>J56/E57</f>
        <v/>
      </c>
    </row>
    <row r="59" ht="14.25" customFormat="1" customHeight="1" s="219">
      <c r="A59" s="218" t="inlineStr">
        <is>
          <t>Составил ______________________     Д.А. Самуйленко</t>
        </is>
      </c>
    </row>
    <row r="60" ht="14.25" customFormat="1" customHeight="1" s="219">
      <c r="A60" s="221" t="inlineStr">
        <is>
          <t xml:space="preserve">                         (подпись, инициалы, фамилия)</t>
        </is>
      </c>
    </row>
    <row r="61" ht="14.25" customFormat="1" customHeight="1" s="219">
      <c r="A61" s="218" t="n"/>
      <c r="H61" s="195" t="n"/>
    </row>
    <row r="62" ht="14.25" customFormat="1" customHeight="1" s="219">
      <c r="A62" s="218" t="inlineStr">
        <is>
          <t>Проверил ______________________        А.В. Костянецкая</t>
        </is>
      </c>
    </row>
    <row r="63" ht="14.25" customFormat="1" customHeight="1" s="219">
      <c r="A63" s="221" t="inlineStr">
        <is>
          <t xml:space="preserve">                        (подпись, инициалы, фамилия)</t>
        </is>
      </c>
    </row>
  </sheetData>
  <mergeCells count="21">
    <mergeCell ref="B40:H40"/>
    <mergeCell ref="H9:H10"/>
    <mergeCell ref="A4:J4"/>
    <mergeCell ref="B15:H15"/>
    <mergeCell ref="B33:H33"/>
    <mergeCell ref="H2:J2"/>
    <mergeCell ref="C9:C10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4:H34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topLeftCell="A4" workbookViewId="0">
      <selection activeCell="B18" sqref="B18"/>
    </sheetView>
  </sheetViews>
  <sheetFormatPr baseColWidth="8" defaultRowHeight="15"/>
  <cols>
    <col width="5.7109375" customWidth="1" style="230" min="1" max="1"/>
    <col width="17.5703125" customWidth="1" style="230" min="2" max="2"/>
    <col width="39.140625" customWidth="1" style="230" min="3" max="3"/>
    <col width="10.7109375" customWidth="1" style="230" min="4" max="4"/>
    <col width="13.85546875" customWidth="1" style="230" min="5" max="5"/>
    <col width="13.28515625" customWidth="1" style="230" min="6" max="6"/>
    <col width="14.140625" customWidth="1" style="230" min="7" max="7"/>
  </cols>
  <sheetData>
    <row r="1">
      <c r="A1" s="295" t="inlineStr">
        <is>
          <t>Приложение №6</t>
        </is>
      </c>
    </row>
    <row r="2" ht="21.75" customHeight="1" s="230">
      <c r="A2" s="295" t="n"/>
      <c r="B2" s="295" t="n"/>
      <c r="C2" s="295" t="n"/>
      <c r="D2" s="295" t="n"/>
      <c r="E2" s="295" t="n"/>
      <c r="F2" s="295" t="n"/>
      <c r="G2" s="295" t="n"/>
    </row>
    <row r="3">
      <c r="A3" s="243" t="inlineStr">
        <is>
          <t>Расчет стоимости оборудования</t>
        </is>
      </c>
    </row>
    <row r="4" ht="42" customHeight="1" s="230">
      <c r="A4" s="246" t="inlineStr">
        <is>
          <t>Наименование разрабатываемого показателя УНЦ — Подготовка и устройство территории ПС (ЗПС) Краснодарский край, Республика Адыгея</t>
        </is>
      </c>
    </row>
    <row r="5">
      <c r="A5" s="218" t="n"/>
      <c r="B5" s="218" t="n"/>
      <c r="C5" s="218" t="n"/>
      <c r="D5" s="218" t="n"/>
      <c r="E5" s="218" t="n"/>
      <c r="F5" s="218" t="n"/>
      <c r="G5" s="218" t="n"/>
    </row>
    <row r="6" ht="30.2" customHeight="1" s="230">
      <c r="A6" s="300" t="inlineStr">
        <is>
          <t>№ пп.</t>
        </is>
      </c>
      <c r="B6" s="300" t="inlineStr">
        <is>
          <t>Код ресурса</t>
        </is>
      </c>
      <c r="C6" s="300" t="inlineStr">
        <is>
          <t>Наименование</t>
        </is>
      </c>
      <c r="D6" s="300" t="inlineStr">
        <is>
          <t>Ед. изм.</t>
        </is>
      </c>
      <c r="E6" s="277" t="inlineStr">
        <is>
          <t>Кол-во единиц по проектным данным</t>
        </is>
      </c>
      <c r="F6" s="300" t="inlineStr">
        <is>
          <t>Сметная стоимость в ценах на 01.01.2000 (руб.)</t>
        </is>
      </c>
      <c r="G6" s="363" t="n"/>
    </row>
    <row r="7">
      <c r="A7" s="365" t="n"/>
      <c r="B7" s="365" t="n"/>
      <c r="C7" s="365" t="n"/>
      <c r="D7" s="365" t="n"/>
      <c r="E7" s="365" t="n"/>
      <c r="F7" s="277" t="inlineStr">
        <is>
          <t>на ед. изм.</t>
        </is>
      </c>
      <c r="G7" s="277" t="inlineStr">
        <is>
          <t>общая</t>
        </is>
      </c>
    </row>
    <row r="8">
      <c r="A8" s="277" t="n">
        <v>1</v>
      </c>
      <c r="B8" s="277" t="n">
        <v>2</v>
      </c>
      <c r="C8" s="277" t="n">
        <v>3</v>
      </c>
      <c r="D8" s="277" t="n">
        <v>4</v>
      </c>
      <c r="E8" s="277" t="n">
        <v>5</v>
      </c>
      <c r="F8" s="277" t="n">
        <v>6</v>
      </c>
      <c r="G8" s="277" t="n">
        <v>7</v>
      </c>
    </row>
    <row r="9" ht="15" customHeight="1" s="230">
      <c r="A9" s="99" t="n"/>
      <c r="B9" s="280" t="inlineStr">
        <is>
          <t>ИНЖЕНЕРНОЕ ОБОРУДОВАНИЕ</t>
        </is>
      </c>
      <c r="C9" s="362" t="n"/>
      <c r="D9" s="362" t="n"/>
      <c r="E9" s="362" t="n"/>
      <c r="F9" s="362" t="n"/>
      <c r="G9" s="363" t="n"/>
    </row>
    <row r="10" ht="27" customHeight="1" s="230">
      <c r="A10" s="277" t="n"/>
      <c r="B10" s="284" t="n"/>
      <c r="C10" s="280" t="inlineStr">
        <is>
          <t>ИТОГО ИНЖЕНЕРНОЕ ОБОРУДОВАНИЕ</t>
        </is>
      </c>
      <c r="D10" s="284" t="n"/>
      <c r="E10" s="100" t="n"/>
      <c r="F10" s="282" t="n"/>
      <c r="G10" s="282" t="n">
        <v>0</v>
      </c>
    </row>
    <row r="11">
      <c r="A11" s="277" t="n"/>
      <c r="B11" s="280" t="inlineStr">
        <is>
          <t>ТЕХНОЛОГИЧЕСКОЕ ОБОРУДОВАНИЕ</t>
        </is>
      </c>
      <c r="C11" s="362" t="n"/>
      <c r="D11" s="362" t="n"/>
      <c r="E11" s="362" t="n"/>
      <c r="F11" s="362" t="n"/>
      <c r="G11" s="363" t="n"/>
    </row>
    <row r="12" ht="25.5" customHeight="1" s="230">
      <c r="A12" s="277" t="n"/>
      <c r="B12" s="280" t="n"/>
      <c r="C12" s="280" t="inlineStr">
        <is>
          <t>ИТОГО ТЕХНОЛОГИЧЕСКОЕ ОБОРУДОВАНИЕ</t>
        </is>
      </c>
      <c r="D12" s="280" t="n"/>
      <c r="E12" s="299" t="n"/>
      <c r="F12" s="282" t="n"/>
      <c r="G12" s="26" t="n">
        <v>0</v>
      </c>
    </row>
    <row r="13" ht="19.5" customHeight="1" s="230">
      <c r="A13" s="277" t="n"/>
      <c r="B13" s="280" t="n"/>
      <c r="C13" s="280" t="inlineStr">
        <is>
          <t>Всего по разделу «Оборудование»</t>
        </is>
      </c>
      <c r="D13" s="280" t="n"/>
      <c r="E13" s="299" t="n"/>
      <c r="F13" s="282" t="n"/>
      <c r="G13" s="26">
        <f>G10+G12</f>
        <v/>
      </c>
    </row>
    <row r="14">
      <c r="A14" s="220" t="n"/>
      <c r="B14" s="101" t="n"/>
      <c r="C14" s="220" t="n"/>
      <c r="D14" s="220" t="n"/>
      <c r="E14" s="220" t="n"/>
      <c r="F14" s="220" t="n"/>
      <c r="G14" s="220" t="n"/>
    </row>
    <row r="15">
      <c r="A15" s="347" t="inlineStr">
        <is>
          <t>Составил ______________________    Д.А. Самуйленко</t>
        </is>
      </c>
      <c r="B15" s="219" t="n"/>
      <c r="C15" s="219" t="n"/>
      <c r="D15" s="220" t="n"/>
      <c r="E15" s="220" t="n"/>
      <c r="F15" s="220" t="n"/>
      <c r="G15" s="220" t="n"/>
    </row>
    <row r="16">
      <c r="A16" s="221" t="inlineStr">
        <is>
          <t xml:space="preserve">                         (подпись, инициалы, фамилия)</t>
        </is>
      </c>
      <c r="B16" s="219" t="n"/>
      <c r="C16" s="219" t="n"/>
      <c r="D16" s="220" t="n"/>
      <c r="E16" s="220" t="n"/>
      <c r="F16" s="220" t="n"/>
      <c r="G16" s="220" t="n"/>
    </row>
    <row r="17">
      <c r="A17" s="218" t="n"/>
      <c r="B17" s="219" t="n"/>
      <c r="C17" s="219" t="n"/>
      <c r="D17" s="220" t="n"/>
      <c r="E17" s="220" t="n"/>
      <c r="F17" s="220" t="n"/>
      <c r="G17" s="220" t="n"/>
    </row>
    <row r="18">
      <c r="A18" s="218" t="inlineStr">
        <is>
          <t>Проверил ______________________        А.В. Костянецкая</t>
        </is>
      </c>
      <c r="B18" s="219" t="n"/>
      <c r="C18" s="219" t="n"/>
      <c r="D18" s="220" t="n"/>
      <c r="E18" s="220" t="n"/>
      <c r="F18" s="220" t="n"/>
      <c r="G18" s="220" t="n"/>
    </row>
    <row r="19">
      <c r="A19" s="221" t="inlineStr">
        <is>
          <t xml:space="preserve">                        (подпись, инициалы, фамилия)</t>
        </is>
      </c>
      <c r="B19" s="219" t="n"/>
      <c r="C19" s="219" t="n"/>
      <c r="D19" s="220" t="n"/>
      <c r="E19" s="220" t="n"/>
      <c r="F19" s="220" t="n"/>
      <c r="G19" s="22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30" min="1" max="1"/>
    <col width="16.42578125" customWidth="1" style="230" min="2" max="2"/>
    <col width="37.140625" customWidth="1" style="230" min="3" max="3"/>
    <col width="49" customWidth="1" style="230" min="4" max="4"/>
    <col width="9.140625" customWidth="1" style="230" min="5" max="5"/>
  </cols>
  <sheetData>
    <row r="1" ht="15.75" customHeight="1" s="230">
      <c r="A1" s="228" t="n"/>
      <c r="B1" s="228" t="n"/>
      <c r="C1" s="228" t="n"/>
      <c r="D1" s="228" t="inlineStr">
        <is>
          <t>Приложение №7</t>
        </is>
      </c>
    </row>
    <row r="2" ht="15.75" customHeight="1" s="230">
      <c r="A2" s="228" t="n"/>
      <c r="B2" s="228" t="n"/>
      <c r="C2" s="228" t="n"/>
      <c r="D2" s="228" t="n"/>
    </row>
    <row r="3" ht="15.75" customHeight="1" s="230">
      <c r="A3" s="228" t="n"/>
      <c r="B3" s="213" t="inlineStr">
        <is>
          <t>Расчет показателя УНЦ</t>
        </is>
      </c>
      <c r="C3" s="228" t="n"/>
      <c r="D3" s="228" t="n"/>
    </row>
    <row r="4" ht="15.75" customHeight="1" s="230">
      <c r="A4" s="228" t="n"/>
      <c r="B4" s="228" t="n"/>
      <c r="C4" s="228" t="n"/>
      <c r="D4" s="228" t="n"/>
    </row>
    <row r="5" ht="31.5" customHeight="1" s="230">
      <c r="A5" s="301" t="inlineStr">
        <is>
          <t xml:space="preserve">Наименование разрабатываемого показателя УНЦ - </t>
        </is>
      </c>
      <c r="D5" s="301">
        <f>'Прил.5 Расчет СМР и ОБ'!D6:J6</f>
        <v/>
      </c>
    </row>
    <row r="6" ht="15.75" customHeight="1" s="230">
      <c r="A6" s="228" t="inlineStr">
        <is>
          <t>Единица измерения  — 1 м2</t>
        </is>
      </c>
      <c r="B6" s="228" t="n"/>
      <c r="C6" s="228" t="n"/>
      <c r="D6" s="228" t="n"/>
    </row>
    <row r="7" ht="15.75" customHeight="1" s="230">
      <c r="A7" s="228" t="n"/>
      <c r="B7" s="228" t="n"/>
      <c r="C7" s="228" t="n"/>
      <c r="D7" s="228" t="n"/>
    </row>
    <row r="8">
      <c r="A8" s="256" t="inlineStr">
        <is>
          <t>Код показателя</t>
        </is>
      </c>
      <c r="B8" s="256" t="inlineStr">
        <is>
          <t>Наименование показателя</t>
        </is>
      </c>
      <c r="C8" s="256" t="inlineStr">
        <is>
          <t>Наименование РМ, входящих в состав показателя</t>
        </is>
      </c>
      <c r="D8" s="256" t="inlineStr">
        <is>
          <t>Норматив цены на 01.01.2023, тыс.руб.</t>
        </is>
      </c>
    </row>
    <row r="9">
      <c r="A9" s="365" t="n"/>
      <c r="B9" s="365" t="n"/>
      <c r="C9" s="365" t="n"/>
      <c r="D9" s="365" t="n"/>
    </row>
    <row r="10" ht="15.75" customHeight="1" s="230">
      <c r="A10" s="256" t="n">
        <v>1</v>
      </c>
      <c r="B10" s="256" t="n">
        <v>2</v>
      </c>
      <c r="C10" s="256" t="n">
        <v>3</v>
      </c>
      <c r="D10" s="256" t="n">
        <v>4</v>
      </c>
    </row>
    <row r="11" ht="78.75" customHeight="1" s="230">
      <c r="A11" s="256" t="inlineStr">
        <is>
          <t>Б1-18</t>
        </is>
      </c>
      <c r="B11" s="256" t="inlineStr">
        <is>
          <t>УНЦ подготовки и устройства территории ПС (ЗПС)</t>
        </is>
      </c>
      <c r="C11" s="216">
        <f>D5</f>
        <v/>
      </c>
      <c r="D11" s="217">
        <f>'Прил.4 РМ'!C41/1000</f>
        <v/>
      </c>
    </row>
    <row r="13">
      <c r="A13" s="218" t="inlineStr">
        <is>
          <t>Составил ______________________      Д.А. Самуйленко</t>
        </is>
      </c>
      <c r="B13" s="219" t="n"/>
      <c r="C13" s="219" t="n"/>
      <c r="D13" s="220" t="n"/>
    </row>
    <row r="14">
      <c r="A14" s="221" t="inlineStr">
        <is>
          <t xml:space="preserve">                         (подпись, инициалы, фамилия)</t>
        </is>
      </c>
      <c r="B14" s="219" t="n"/>
      <c r="C14" s="219" t="n"/>
      <c r="D14" s="220" t="n"/>
    </row>
    <row r="15">
      <c r="A15" s="218" t="n"/>
      <c r="B15" s="219" t="n"/>
      <c r="C15" s="219" t="n"/>
      <c r="D15" s="220" t="n"/>
    </row>
    <row r="16">
      <c r="A16" s="218" t="inlineStr">
        <is>
          <t>Проверил ______________________        А.В. Костянецкая</t>
        </is>
      </c>
      <c r="B16" s="219" t="n"/>
      <c r="C16" s="219" t="n"/>
      <c r="D16" s="220" t="n"/>
    </row>
    <row r="17">
      <c r="A17" s="221" t="inlineStr">
        <is>
          <t xml:space="preserve">                        (подпись, инициалы, фамилия)</t>
        </is>
      </c>
      <c r="B17" s="219" t="n"/>
      <c r="C17" s="219" t="n"/>
      <c r="D17" s="22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5" sqref="B25"/>
    </sheetView>
  </sheetViews>
  <sheetFormatPr baseColWidth="8" defaultColWidth="9.140625" defaultRowHeight="15"/>
  <cols>
    <col width="40.7109375" customWidth="1" style="230" min="2" max="2"/>
    <col width="37" customWidth="1" style="230" min="3" max="3"/>
    <col width="32" customWidth="1" style="230" min="4" max="4"/>
  </cols>
  <sheetData>
    <row r="4" ht="15.75" customHeight="1" s="230">
      <c r="B4" s="250" t="inlineStr">
        <is>
          <t>Приложение № 10</t>
        </is>
      </c>
    </row>
    <row r="5" ht="18.75" customHeight="1" s="230">
      <c r="B5" s="112" t="n"/>
    </row>
    <row r="6" ht="15.75" customHeight="1" s="230">
      <c r="B6" s="251" t="inlineStr">
        <is>
          <t>Используемые индексы изменений сметной стоимости и нормы сопутствующих затрат</t>
        </is>
      </c>
    </row>
    <row r="7">
      <c r="B7" s="302" t="n"/>
    </row>
    <row r="8">
      <c r="B8" s="302" t="n"/>
      <c r="C8" s="302" t="n"/>
      <c r="D8" s="302" t="n"/>
      <c r="E8" s="302" t="n"/>
    </row>
    <row r="9" ht="47.25" customHeight="1" s="230">
      <c r="B9" s="256" t="inlineStr">
        <is>
          <t>Наименование индекса / норм сопутствующих затрат</t>
        </is>
      </c>
      <c r="C9" s="256" t="inlineStr">
        <is>
          <t>Дата применения и обоснование индекса / норм сопутствующих затрат</t>
        </is>
      </c>
      <c r="D9" s="256" t="inlineStr">
        <is>
          <t>Размер индекса / норма сопутствующих затрат</t>
        </is>
      </c>
    </row>
    <row r="10" ht="15.75" customHeight="1" s="230">
      <c r="B10" s="256" t="n">
        <v>1</v>
      </c>
      <c r="C10" s="256" t="n">
        <v>2</v>
      </c>
      <c r="D10" s="256" t="n">
        <v>3</v>
      </c>
    </row>
    <row r="11" ht="45" customHeight="1" s="230">
      <c r="B11" s="256" t="inlineStr">
        <is>
          <t xml:space="preserve">Индекс изменения сметной стоимости на 1 квартал 2023 года. ОЗП </t>
        </is>
      </c>
      <c r="C11" s="256" t="inlineStr">
        <is>
          <t>Письмо Минстроя России от 17.02.2023 №8389-ИФ/09 прил.1</t>
        </is>
      </c>
      <c r="D11" s="256" t="n">
        <v>29.13</v>
      </c>
    </row>
    <row r="12" ht="29.25" customHeight="1" s="230">
      <c r="B12" s="256" t="inlineStr">
        <is>
          <t>Индекс изменения сметной стоимости на 1 квартал 2023 года. ЭМ</t>
        </is>
      </c>
      <c r="C12" s="256" t="inlineStr">
        <is>
          <t>Письмо Минстроя России от 17.02.2023 №8389-ИФ/09 прил.1</t>
        </is>
      </c>
      <c r="D12" s="256" t="n">
        <v>10.98</v>
      </c>
    </row>
    <row r="13" ht="29.25" customHeight="1" s="230">
      <c r="B13" s="256" t="inlineStr">
        <is>
          <t>Индекс изменения сметной стоимости на 1 квартал 2023 года. МАТ</t>
        </is>
      </c>
      <c r="C13" s="256" t="inlineStr">
        <is>
          <t>Письмо Минстроя России от 17.02.2023 №8389-ИФ/09 прил.1</t>
        </is>
      </c>
      <c r="D13" s="256" t="n">
        <v>7.87</v>
      </c>
    </row>
    <row r="14" ht="30.75" customHeight="1" s="230">
      <c r="B14" s="256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56" t="n">
        <v>6.26</v>
      </c>
    </row>
    <row r="15" ht="89.45" customHeight="1" s="230">
      <c r="B15" s="256" t="inlineStr">
        <is>
          <t>Временные здания и сооружения</t>
        </is>
      </c>
      <c r="C15" s="25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5" t="n">
        <v>0.039</v>
      </c>
    </row>
    <row r="16" ht="78.75" customHeight="1" s="230">
      <c r="B16" s="256" t="inlineStr">
        <is>
          <t>Дополнительные затраты при производстве строительно-монтажных работ в зимнее время</t>
        </is>
      </c>
      <c r="C16" s="25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5" t="n">
        <v>0.006</v>
      </c>
    </row>
    <row r="17" ht="31.7" customHeight="1" s="230">
      <c r="B17" s="256" t="inlineStr">
        <is>
          <t>Строительный контроль</t>
        </is>
      </c>
      <c r="C17" s="256" t="inlineStr">
        <is>
          <t>Постановление Правительства РФ от 21.06.10 г. № 468</t>
        </is>
      </c>
      <c r="D17" s="115" t="n">
        <v>0.0214</v>
      </c>
    </row>
    <row r="18" ht="31.7" customHeight="1" s="230">
      <c r="B18" s="256" t="inlineStr">
        <is>
          <t>Авторский надзор - 0,2%</t>
        </is>
      </c>
      <c r="C18" s="256" t="inlineStr">
        <is>
          <t>Приказ от 4.08.2020 № 421/пр п.173</t>
        </is>
      </c>
      <c r="D18" s="115" t="n">
        <v>0.002</v>
      </c>
    </row>
    <row r="19" ht="24" customHeight="1" s="230">
      <c r="B19" s="256" t="inlineStr">
        <is>
          <t>Непредвиденные расходы</t>
        </is>
      </c>
      <c r="C19" s="256" t="inlineStr">
        <is>
          <t>Приказ от 4.08.2020 № 421/пр п.179</t>
        </is>
      </c>
      <c r="D19" s="115" t="n">
        <v>0.03</v>
      </c>
    </row>
    <row r="20" ht="18.75" customHeight="1" s="230">
      <c r="B20" s="113" t="n"/>
    </row>
    <row r="21" ht="18.75" customHeight="1" s="230">
      <c r="B21" s="113" t="n"/>
    </row>
    <row r="22" ht="18.75" customHeight="1" s="230">
      <c r="B22" s="113" t="n"/>
    </row>
    <row r="23" ht="18.75" customHeight="1" s="230">
      <c r="B23" s="113" t="n"/>
    </row>
    <row r="26">
      <c r="B26" s="347" t="inlineStr">
        <is>
          <t>Составил ______________________        Д.А. Самуйленко</t>
        </is>
      </c>
      <c r="C26" s="219" t="n"/>
    </row>
    <row r="27">
      <c r="B27" s="221" t="inlineStr">
        <is>
          <t xml:space="preserve">                         (подпись, инициалы, фамилия)</t>
        </is>
      </c>
      <c r="C27" s="219" t="n"/>
    </row>
    <row r="28">
      <c r="B28" s="218" t="n"/>
      <c r="C28" s="219" t="n"/>
    </row>
    <row r="29">
      <c r="B29" s="218" t="inlineStr">
        <is>
          <t>Проверил ______________________        А.В. Костянецкая</t>
        </is>
      </c>
      <c r="C29" s="219" t="n"/>
    </row>
    <row r="30">
      <c r="B30" s="221" t="inlineStr">
        <is>
          <t xml:space="preserve">                        (подпись, инициалы, фамилия)</t>
        </is>
      </c>
      <c r="C30" s="21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5" sqref="A5:F13"/>
    </sheetView>
  </sheetViews>
  <sheetFormatPr baseColWidth="8" defaultColWidth="9.140625" defaultRowHeight="15"/>
  <cols>
    <col width="44.85546875" customWidth="1" style="230" min="2" max="2"/>
    <col width="13" customWidth="1" style="230" min="3" max="3"/>
    <col width="22.85546875" customWidth="1" style="230" min="4" max="4"/>
    <col width="21.5703125" customWidth="1" style="230" min="5" max="5"/>
    <col width="43.85546875" customWidth="1" style="230" min="6" max="6"/>
  </cols>
  <sheetData>
    <row r="1" s="230"/>
    <row r="2" ht="17.25" customHeight="1" s="230">
      <c r="A2" s="251" t="inlineStr">
        <is>
          <t>Расчет размера средств на оплату труда рабочих-строителей в текущем уровне цен (ФОТр.тек.)</t>
        </is>
      </c>
    </row>
    <row r="3" s="230"/>
    <row r="4" ht="18" customHeight="1" s="230">
      <c r="A4" s="223" t="inlineStr">
        <is>
          <t>Составлен в уровне цен на 01.01.2023 г.</t>
        </is>
      </c>
      <c r="B4" s="228" t="n"/>
      <c r="C4" s="228" t="n"/>
      <c r="D4" s="228" t="n"/>
      <c r="E4" s="228" t="n"/>
      <c r="F4" s="228" t="n"/>
      <c r="G4" s="228" t="n"/>
    </row>
    <row r="5" ht="15.75" customHeight="1" s="230">
      <c r="A5" s="348" t="inlineStr">
        <is>
          <t>№ пп.</t>
        </is>
      </c>
      <c r="B5" s="348" t="inlineStr">
        <is>
          <t>Наименование элемента</t>
        </is>
      </c>
      <c r="C5" s="348" t="inlineStr">
        <is>
          <t>Обозначение</t>
        </is>
      </c>
      <c r="D5" s="348" t="inlineStr">
        <is>
          <t>Формула</t>
        </is>
      </c>
      <c r="E5" s="348" t="inlineStr">
        <is>
          <t>Величина элемента</t>
        </is>
      </c>
      <c r="F5" s="348" t="inlineStr">
        <is>
          <t>Наименования обосновывающих документов</t>
        </is>
      </c>
      <c r="G5" s="228" t="n"/>
    </row>
    <row r="6" ht="15.75" customHeight="1" s="230">
      <c r="A6" s="348" t="n">
        <v>1</v>
      </c>
      <c r="B6" s="348" t="n">
        <v>2</v>
      </c>
      <c r="C6" s="348" t="n">
        <v>3</v>
      </c>
      <c r="D6" s="348" t="n">
        <v>4</v>
      </c>
      <c r="E6" s="348" t="n">
        <v>5</v>
      </c>
      <c r="F6" s="348" t="n">
        <v>6</v>
      </c>
      <c r="G6" s="228" t="n"/>
    </row>
    <row r="7" ht="110.25" customHeight="1" s="230">
      <c r="A7" s="349" t="inlineStr">
        <is>
          <t>1.1</t>
        </is>
      </c>
      <c r="B7" s="3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1" t="inlineStr">
        <is>
          <t>С1ср</t>
        </is>
      </c>
      <c r="D7" s="351" t="inlineStr">
        <is>
          <t>-</t>
        </is>
      </c>
      <c r="E7" s="352" t="n">
        <v>47872.94</v>
      </c>
      <c r="F7" s="3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28" t="n"/>
    </row>
    <row r="8" ht="31.5" customHeight="1" s="230">
      <c r="A8" s="349" t="inlineStr">
        <is>
          <t>1.2</t>
        </is>
      </c>
      <c r="B8" s="350" t="inlineStr">
        <is>
          <t>Среднегодовое нормативное число часов работы одного рабочего в месяц, часы (ч.)</t>
        </is>
      </c>
      <c r="C8" s="351" t="inlineStr">
        <is>
          <t>tср</t>
        </is>
      </c>
      <c r="D8" s="351" t="inlineStr">
        <is>
          <t>1973ч/12мес.</t>
        </is>
      </c>
      <c r="E8" s="353">
        <f>1973/12</f>
        <v/>
      </c>
      <c r="F8" s="350" t="inlineStr">
        <is>
          <t>Производственный календарь 2023 год
(40-часов.неделя)</t>
        </is>
      </c>
      <c r="G8" s="226" t="n"/>
    </row>
    <row r="9" ht="15.75" customHeight="1" s="230">
      <c r="A9" s="349" t="inlineStr">
        <is>
          <t>1.3</t>
        </is>
      </c>
      <c r="B9" s="350" t="inlineStr">
        <is>
          <t>Коэффициент увеличения</t>
        </is>
      </c>
      <c r="C9" s="351" t="inlineStr">
        <is>
          <t>Кув</t>
        </is>
      </c>
      <c r="D9" s="351" t="inlineStr">
        <is>
          <t>-</t>
        </is>
      </c>
      <c r="E9" s="353" t="n">
        <v>1</v>
      </c>
      <c r="F9" s="350" t="n"/>
      <c r="G9" s="226" t="n"/>
    </row>
    <row r="10" ht="15.75" customHeight="1" s="230">
      <c r="A10" s="349" t="inlineStr">
        <is>
          <t>1.4</t>
        </is>
      </c>
      <c r="B10" s="350" t="inlineStr">
        <is>
          <t>Средний разряд работ</t>
        </is>
      </c>
      <c r="C10" s="351" t="n"/>
      <c r="D10" s="351" t="n"/>
      <c r="E10" s="382" t="n">
        <v>3.9</v>
      </c>
      <c r="F10" s="350" t="inlineStr">
        <is>
          <t>РТМ</t>
        </is>
      </c>
      <c r="G10" s="226" t="n"/>
    </row>
    <row r="11" ht="78.75" customHeight="1" s="230">
      <c r="A11" s="349" t="inlineStr">
        <is>
          <t>1.5</t>
        </is>
      </c>
      <c r="B11" s="350" t="inlineStr">
        <is>
          <t>Тарифный коэффициент среднего разряда работ</t>
        </is>
      </c>
      <c r="C11" s="351" t="inlineStr">
        <is>
          <t>КТ</t>
        </is>
      </c>
      <c r="D11" s="351" t="inlineStr">
        <is>
          <t>-</t>
        </is>
      </c>
      <c r="E11" s="383" t="n">
        <v>1.324</v>
      </c>
      <c r="F11" s="3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28" t="n"/>
    </row>
    <row r="12" ht="78.75" customHeight="1" s="230">
      <c r="A12" s="349" t="inlineStr">
        <is>
          <t>1.6</t>
        </is>
      </c>
      <c r="B12" s="356" t="inlineStr">
        <is>
          <t>Коэффициент инфляции, определяемый поквартально</t>
        </is>
      </c>
      <c r="C12" s="351" t="inlineStr">
        <is>
          <t>Кинф</t>
        </is>
      </c>
      <c r="D12" s="351" t="inlineStr">
        <is>
          <t>-</t>
        </is>
      </c>
      <c r="E12" s="384" t="n">
        <v>1.139</v>
      </c>
      <c r="F12" s="35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6" t="n"/>
    </row>
    <row r="13" ht="63" customHeight="1" s="230">
      <c r="A13" s="349" t="inlineStr">
        <is>
          <t>1.7</t>
        </is>
      </c>
      <c r="B13" s="359" t="inlineStr">
        <is>
          <t>Размер средств на оплату труда рабочих-строителей в текущем уровне цен (ФОТр.тек.), руб/чел.-ч</t>
        </is>
      </c>
      <c r="C13" s="351" t="inlineStr">
        <is>
          <t>ФОТр.тек.</t>
        </is>
      </c>
      <c r="D13" s="351" t="inlineStr">
        <is>
          <t>(С1ср/tср*КТ*Т*Кув)*Кинф</t>
        </is>
      </c>
      <c r="E13" s="360">
        <f>((E7*E9/E8)*E11)*E12</f>
        <v/>
      </c>
      <c r="F13" s="3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28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2025-01-24T11:53:43Z</dcterms:modified>
  <cp:lastModifiedBy>Nikolay Ivanov</cp:lastModifiedBy>
  <cp:lastPrinted>2023-11-30T07:54:33Z</cp:lastPrinted>
</cp:coreProperties>
</file>