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ОБ'!$A$1:$J$72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5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5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zoomScaleSheetLayoutView="100" workbookViewId="0">
      <selection activeCell="D28" sqref="D28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21" t="inlineStr">
        <is>
          <t>Наименование разрабатываемого показателя УНЦ - Устройство траншеи КЛ (две цепи) и восстановление благоустройства по трассе без учета восстановления газонов (все регионы) напряжение 0,4 кВ</t>
        </is>
      </c>
    </row>
    <row r="8" ht="31.5" customHeight="1">
      <c r="B8" s="120" t="inlineStr">
        <is>
          <t xml:space="preserve">Сопоставимый уровень цен: </t>
        </is>
      </c>
      <c r="C8" s="120" t="n"/>
      <c r="D8" s="186">
        <f>D22</f>
        <v/>
      </c>
    </row>
    <row r="9" ht="15.75" customHeight="1">
      <c r="B9" s="221" t="inlineStr">
        <is>
          <t>Единица измерения  — 1 км.</t>
        </is>
      </c>
    </row>
    <row r="10">
      <c r="B10" s="221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24" t="n"/>
    </row>
    <row r="12" ht="78.75" customHeight="1">
      <c r="B12" s="233" t="n">
        <v>1</v>
      </c>
      <c r="C12" s="125" t="inlineStr">
        <is>
          <t>Наименование объекта-представителя</t>
        </is>
      </c>
      <c r="D12" s="233" t="inlineStr">
        <is>
          <t>Реконструкция КВЛ 110 кВ «Фили-Ходынка с отп.» с переустройством воздушного участка в кабель, увеличением пропускной способности кабельного участка и организацией заходов на ПС "Шелепиха"</t>
        </is>
      </c>
    </row>
    <row r="13">
      <c r="B13" s="233" t="n">
        <v>2</v>
      </c>
      <c r="C13" s="125" t="inlineStr">
        <is>
          <t>Наименование субъекта Российской Федерации</t>
        </is>
      </c>
      <c r="D13" s="233" t="inlineStr">
        <is>
          <t>г. Москва</t>
        </is>
      </c>
    </row>
    <row r="14">
      <c r="B14" s="233" t="n">
        <v>3</v>
      </c>
      <c r="C14" s="125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25" t="inlineStr">
        <is>
          <t>Мощность объекта</t>
        </is>
      </c>
      <c r="D15" s="233" t="n">
        <v>1.228</v>
      </c>
    </row>
    <row r="16" ht="63" customHeight="1">
      <c r="B16" s="233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Кирпич керамический лицевой, размер 250x120x65 мм, марка 300</t>
        </is>
      </c>
    </row>
    <row r="17" ht="63" customHeight="1">
      <c r="B17" s="233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7">
        <f>'Прил.2 Расч стоим'!F13+'Прил.2 Расч стоим'!G13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7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7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7">
        <f>D18*0.022+(D18*0.022+D18)*0.021</f>
        <v/>
      </c>
    </row>
    <row r="22">
      <c r="B22" s="233" t="n">
        <v>7</v>
      </c>
      <c r="C22" s="129" t="inlineStr">
        <is>
          <t>Сопоставимый уровень цен</t>
        </is>
      </c>
      <c r="D22" s="188" t="inlineStr">
        <is>
          <t>3 кв. 2015 г.</t>
        </is>
      </c>
      <c r="E22" s="130" t="n"/>
    </row>
    <row r="23" ht="78.75" customHeight="1">
      <c r="B23" s="233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27" t="n"/>
    </row>
    <row r="24" ht="31.5" customHeight="1">
      <c r="B24" s="233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30" t="n"/>
    </row>
    <row r="25">
      <c r="B25" s="233" t="n">
        <v>10</v>
      </c>
      <c r="C25" s="125" t="inlineStr">
        <is>
          <t>Примечание</t>
        </is>
      </c>
      <c r="D25" s="233" t="n"/>
    </row>
    <row r="26">
      <c r="B26" s="132" t="n"/>
      <c r="C26" s="133" t="n"/>
      <c r="D26" s="133" t="n"/>
    </row>
    <row r="27" ht="37.5" customHeight="1">
      <c r="B27" s="120" t="n"/>
    </row>
    <row r="28">
      <c r="B28" s="121" t="inlineStr">
        <is>
          <t>Составил ______________________    Д.Ю. Нефедова</t>
        </is>
      </c>
    </row>
    <row r="29">
      <c r="B29" s="12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J22"/>
  <sheetViews>
    <sheetView view="pageBreakPreview" topLeftCell="A11" zoomScaleNormal="70" workbookViewId="0">
      <selection activeCell="E22" sqref="E22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9.140625" customWidth="1" style="121" min="11" max="11"/>
  </cols>
  <sheetData>
    <row r="3">
      <c r="B3" s="219" t="inlineStr">
        <is>
          <t>Приложение № 2</t>
        </is>
      </c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</row>
    <row r="6" ht="29.25" customHeight="1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35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2015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63" customHeight="1">
      <c r="B12" s="189" t="n">
        <v>1</v>
      </c>
      <c r="C12" s="226">
        <f>'Прил.1 Сравнит табл'!D16</f>
        <v/>
      </c>
      <c r="D12" s="190" t="inlineStr">
        <is>
          <t>01-04-01</t>
        </is>
      </c>
      <c r="E12" s="125" t="inlineStr">
        <is>
          <t>Перекладка сетей электроснабжения (КЛ 0,4 и КЛ 10 кВ).                                               (1-ый этап)</t>
        </is>
      </c>
      <c r="F12" s="191" t="n">
        <v>567.068394504</v>
      </c>
      <c r="G12" s="191" t="n">
        <v>231.10427</v>
      </c>
      <c r="H12" s="191" t="n"/>
      <c r="I12" s="191" t="n"/>
      <c r="J12" s="192">
        <f>SUM(F12:I12)</f>
        <v/>
      </c>
    </row>
    <row r="13" ht="15" customHeight="1">
      <c r="B13" s="316" t="inlineStr">
        <is>
          <t>Всего по объекту:</t>
        </is>
      </c>
      <c r="C13" s="312" t="n"/>
      <c r="D13" s="312" t="n"/>
      <c r="E13" s="313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316" t="inlineStr">
        <is>
          <t>Всего по объекту в сопоставимом уровне цен 3 кв. 2015 г. :</t>
        </is>
      </c>
      <c r="C14" s="312" t="n"/>
      <c r="D14" s="312" t="n"/>
      <c r="E14" s="313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4"/>
  <sheetViews>
    <sheetView view="pageBreakPreview" topLeftCell="A16" zoomScale="55" zoomScaleSheetLayoutView="55" workbookViewId="0">
      <selection activeCell="F53" sqref="F53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36" t="n"/>
      <c r="B4" s="136" t="n"/>
      <c r="C4" s="234" t="n"/>
    </row>
    <row r="5">
      <c r="A5" s="221" t="n"/>
    </row>
    <row r="6" ht="33.75" customHeight="1">
      <c r="A6" s="232" t="inlineStr">
        <is>
          <t>Наименование разрабатываемого показателя УНЦ -  Устройство траншеи КЛ (две цепи) и восстановление благоустройства по трассе без учета восстановления газонов (все регионы) напряжение 0,4 кВ</t>
        </is>
      </c>
    </row>
    <row r="7">
      <c r="A7" s="137" t="n"/>
      <c r="B7" s="137" t="n"/>
      <c r="C7" s="137" t="n"/>
      <c r="D7" s="137" t="n"/>
      <c r="E7" s="137" t="n"/>
      <c r="F7" s="137" t="n"/>
      <c r="G7" s="137" t="n"/>
      <c r="H7" s="137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3" t="n"/>
    </row>
    <row r="9" ht="40.5" customHeight="1">
      <c r="A9" s="315" t="n"/>
      <c r="B9" s="315" t="n"/>
      <c r="C9" s="315" t="n"/>
      <c r="D9" s="315" t="n"/>
      <c r="E9" s="315" t="n"/>
      <c r="F9" s="315" t="n"/>
      <c r="G9" s="233" t="inlineStr">
        <is>
          <t>на ед.изм.</t>
        </is>
      </c>
      <c r="H9" s="233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49">
      <c r="A11" s="236" t="inlineStr">
        <is>
          <t>Затраты труда рабочих</t>
        </is>
      </c>
      <c r="B11" s="312" t="n"/>
      <c r="C11" s="312" t="n"/>
      <c r="D11" s="312" t="n"/>
      <c r="E11" s="313" t="n"/>
      <c r="F11" s="317">
        <f>SUM(F12:F16)</f>
        <v/>
      </c>
      <c r="G11" s="10" t="n"/>
      <c r="H11" s="317">
        <f>SUM(H12:H16)</f>
        <v/>
      </c>
    </row>
    <row r="12">
      <c r="A12" s="267" t="n">
        <v>1</v>
      </c>
      <c r="B12" s="140" t="n"/>
      <c r="C12" s="141" t="inlineStr">
        <is>
          <t>1-2-0</t>
        </is>
      </c>
      <c r="D12" s="142" t="inlineStr">
        <is>
          <t>Затраты труда рабочих (средний разряд работы 2,0)</t>
        </is>
      </c>
      <c r="E12" s="267" t="inlineStr">
        <is>
          <t>чел.-ч</t>
        </is>
      </c>
      <c r="F12" s="318" t="n">
        <v>510.3</v>
      </c>
      <c r="G12" s="145" t="n">
        <v>7.8</v>
      </c>
      <c r="H12" s="145">
        <f>ROUND(F12*G12,2)</f>
        <v/>
      </c>
      <c r="M12" s="319" t="n"/>
    </row>
    <row r="13">
      <c r="A13" s="267" t="n">
        <v>2</v>
      </c>
      <c r="B13" s="140" t="n"/>
      <c r="C13" s="141" t="inlineStr">
        <is>
          <t>1-1-5</t>
        </is>
      </c>
      <c r="D13" s="142" t="inlineStr">
        <is>
          <t>Затраты труда рабочих (средний разряд работы 1,5)</t>
        </is>
      </c>
      <c r="E13" s="267" t="inlineStr">
        <is>
          <t>чел.-ч</t>
        </is>
      </c>
      <c r="F13" s="318">
        <f>224.8+86.1107097</f>
        <v/>
      </c>
      <c r="G13" s="145" t="n">
        <v>7.5</v>
      </c>
      <c r="H13" s="145">
        <f>ROUND(F13*G13,2)</f>
        <v/>
      </c>
    </row>
    <row r="14">
      <c r="A14" s="267" t="n">
        <v>3</v>
      </c>
      <c r="B14" s="140" t="n"/>
      <c r="C14" s="141" t="inlineStr">
        <is>
          <t>1-2-5</t>
        </is>
      </c>
      <c r="D14" s="142" t="inlineStr">
        <is>
          <t>Затраты труда рабочих (средний разряд работы 2,5)</t>
        </is>
      </c>
      <c r="E14" s="267" t="inlineStr">
        <is>
          <t>чел.-ч</t>
        </is>
      </c>
      <c r="F14" s="318" t="n">
        <v>64.70999999999999</v>
      </c>
      <c r="G14" s="145" t="n">
        <v>8.17</v>
      </c>
      <c r="H14" s="145">
        <f>ROUND(F14*G14,2)</f>
        <v/>
      </c>
    </row>
    <row r="15">
      <c r="A15" s="267" t="n">
        <v>4</v>
      </c>
      <c r="B15" s="140" t="n"/>
      <c r="C15" s="141" t="inlineStr">
        <is>
          <t>1-2-7</t>
        </is>
      </c>
      <c r="D15" s="142" t="inlineStr">
        <is>
          <t>Затраты труда рабочих (средний разряд работы 2,7)</t>
        </is>
      </c>
      <c r="E15" s="267" t="inlineStr">
        <is>
          <t>чел.-ч</t>
        </is>
      </c>
      <c r="F15" s="318" t="n">
        <v>55.74</v>
      </c>
      <c r="G15" s="145" t="n">
        <v>8.31</v>
      </c>
      <c r="H15" s="145">
        <f>ROUND(F15*G15,2)</f>
        <v/>
      </c>
    </row>
    <row r="16">
      <c r="A16" s="267" t="n">
        <v>5</v>
      </c>
      <c r="B16" s="140" t="n"/>
      <c r="C16" s="141" t="inlineStr">
        <is>
          <t>1-4-0</t>
        </is>
      </c>
      <c r="D16" s="142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18" t="n">
        <v>25.86</v>
      </c>
      <c r="G16" s="145" t="n">
        <v>9.619999999999999</v>
      </c>
      <c r="H16" s="145">
        <f>ROUND(F16*G16,2)</f>
        <v/>
      </c>
    </row>
    <row r="17">
      <c r="A17" s="235" t="inlineStr">
        <is>
          <t>Затраты труда машинистов</t>
        </is>
      </c>
      <c r="B17" s="312" t="n"/>
      <c r="C17" s="312" t="n"/>
      <c r="D17" s="312" t="n"/>
      <c r="E17" s="313" t="n"/>
      <c r="F17" s="236" t="n"/>
      <c r="G17" s="146" t="n"/>
      <c r="H17" s="317">
        <f>H18</f>
        <v/>
      </c>
    </row>
    <row r="18">
      <c r="A18" s="267" t="n">
        <v>6</v>
      </c>
      <c r="B18" s="237" t="n"/>
      <c r="C18" s="141" t="n">
        <v>2</v>
      </c>
      <c r="D18" s="142" t="inlineStr">
        <is>
          <t>Затраты труда машинистов</t>
        </is>
      </c>
      <c r="E18" s="267" t="inlineStr">
        <is>
          <t>чел.-ч</t>
        </is>
      </c>
      <c r="F18" s="318">
        <f>29.49+28.65</f>
        <v/>
      </c>
      <c r="G18" s="145" t="n"/>
      <c r="H18" s="320">
        <f>328.2+383.56</f>
        <v/>
      </c>
    </row>
    <row r="19" customFormat="1" s="149">
      <c r="A19" s="236" t="inlineStr">
        <is>
          <t>Машины и механизмы</t>
        </is>
      </c>
      <c r="B19" s="312" t="n"/>
      <c r="C19" s="312" t="n"/>
      <c r="D19" s="312" t="n"/>
      <c r="E19" s="313" t="n"/>
      <c r="F19" s="236" t="n"/>
      <c r="G19" s="146" t="n"/>
      <c r="H19" s="317">
        <f>SUM(H20:H35)</f>
        <v/>
      </c>
    </row>
    <row r="20">
      <c r="A20" s="267" t="n">
        <v>7</v>
      </c>
      <c r="B20" s="237" t="n"/>
      <c r="C20" s="141" t="inlineStr">
        <is>
          <t>91.14.03-002</t>
        </is>
      </c>
      <c r="D20" s="142" t="inlineStr">
        <is>
          <t>Автомобили-самосвалы, грузоподъемность до 10 т</t>
        </is>
      </c>
      <c r="E20" s="267" t="inlineStr">
        <is>
          <t>маш.-ч</t>
        </is>
      </c>
      <c r="F20" s="267" t="n">
        <v>26.96</v>
      </c>
      <c r="G20" s="147" t="n">
        <v>87.48999999999999</v>
      </c>
      <c r="H20" s="145">
        <f>ROUND(F20*G20,2)</f>
        <v/>
      </c>
      <c r="I20" s="150" t="n"/>
      <c r="J20" s="150" t="n"/>
      <c r="L20" s="150" t="n"/>
    </row>
    <row r="21" ht="38.25" customFormat="1" customHeight="1" s="149">
      <c r="A21" s="267" t="n">
        <v>8</v>
      </c>
      <c r="B21" s="237" t="n"/>
      <c r="C21" s="141" t="inlineStr">
        <is>
          <t>91.18.01-007</t>
        </is>
      </c>
      <c r="D21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267" t="inlineStr">
        <is>
          <t>маш.-ч</t>
        </is>
      </c>
      <c r="F21" s="267" t="n">
        <v>13.72</v>
      </c>
      <c r="G21" s="147" t="n">
        <v>90</v>
      </c>
      <c r="H21" s="145">
        <f>ROUND(F21*G21,2)</f>
        <v/>
      </c>
      <c r="I21" s="150" t="n"/>
      <c r="J21" s="150" t="n"/>
      <c r="L21" s="150" t="n"/>
    </row>
    <row r="22">
      <c r="A22" s="267" t="n">
        <v>9</v>
      </c>
      <c r="B22" s="237" t="n"/>
      <c r="C22" s="141" t="inlineStr">
        <is>
          <t>91.14.02-001</t>
        </is>
      </c>
      <c r="D22" s="142" t="inlineStr">
        <is>
          <t>Автомобили бортовые, грузоподъемность до 5 т</t>
        </is>
      </c>
      <c r="E22" s="267" t="inlineStr">
        <is>
          <t>маш.-ч</t>
        </is>
      </c>
      <c r="F22" s="267" t="n">
        <v>6.89</v>
      </c>
      <c r="G22" s="147" t="n">
        <v>65.70999999999999</v>
      </c>
      <c r="H22" s="145">
        <f>ROUND(F22*G22,2)</f>
        <v/>
      </c>
      <c r="I22" s="150" t="n"/>
      <c r="J22" s="150" t="n"/>
      <c r="L22" s="150" t="n"/>
    </row>
    <row r="23" ht="25.5" customHeight="1">
      <c r="A23" s="267" t="n">
        <v>10</v>
      </c>
      <c r="B23" s="237" t="n"/>
      <c r="C23" s="141" t="inlineStr">
        <is>
          <t>91.05.05-014</t>
        </is>
      </c>
      <c r="D23" s="142" t="inlineStr">
        <is>
          <t>Краны на автомобильном ходу, грузоподъемность 10 т</t>
        </is>
      </c>
      <c r="E23" s="267" t="inlineStr">
        <is>
          <t>маш.-ч</t>
        </is>
      </c>
      <c r="F23" s="267" t="n">
        <v>3.66</v>
      </c>
      <c r="G23" s="147" t="n">
        <v>111.99</v>
      </c>
      <c r="H23" s="145">
        <f>ROUND(F23*G23,2)</f>
        <v/>
      </c>
      <c r="I23" s="150" t="n"/>
      <c r="J23" s="150" t="n"/>
      <c r="K23" s="150" t="n"/>
      <c r="L23" s="150" t="n"/>
    </row>
    <row r="24">
      <c r="A24" s="267" t="n">
        <v>11</v>
      </c>
      <c r="B24" s="237" t="n"/>
      <c r="C24" s="141" t="inlineStr">
        <is>
          <t>91.06.05-011</t>
        </is>
      </c>
      <c r="D24" s="142" t="inlineStr">
        <is>
          <t>Погрузчики, грузоподъемность 5 т</t>
        </is>
      </c>
      <c r="E24" s="267" t="inlineStr">
        <is>
          <t>маш.-ч</t>
        </is>
      </c>
      <c r="F24" s="267" t="n">
        <v>2.04</v>
      </c>
      <c r="G24" s="147" t="n">
        <v>89.98999999999999</v>
      </c>
      <c r="H24" s="145">
        <f>ROUND(F24*G24,2)</f>
        <v/>
      </c>
      <c r="I24" s="150" t="n"/>
      <c r="J24" s="150" t="n"/>
      <c r="K24" s="150" t="n"/>
      <c r="L24" s="150" t="n"/>
    </row>
    <row r="25">
      <c r="A25" s="267" t="n">
        <v>12</v>
      </c>
      <c r="B25" s="237" t="n"/>
      <c r="C25" s="141" t="inlineStr">
        <is>
          <t>91.08.11-011</t>
        </is>
      </c>
      <c r="D25" s="142" t="inlineStr">
        <is>
          <t>Заливщик швов на базе автомобиля</t>
        </is>
      </c>
      <c r="E25" s="267" t="inlineStr">
        <is>
          <t>маш.час</t>
        </is>
      </c>
      <c r="F25" s="267" t="n">
        <v>0.98</v>
      </c>
      <c r="G25" s="147" t="n">
        <v>175.25</v>
      </c>
      <c r="H25" s="145">
        <f>ROUND(F25*G25,2)</f>
        <v/>
      </c>
      <c r="I25" s="150" t="n"/>
      <c r="J25" s="150" t="n"/>
    </row>
    <row r="26">
      <c r="A26" s="267" t="n">
        <v>13</v>
      </c>
      <c r="B26" s="237" t="n"/>
      <c r="C26" s="141" t="inlineStr">
        <is>
          <t>91.08.06-003</t>
        </is>
      </c>
      <c r="D26" s="142" t="inlineStr">
        <is>
          <t>Нарезчик швов, максимальная глубина резки 200 мм</t>
        </is>
      </c>
      <c r="E26" s="267" t="inlineStr">
        <is>
          <t>маш.час</t>
        </is>
      </c>
      <c r="F26" s="267" t="n">
        <v>2.51</v>
      </c>
      <c r="G26" s="147" t="n">
        <v>60.89</v>
      </c>
      <c r="H26" s="145">
        <f>ROUND(F26*G26,2)</f>
        <v/>
      </c>
      <c r="J26" s="150" t="n"/>
    </row>
    <row r="27" ht="25.5" customHeight="1">
      <c r="A27" s="267" t="n">
        <v>14</v>
      </c>
      <c r="B27" s="237" t="n"/>
      <c r="C27" s="141" t="inlineStr">
        <is>
          <t>91.01.02-004</t>
        </is>
      </c>
      <c r="D27" s="142" t="inlineStr">
        <is>
          <t>Автогрейдеры: среднего типа, мощность 99 кВт (135 л.с.)</t>
        </is>
      </c>
      <c r="E27" s="267" t="inlineStr">
        <is>
          <t>маш.час</t>
        </is>
      </c>
      <c r="F27" s="267" t="n">
        <v>0.95</v>
      </c>
      <c r="G27" s="147" t="n">
        <v>123</v>
      </c>
      <c r="H27" s="145">
        <f>ROUND(F27*G27,2)</f>
        <v/>
      </c>
      <c r="J27" s="150" t="n"/>
    </row>
    <row r="28">
      <c r="A28" s="267" t="n">
        <v>15</v>
      </c>
      <c r="B28" s="237" t="n"/>
      <c r="C28" s="141" t="inlineStr">
        <is>
          <t>91.14.02-001</t>
        </is>
      </c>
      <c r="D28" s="142" t="inlineStr">
        <is>
          <t>Автомобили бортовые, грузоподъемность до 5 т</t>
        </is>
      </c>
      <c r="E28" s="267" t="inlineStr">
        <is>
          <t>маш.-ч</t>
        </is>
      </c>
      <c r="F28" s="267" t="n">
        <v>1.69</v>
      </c>
      <c r="G28" s="147" t="n">
        <v>65.70999999999999</v>
      </c>
      <c r="H28" s="145">
        <f>ROUND(F28*G28,2)</f>
        <v/>
      </c>
      <c r="J28" s="150" t="n"/>
    </row>
    <row r="29">
      <c r="A29" s="267" t="n">
        <v>16</v>
      </c>
      <c r="B29" s="237" t="n"/>
      <c r="C29" s="141" t="inlineStr">
        <is>
          <t>91.13.01-038</t>
        </is>
      </c>
      <c r="D29" s="142" t="inlineStr">
        <is>
          <t>Машины поливомоечные 6000 л</t>
        </is>
      </c>
      <c r="E29" s="267" t="inlineStr">
        <is>
          <t>маш.час</t>
        </is>
      </c>
      <c r="F29" s="267" t="n">
        <v>0.39</v>
      </c>
      <c r="G29" s="147" t="n">
        <v>110</v>
      </c>
      <c r="H29" s="145">
        <f>ROUND(F29*G29,2)</f>
        <v/>
      </c>
      <c r="J29" s="150" t="n"/>
    </row>
    <row r="30" ht="25.5" customHeight="1">
      <c r="A30" s="267" t="n">
        <v>17</v>
      </c>
      <c r="B30" s="237" t="n"/>
      <c r="C30" s="141" t="inlineStr">
        <is>
          <t>91.21.10-003</t>
        </is>
      </c>
      <c r="D30" s="142" t="inlineStr">
        <is>
          <t>Молотки при работе от передвижных компрессорных станций: отбойные пневматические</t>
        </is>
      </c>
      <c r="E30" s="267" t="inlineStr">
        <is>
          <t>маш.час</t>
        </is>
      </c>
      <c r="F30" s="267" t="n">
        <v>27.33</v>
      </c>
      <c r="G30" s="147" t="n">
        <v>1.53</v>
      </c>
      <c r="H30" s="145">
        <f>ROUND(F30*G30,2)</f>
        <v/>
      </c>
      <c r="J30" s="150" t="n"/>
    </row>
    <row r="31">
      <c r="A31" s="267" t="n">
        <v>18</v>
      </c>
      <c r="B31" s="237" t="n"/>
      <c r="C31" s="141" t="inlineStr">
        <is>
          <t>91.01.01-035</t>
        </is>
      </c>
      <c r="D31" s="142" t="inlineStr">
        <is>
          <t>Бульдозеры, мощность 79 кВт (108 л.с.)</t>
        </is>
      </c>
      <c r="E31" s="267" t="inlineStr">
        <is>
          <t>маш.час</t>
        </is>
      </c>
      <c r="F31" s="267" t="n">
        <v>0.52</v>
      </c>
      <c r="G31" s="147" t="n">
        <v>79.06999999999999</v>
      </c>
      <c r="H31" s="145">
        <f>ROUND(F31*G31,2)</f>
        <v/>
      </c>
      <c r="J31" s="150" t="n"/>
    </row>
    <row r="32" ht="25.5" customHeight="1">
      <c r="A32" s="267" t="n">
        <v>19</v>
      </c>
      <c r="B32" s="237" t="n"/>
      <c r="C32" s="141" t="inlineStr">
        <is>
          <t>91.15.02-023</t>
        </is>
      </c>
      <c r="D32" s="142" t="inlineStr">
        <is>
          <t>Тракторы на гусеничном ходу, мощность 59 кВт (80 л.с.)</t>
        </is>
      </c>
      <c r="E32" s="267" t="inlineStr">
        <is>
          <t>маш.час</t>
        </is>
      </c>
      <c r="F32" s="267" t="n">
        <v>0.33</v>
      </c>
      <c r="G32" s="147" t="n">
        <v>77.2</v>
      </c>
      <c r="H32" s="145">
        <f>ROUND(F32*G32,2)</f>
        <v/>
      </c>
      <c r="J32" s="321" t="n"/>
      <c r="L32" s="150" t="n"/>
    </row>
    <row r="33">
      <c r="A33" s="267" t="n">
        <v>20</v>
      </c>
      <c r="B33" s="237" t="n"/>
      <c r="C33" s="141" t="inlineStr">
        <is>
          <t>91.08.04-021</t>
        </is>
      </c>
      <c r="D33" s="142" t="inlineStr">
        <is>
          <t>Котлы битумные: передвижные 400 л</t>
        </is>
      </c>
      <c r="E33" s="267" t="inlineStr">
        <is>
          <t>маш.час</t>
        </is>
      </c>
      <c r="F33" s="267" t="n">
        <v>0.18</v>
      </c>
      <c r="G33" s="147" t="n">
        <v>30</v>
      </c>
      <c r="H33" s="145">
        <f>ROUND(F33*G33,2)</f>
        <v/>
      </c>
      <c r="L33" s="150" t="n"/>
    </row>
    <row r="34">
      <c r="A34" s="267" t="n">
        <v>21</v>
      </c>
      <c r="B34" s="237" t="n"/>
      <c r="C34" s="141" t="inlineStr">
        <is>
          <t>91.12.06-012</t>
        </is>
      </c>
      <c r="D34" s="142" t="inlineStr">
        <is>
          <t>Рыхлители прицепные (без трактора)</t>
        </is>
      </c>
      <c r="E34" s="267" t="inlineStr">
        <is>
          <t>маш.час</t>
        </is>
      </c>
      <c r="F34" s="267" t="n">
        <v>0.33</v>
      </c>
      <c r="G34" s="147" t="n">
        <v>8</v>
      </c>
      <c r="H34" s="145">
        <f>ROUND(F34*G34,2)</f>
        <v/>
      </c>
      <c r="L34" s="150" t="n"/>
    </row>
    <row r="35">
      <c r="A35" s="267" t="n">
        <v>22</v>
      </c>
      <c r="B35" s="237" t="n"/>
      <c r="C35" s="141" t="inlineStr">
        <is>
          <t>91.14.03-001</t>
        </is>
      </c>
      <c r="D35" s="142" t="inlineStr">
        <is>
          <t>Автомобиль-самосвал, грузоподъемность: до 7 т</t>
        </is>
      </c>
      <c r="E35" s="267" t="inlineStr">
        <is>
          <t>маш.час</t>
        </is>
      </c>
      <c r="F35" s="267" t="n">
        <v>0.01</v>
      </c>
      <c r="G35" s="147" t="n">
        <v>89.54000000000001</v>
      </c>
      <c r="H35" s="145">
        <f>ROUND(F35*G35,2)</f>
        <v/>
      </c>
    </row>
    <row r="36" ht="15" customHeight="1">
      <c r="A36" s="235" t="inlineStr">
        <is>
          <t>Оборудование</t>
        </is>
      </c>
      <c r="B36" s="312" t="n"/>
      <c r="C36" s="312" t="n"/>
      <c r="D36" s="312" t="n"/>
      <c r="E36" s="313" t="n"/>
      <c r="F36" s="10" t="n"/>
      <c r="G36" s="10" t="n"/>
      <c r="H36" s="317" t="n"/>
    </row>
    <row r="37">
      <c r="A37" s="236" t="inlineStr">
        <is>
          <t>Материалы</t>
        </is>
      </c>
      <c r="B37" s="312" t="n"/>
      <c r="C37" s="312" t="n"/>
      <c r="D37" s="312" t="n"/>
      <c r="E37" s="313" t="n"/>
      <c r="F37" s="236" t="n"/>
      <c r="G37" s="146" t="n"/>
      <c r="H37" s="317" t="n">
        <v>5704.79</v>
      </c>
    </row>
    <row r="38" ht="25.5" customHeight="1">
      <c r="A38" s="144" t="n">
        <v>23</v>
      </c>
      <c r="B38" s="237" t="n"/>
      <c r="C38" s="141" t="inlineStr">
        <is>
          <t>06.1.01.05-0021</t>
        </is>
      </c>
      <c r="D38" s="142" t="inlineStr">
        <is>
          <t>Кирпич керамический лицевой, размер 250x120x65 мм, марка 300</t>
        </is>
      </c>
      <c r="E38" s="267" t="inlineStr">
        <is>
          <t>1000 шт</t>
        </is>
      </c>
      <c r="F38" s="267" t="n">
        <v>1.948</v>
      </c>
      <c r="G38" s="145" t="n">
        <v>2271.3</v>
      </c>
      <c r="H38" s="145" t="n">
        <v>4424.49</v>
      </c>
      <c r="I38" s="152" t="n"/>
      <c r="J38" s="150" t="n"/>
      <c r="K38" s="150" t="n"/>
    </row>
    <row r="39">
      <c r="A39" s="144" t="n">
        <v>24</v>
      </c>
      <c r="B39" s="237" t="n"/>
      <c r="C39" s="141" t="inlineStr">
        <is>
          <t>02.3.01.02-0015</t>
        </is>
      </c>
      <c r="D39" s="142" t="inlineStr">
        <is>
          <t>Песок природный для строительных: работ средний</t>
        </is>
      </c>
      <c r="E39" s="267" t="inlineStr">
        <is>
          <t>м3</t>
        </is>
      </c>
      <c r="F39" s="267" t="n">
        <v>18</v>
      </c>
      <c r="G39" s="145" t="n">
        <v>55.26</v>
      </c>
      <c r="H39" s="145" t="n">
        <v>994.6799999999999</v>
      </c>
      <c r="I39" s="152" t="n"/>
      <c r="J39" s="150" t="n"/>
      <c r="K39" s="150" t="n"/>
    </row>
    <row r="40">
      <c r="A40" s="144" t="n">
        <v>25</v>
      </c>
      <c r="B40" s="237" t="n"/>
      <c r="C40" s="141" t="inlineStr">
        <is>
          <t>01.7.07.29-0221</t>
        </is>
      </c>
      <c r="D40" s="142" t="inlineStr">
        <is>
          <t>Уплотнительный состав</t>
        </is>
      </c>
      <c r="E40" s="267" t="inlineStr">
        <is>
          <t>кг</t>
        </is>
      </c>
      <c r="F40" s="267" t="n">
        <v>11.52</v>
      </c>
      <c r="G40" s="145" t="n">
        <v>16.7</v>
      </c>
      <c r="H40" s="145" t="n">
        <v>192.38</v>
      </c>
      <c r="I40" s="152" t="n"/>
      <c r="J40" s="150" t="n"/>
      <c r="K40" s="150" t="n"/>
    </row>
    <row r="41">
      <c r="A41" s="144" t="n">
        <v>26</v>
      </c>
      <c r="B41" s="237" t="n"/>
      <c r="C41" s="141" t="inlineStr">
        <is>
          <t>01.2.03.03-0045</t>
        </is>
      </c>
      <c r="D41" s="142" t="inlineStr">
        <is>
          <t>Мастика битумно-полимерная</t>
        </is>
      </c>
      <c r="E41" s="267" t="inlineStr">
        <is>
          <t>т</t>
        </is>
      </c>
      <c r="F41" s="267" t="n">
        <v>0.021</v>
      </c>
      <c r="G41" s="145" t="n">
        <v>1500</v>
      </c>
      <c r="H41" s="145" t="n">
        <v>31.5</v>
      </c>
      <c r="I41" s="152" t="n"/>
      <c r="J41" s="150" t="n"/>
    </row>
    <row r="42" ht="25.5" customHeight="1">
      <c r="A42" s="144" t="n">
        <v>27</v>
      </c>
      <c r="B42" s="237" t="n"/>
      <c r="C42" s="141" t="inlineStr">
        <is>
          <t>01.1.01.09-0024</t>
        </is>
      </c>
      <c r="D42" s="142" t="inlineStr">
        <is>
          <t>Шнур асбестовый общего назначения марки: ШАОН диаметром 3-5 мм</t>
        </is>
      </c>
      <c r="E42" s="267" t="inlineStr">
        <is>
          <t>т</t>
        </is>
      </c>
      <c r="F42" s="267" t="n">
        <v>0.001</v>
      </c>
      <c r="G42" s="145" t="n">
        <v>26950</v>
      </c>
      <c r="H42" s="145" t="n">
        <v>26.95</v>
      </c>
      <c r="I42" s="152" t="n"/>
      <c r="J42" s="150" t="n"/>
    </row>
    <row r="43">
      <c r="A43" s="144" t="n">
        <v>28</v>
      </c>
      <c r="B43" s="237" t="n"/>
      <c r="C43" s="141" t="inlineStr">
        <is>
          <t>01.7.07.29-0111</t>
        </is>
      </c>
      <c r="D43" s="142" t="inlineStr">
        <is>
          <t>Пакля пропитанная</t>
        </is>
      </c>
      <c r="E43" s="267" t="inlineStr">
        <is>
          <t>кг</t>
        </is>
      </c>
      <c r="F43" s="267" t="n">
        <v>2.4</v>
      </c>
      <c r="G43" s="145" t="n">
        <v>9.039999999999999</v>
      </c>
      <c r="H43" s="145" t="n">
        <v>21.7</v>
      </c>
      <c r="I43" s="152" t="n"/>
      <c r="J43" s="150" t="n"/>
    </row>
    <row r="44" ht="25.5" customHeight="1">
      <c r="A44" s="144" t="n">
        <v>29</v>
      </c>
      <c r="B44" s="237" t="n"/>
      <c r="C44" s="141" t="inlineStr">
        <is>
          <t>01.2.01.01-0019</t>
        </is>
      </c>
      <c r="D44" s="142" t="inlineStr">
        <is>
          <t>Битумы нефтяные дорожные марки: БНД-60/90, БНД 90/130</t>
        </is>
      </c>
      <c r="E44" s="267" t="inlineStr">
        <is>
          <t>т</t>
        </is>
      </c>
      <c r="F44" s="267" t="n">
        <v>0.003</v>
      </c>
      <c r="G44" s="145" t="n">
        <v>1690</v>
      </c>
      <c r="H44" s="145" t="n">
        <v>5.07</v>
      </c>
      <c r="I44" s="152" t="n"/>
      <c r="J44" s="150" t="n"/>
    </row>
    <row r="45" ht="25.5" customHeight="1">
      <c r="A45" s="144" t="n">
        <v>30</v>
      </c>
      <c r="B45" s="237" t="n"/>
      <c r="C45" s="141" t="inlineStr">
        <is>
          <t>999-9950</t>
        </is>
      </c>
      <c r="D45" s="142" t="inlineStr">
        <is>
          <t>Вспомогательные ненормируемые ресурсы (2% от Оплаты труда рабочих)</t>
        </is>
      </c>
      <c r="E45" s="267" t="inlineStr">
        <is>
          <t>руб.</t>
        </is>
      </c>
      <c r="F45" s="267" t="n">
        <v>4.903</v>
      </c>
      <c r="G45" s="145" t="n">
        <v>1</v>
      </c>
      <c r="H45" s="145" t="n">
        <v>4.9</v>
      </c>
      <c r="I45" s="152" t="n"/>
      <c r="J45" s="150" t="n"/>
    </row>
    <row r="46">
      <c r="A46" s="144" t="n">
        <v>31</v>
      </c>
      <c r="B46" s="237" t="n"/>
      <c r="C46" s="141" t="inlineStr">
        <is>
          <t>01.7.03.01-0001</t>
        </is>
      </c>
      <c r="D46" s="142" t="inlineStr">
        <is>
          <t>Вода</t>
        </is>
      </c>
      <c r="E46" s="267" t="inlineStr">
        <is>
          <t>м3</t>
        </is>
      </c>
      <c r="F46" s="267" t="n">
        <v>1.05</v>
      </c>
      <c r="G46" s="145" t="n">
        <v>2.44</v>
      </c>
      <c r="H46" s="145" t="n">
        <v>2.56</v>
      </c>
      <c r="I46" s="152" t="n"/>
      <c r="J46" s="150" t="n"/>
    </row>
    <row r="47" ht="25.5" customHeight="1">
      <c r="A47" s="144" t="n">
        <v>32</v>
      </c>
      <c r="B47" s="237" t="n"/>
      <c r="C47" s="141" t="inlineStr">
        <is>
          <t>02.2.05.04-0093</t>
        </is>
      </c>
      <c r="D47" s="142" t="inlineStr">
        <is>
          <t>Щебень из природного камня для строительных работ марка: 800, фракция 20-40 мм</t>
        </is>
      </c>
      <c r="E47" s="267" t="inlineStr">
        <is>
          <t>м3</t>
        </is>
      </c>
      <c r="F47" s="267" t="n">
        <v>0.0052</v>
      </c>
      <c r="G47" s="145" t="n">
        <v>108.4</v>
      </c>
      <c r="H47" s="145" t="n">
        <v>0.5600000000000001</v>
      </c>
      <c r="I47" s="152" t="n"/>
      <c r="J47" s="150" t="n"/>
    </row>
    <row r="50">
      <c r="B50" s="121" t="inlineStr">
        <is>
          <t>Составил ______________________     Д.Ю. Нефедова</t>
        </is>
      </c>
    </row>
    <row r="51">
      <c r="B51" s="120" t="inlineStr">
        <is>
          <t xml:space="preserve">                         (подпись, инициалы, фамилия)</t>
        </is>
      </c>
    </row>
    <row r="53">
      <c r="B53" s="121" t="inlineStr">
        <is>
          <t>Проверил ______________________        А.В. Костянецкая</t>
        </is>
      </c>
    </row>
    <row r="54">
      <c r="B54" s="12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A37:E37"/>
    <mergeCell ref="C4:H4"/>
    <mergeCell ref="A36:E36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38.25" customHeight="1">
      <c r="B7" s="218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0,4 кВ</t>
        </is>
      </c>
    </row>
    <row r="8">
      <c r="B8" s="242" t="inlineStr">
        <is>
          <t>Единица измерения  — 1 км.</t>
        </is>
      </c>
    </row>
    <row r="9">
      <c r="B9" s="153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ОБ'!J57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ОБ'!D60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ОБ'!J42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ОБ'!E64</f>
        <v/>
      </c>
      <c r="D41" s="25" t="n"/>
      <c r="E41" s="25" t="n"/>
      <c r="G41" s="156" t="n"/>
    </row>
    <row r="42">
      <c r="B42" s="157" t="n"/>
      <c r="C42" s="4" t="n"/>
      <c r="D42" s="4" t="n"/>
      <c r="E42" s="4" t="n"/>
      <c r="G42" s="156" t="n"/>
    </row>
    <row r="43">
      <c r="B43" s="157" t="inlineStr">
        <is>
          <t>Составил ____________________________ Д.Ю. Нефедова</t>
        </is>
      </c>
      <c r="C43" s="4" t="n"/>
      <c r="D43" s="4" t="n"/>
      <c r="E43" s="4" t="n"/>
      <c r="G43" s="152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4"/>
  <sheetViews>
    <sheetView view="pageBreakPreview" topLeftCell="A54" zoomScale="85" workbookViewId="0">
      <selection activeCell="B40" sqref="B4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width="27.42578125" customWidth="1" min="14" max="14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69" t="n"/>
      <c r="D5" s="209" t="n"/>
      <c r="E5" s="209" t="n"/>
      <c r="F5" s="209" t="n"/>
      <c r="G5" s="209" t="n"/>
      <c r="H5" s="209" t="n"/>
      <c r="I5" s="209" t="n"/>
      <c r="J5" s="209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61" t="inlineStr">
        <is>
          <t>Устройство траншеи КЛ (две цепи) и восстановление благоустройства по трассе без учета восстановления газонов (все регионы) напряжение 0,4 кВ</t>
        </is>
      </c>
    </row>
    <row r="7" ht="12.75" customFormat="1" customHeight="1" s="4">
      <c r="A7" s="212" t="inlineStr">
        <is>
          <t>Единица измерения  — 1 км.</t>
        </is>
      </c>
      <c r="I7" s="218" t="n"/>
      <c r="J7" s="218" t="n"/>
    </row>
    <row r="8" ht="13.15" customFormat="1" customHeight="1" s="4"/>
    <row r="9" ht="27" customHeight="1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13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>
      <c r="A10" s="315" t="n"/>
      <c r="B10" s="315" t="n"/>
      <c r="C10" s="315" t="n"/>
      <c r="D10" s="315" t="n"/>
      <c r="E10" s="315" t="n"/>
      <c r="F10" s="249" t="inlineStr">
        <is>
          <t>на ед. изм.</t>
        </is>
      </c>
      <c r="G10" s="249" t="inlineStr">
        <is>
          <t>общая</t>
        </is>
      </c>
      <c r="H10" s="315" t="n"/>
      <c r="I10" s="249" t="inlineStr">
        <is>
          <t>на ед. изм.</t>
        </is>
      </c>
      <c r="J10" s="249" t="inlineStr">
        <is>
          <t>общая</t>
        </is>
      </c>
      <c r="M10" s="12" t="n"/>
      <c r="N10" s="12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44" t="n">
        <v>9</v>
      </c>
      <c r="J11" s="244" t="n">
        <v>10</v>
      </c>
      <c r="M11" s="12" t="n"/>
      <c r="N11" s="12" t="n"/>
    </row>
    <row r="12">
      <c r="A12" s="249" t="n"/>
      <c r="B12" s="235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12" t="n"/>
      <c r="J12" s="112" t="n"/>
    </row>
    <row r="13" ht="25.5" customHeight="1">
      <c r="A13" s="249" t="n">
        <v>1</v>
      </c>
      <c r="B13" s="160" t="inlineStr">
        <is>
          <t>1-2-0</t>
        </is>
      </c>
      <c r="C13" s="248" t="inlineStr">
        <is>
          <t>Затраты труда рабочих-строителей среднего разряда (2,0)</t>
        </is>
      </c>
      <c r="D13" s="249" t="inlineStr">
        <is>
          <t>чел.-ч.</t>
        </is>
      </c>
      <c r="E13" s="323">
        <f>G13/F13</f>
        <v/>
      </c>
      <c r="F13" s="32" t="n">
        <v>7.8</v>
      </c>
      <c r="G13" s="32">
        <f>Прил.3!H11</f>
        <v/>
      </c>
      <c r="H13" s="113">
        <f>G13/G14</f>
        <v/>
      </c>
      <c r="I13" s="32">
        <f>'ФОТр.тек.'!E13</f>
        <v/>
      </c>
      <c r="J13" s="32">
        <f>ROUND(I13*E13,2)</f>
        <v/>
      </c>
    </row>
    <row r="14" ht="25.5" customFormat="1" customHeight="1" s="12">
      <c r="A14" s="249" t="n"/>
      <c r="B14" s="249" t="n"/>
      <c r="C14" s="235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23">
        <f>SUM(E13)</f>
        <v/>
      </c>
      <c r="F14" s="32" t="n"/>
      <c r="G14" s="32">
        <f>SUM(G13:G13)</f>
        <v/>
      </c>
      <c r="H14" s="252" t="n">
        <v>1</v>
      </c>
      <c r="I14" s="112" t="n"/>
      <c r="J14" s="32">
        <f>SUM(J13:J13)</f>
        <v/>
      </c>
    </row>
    <row r="15" ht="14.25" customFormat="1" customHeight="1" s="12">
      <c r="A15" s="249" t="n"/>
      <c r="B15" s="248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12" t="n"/>
      <c r="J15" s="112" t="n"/>
    </row>
    <row r="16" ht="14.25" customFormat="1" customHeight="1" s="12">
      <c r="A16" s="249" t="n">
        <v>2</v>
      </c>
      <c r="B16" s="249" t="n">
        <v>2</v>
      </c>
      <c r="C16" s="248" t="inlineStr">
        <is>
          <t>Затраты труда машинистов</t>
        </is>
      </c>
      <c r="D16" s="249" t="inlineStr">
        <is>
          <t>чел.-ч.</t>
        </is>
      </c>
      <c r="E16" s="323">
        <f>29.49+28.65</f>
        <v/>
      </c>
      <c r="F16" s="32">
        <f>G16/E16</f>
        <v/>
      </c>
      <c r="G16" s="32">
        <f>Прил.3!H17</f>
        <v/>
      </c>
      <c r="H16" s="252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2">
      <c r="A17" s="249" t="n"/>
      <c r="B17" s="235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12" t="n"/>
      <c r="J17" s="112" t="n"/>
    </row>
    <row r="18" ht="14.25" customFormat="1" customHeight="1" s="12">
      <c r="A18" s="249" t="n"/>
      <c r="B18" s="248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12" t="n"/>
      <c r="J18" s="112" t="n"/>
    </row>
    <row r="19" ht="25.5" customFormat="1" customHeight="1" s="12">
      <c r="A19" s="249" t="n">
        <v>3</v>
      </c>
      <c r="B19" s="160" t="inlineStr">
        <is>
          <t>91.14.03-002</t>
        </is>
      </c>
      <c r="C19" s="248" t="inlineStr">
        <is>
          <t>Автомобили-самосвалы, грузоподъемность до 10 т</t>
        </is>
      </c>
      <c r="D19" s="249" t="inlineStr">
        <is>
          <t>маш.-ч</t>
        </is>
      </c>
      <c r="E19" s="323" t="n">
        <v>26.96</v>
      </c>
      <c r="F19" s="251" t="n">
        <v>87.48999999999999</v>
      </c>
      <c r="G19" s="32">
        <f>ROUND(E19*F19,2)</f>
        <v/>
      </c>
      <c r="H19" s="113">
        <f>G19/$G$37</f>
        <v/>
      </c>
      <c r="I19" s="32">
        <f>ROUND(F19*Прил.10!$D$12,2)</f>
        <v/>
      </c>
      <c r="J19" s="32">
        <f>ROUND(I19*E19,2)</f>
        <v/>
      </c>
    </row>
    <row r="20" ht="51" customFormat="1" customHeight="1" s="12">
      <c r="A20" s="249" t="n">
        <v>4</v>
      </c>
      <c r="B20" s="160" t="inlineStr">
        <is>
          <t>91.18.01-007</t>
        </is>
      </c>
      <c r="C20" s="24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49" t="inlineStr">
        <is>
          <t>маш.-ч</t>
        </is>
      </c>
      <c r="E20" s="323" t="n">
        <v>13.72</v>
      </c>
      <c r="F20" s="251" t="n">
        <v>90</v>
      </c>
      <c r="G20" s="32">
        <f>ROUND(E20*F20,2)</f>
        <v/>
      </c>
      <c r="H20" s="113">
        <f>G20/$G$37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49" t="n">
        <v>5</v>
      </c>
      <c r="B21" s="160" t="inlineStr">
        <is>
          <t>91.14.02-001</t>
        </is>
      </c>
      <c r="C21" s="248" t="inlineStr">
        <is>
          <t>Автомобили бортовые, грузоподъемность до 5 т</t>
        </is>
      </c>
      <c r="D21" s="249" t="inlineStr">
        <is>
          <t>маш.-ч</t>
        </is>
      </c>
      <c r="E21" s="323" t="n">
        <v>6.89</v>
      </c>
      <c r="F21" s="251" t="n">
        <v>65.70999999999999</v>
      </c>
      <c r="G21" s="32">
        <f>ROUND(E21*F21,2)</f>
        <v/>
      </c>
      <c r="H21" s="113">
        <f>G21/$G$37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49" t="n">
        <v>6</v>
      </c>
      <c r="B22" s="160" t="inlineStr">
        <is>
          <t>91.05.05-014</t>
        </is>
      </c>
      <c r="C22" s="248" t="inlineStr">
        <is>
          <t>Краны на автомобильном ходу, грузоподъемность 10 т</t>
        </is>
      </c>
      <c r="D22" s="249" t="inlineStr">
        <is>
          <t>маш.-ч</t>
        </is>
      </c>
      <c r="E22" s="323" t="n">
        <v>3.66</v>
      </c>
      <c r="F22" s="251" t="n">
        <v>111.99</v>
      </c>
      <c r="G22" s="32">
        <f>ROUND(E22*F22,2)</f>
        <v/>
      </c>
      <c r="H22" s="113">
        <f>G22/$G$37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49" t="n">
        <v>7</v>
      </c>
      <c r="B23" s="160" t="inlineStr">
        <is>
          <t>91.06.05-011</t>
        </is>
      </c>
      <c r="C23" s="248" t="inlineStr">
        <is>
          <t>Погрузчики, грузоподъемность 5 т</t>
        </is>
      </c>
      <c r="D23" s="249" t="inlineStr">
        <is>
          <t>маш.-ч</t>
        </is>
      </c>
      <c r="E23" s="323" t="n">
        <v>2.04</v>
      </c>
      <c r="F23" s="251" t="n">
        <v>89.98999999999999</v>
      </c>
      <c r="G23" s="32">
        <f>ROUND(E23*F23,2)</f>
        <v/>
      </c>
      <c r="H23" s="113">
        <f>G23/$G$37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49" t="n"/>
      <c r="B24" s="249" t="n"/>
      <c r="C24" s="248" t="inlineStr">
        <is>
          <t>Итого основные машины и механизмы</t>
        </is>
      </c>
      <c r="D24" s="249" t="n"/>
      <c r="E24" s="323" t="n"/>
      <c r="F24" s="32" t="n"/>
      <c r="G24" s="32">
        <f>SUM(G19:G23)</f>
        <v/>
      </c>
      <c r="H24" s="252">
        <f>G24/G37</f>
        <v/>
      </c>
      <c r="I24" s="165" t="n"/>
      <c r="J24" s="32">
        <f>SUM(J19:J23)</f>
        <v/>
      </c>
    </row>
    <row r="25" outlineLevel="1" ht="14.25" customFormat="1" customHeight="1" s="12">
      <c r="A25" s="249" t="n">
        <v>8</v>
      </c>
      <c r="B25" s="160" t="inlineStr">
        <is>
          <t>91.08.11-011</t>
        </is>
      </c>
      <c r="C25" s="248" t="inlineStr">
        <is>
          <t>Заливщик швов на базе автомобиля</t>
        </is>
      </c>
      <c r="D25" s="249" t="inlineStr">
        <is>
          <t>маш.час</t>
        </is>
      </c>
      <c r="E25" s="323" t="n">
        <v>0.98</v>
      </c>
      <c r="F25" s="251" t="n">
        <v>175.25</v>
      </c>
      <c r="G25" s="32">
        <f>ROUND(E25*F25,2)</f>
        <v/>
      </c>
      <c r="H25" s="113">
        <f>G25/$G$37</f>
        <v/>
      </c>
      <c r="I25" s="32">
        <f>ROUND(F25*Прил.10!$D$12,2)</f>
        <v/>
      </c>
      <c r="J25" s="32">
        <f>ROUND(I25*E25,2)</f>
        <v/>
      </c>
    </row>
    <row r="26" outlineLevel="1" ht="25.5" customFormat="1" customHeight="1" s="12">
      <c r="A26" s="249" t="n">
        <v>9</v>
      </c>
      <c r="B26" s="160" t="inlineStr">
        <is>
          <t>91.08.06-003</t>
        </is>
      </c>
      <c r="C26" s="248" t="inlineStr">
        <is>
          <t>Нарезчик швов, максимальная глубина резки 200 мм</t>
        </is>
      </c>
      <c r="D26" s="249" t="inlineStr">
        <is>
          <t>маш.час</t>
        </is>
      </c>
      <c r="E26" s="323" t="n">
        <v>2.51</v>
      </c>
      <c r="F26" s="251" t="n">
        <v>60.89</v>
      </c>
      <c r="G26" s="32">
        <f>ROUND(E26*F26,2)</f>
        <v/>
      </c>
      <c r="H26" s="113">
        <f>G26/$G$37</f>
        <v/>
      </c>
      <c r="I26" s="32">
        <f>ROUND(F26*Прил.10!$D$12,2)</f>
        <v/>
      </c>
      <c r="J26" s="32">
        <f>ROUND(I26*E26,2)</f>
        <v/>
      </c>
    </row>
    <row r="27" outlineLevel="1" ht="25.5" customFormat="1" customHeight="1" s="12">
      <c r="A27" s="249" t="n">
        <v>10</v>
      </c>
      <c r="B27" s="160" t="inlineStr">
        <is>
          <t>91.01.02-004</t>
        </is>
      </c>
      <c r="C27" s="248" t="inlineStr">
        <is>
          <t>Автогрейдеры: среднего типа, мощность 99 кВт (135 л.с.)</t>
        </is>
      </c>
      <c r="D27" s="249" t="inlineStr">
        <is>
          <t>маш.час</t>
        </is>
      </c>
      <c r="E27" s="323" t="n">
        <v>0.95</v>
      </c>
      <c r="F27" s="251" t="n">
        <v>123</v>
      </c>
      <c r="G27" s="32">
        <f>ROUND(E27*F27,2)</f>
        <v/>
      </c>
      <c r="H27" s="113">
        <f>G27/$G$37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49" t="n">
        <v>11</v>
      </c>
      <c r="B28" s="160" t="inlineStr">
        <is>
          <t>91.14.02-001</t>
        </is>
      </c>
      <c r="C28" s="248" t="inlineStr">
        <is>
          <t>Автомобили бортовые, грузоподъемность до 5 т</t>
        </is>
      </c>
      <c r="D28" s="249" t="inlineStr">
        <is>
          <t>маш.-ч</t>
        </is>
      </c>
      <c r="E28" s="323" t="n">
        <v>1.69</v>
      </c>
      <c r="F28" s="251" t="n">
        <v>65.70999999999999</v>
      </c>
      <c r="G28" s="32">
        <f>ROUND(E28*F28,2)</f>
        <v/>
      </c>
      <c r="H28" s="113">
        <f>G28/$G$37</f>
        <v/>
      </c>
      <c r="I28" s="32">
        <f>ROUND(F28*Прил.10!$D$12,2)</f>
        <v/>
      </c>
      <c r="J28" s="32">
        <f>ROUND(I28*E28,2)</f>
        <v/>
      </c>
    </row>
    <row r="29" outlineLevel="1" ht="14.25" customFormat="1" customHeight="1" s="12">
      <c r="A29" s="249" t="n">
        <v>12</v>
      </c>
      <c r="B29" s="160" t="inlineStr">
        <is>
          <t>91.13.01-038</t>
        </is>
      </c>
      <c r="C29" s="248" t="inlineStr">
        <is>
          <t>Машины поливомоечные 6000 л</t>
        </is>
      </c>
      <c r="D29" s="249" t="inlineStr">
        <is>
          <t>маш.час</t>
        </is>
      </c>
      <c r="E29" s="323" t="n">
        <v>0.39</v>
      </c>
      <c r="F29" s="251" t="n">
        <v>110</v>
      </c>
      <c r="G29" s="32">
        <f>ROUND(E29*F29,2)</f>
        <v/>
      </c>
      <c r="H29" s="113">
        <f>G29/$G$37</f>
        <v/>
      </c>
      <c r="I29" s="32">
        <f>ROUND(F29*Прил.10!$D$12,2)</f>
        <v/>
      </c>
      <c r="J29" s="32">
        <f>ROUND(I29*E29,2)</f>
        <v/>
      </c>
    </row>
    <row r="30" outlineLevel="1" ht="38.25" customFormat="1" customHeight="1" s="12">
      <c r="A30" s="249" t="n">
        <v>13</v>
      </c>
      <c r="B30" s="160" t="inlineStr">
        <is>
          <t>91.21.10-003</t>
        </is>
      </c>
      <c r="C30" s="248" t="inlineStr">
        <is>
          <t>Молотки при работе от передвижных компрессорных станций: отбойные пневматические</t>
        </is>
      </c>
      <c r="D30" s="249" t="inlineStr">
        <is>
          <t>маш.час</t>
        </is>
      </c>
      <c r="E30" s="323" t="n">
        <v>27.33</v>
      </c>
      <c r="F30" s="251" t="n">
        <v>1.53</v>
      </c>
      <c r="G30" s="32">
        <f>ROUND(E30*F30,2)</f>
        <v/>
      </c>
      <c r="H30" s="113">
        <f>G30/$G$37</f>
        <v/>
      </c>
      <c r="I30" s="32">
        <f>ROUND(F30*Прил.10!$D$12,2)</f>
        <v/>
      </c>
      <c r="J30" s="32">
        <f>ROUND(I30*E30,2)</f>
        <v/>
      </c>
    </row>
    <row r="31" outlineLevel="1" ht="14.25" customFormat="1" customHeight="1" s="12">
      <c r="A31" s="249" t="n">
        <v>14</v>
      </c>
      <c r="B31" s="160" t="inlineStr">
        <is>
          <t>91.01.01-035</t>
        </is>
      </c>
      <c r="C31" s="248" t="inlineStr">
        <is>
          <t>Бульдозеры, мощность 79 кВт (108 л.с.)</t>
        </is>
      </c>
      <c r="D31" s="249" t="inlineStr">
        <is>
          <t>маш.час</t>
        </is>
      </c>
      <c r="E31" s="323" t="n">
        <v>0.52</v>
      </c>
      <c r="F31" s="251" t="n">
        <v>79.06999999999999</v>
      </c>
      <c r="G31" s="32">
        <f>ROUND(E31*F31,2)</f>
        <v/>
      </c>
      <c r="H31" s="113">
        <f>G31/$G$37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49" t="n">
        <v>15</v>
      </c>
      <c r="B32" s="160" t="inlineStr">
        <is>
          <t>91.15.02-023</t>
        </is>
      </c>
      <c r="C32" s="248" t="inlineStr">
        <is>
          <t>Тракторы на гусеничном ходу, мощность 59 кВт (80 л.с.)</t>
        </is>
      </c>
      <c r="D32" s="249" t="inlineStr">
        <is>
          <t>маш.час</t>
        </is>
      </c>
      <c r="E32" s="323" t="n">
        <v>0.33</v>
      </c>
      <c r="F32" s="251" t="n">
        <v>77.2</v>
      </c>
      <c r="G32" s="32">
        <f>ROUND(E32*F32,2)</f>
        <v/>
      </c>
      <c r="H32" s="113">
        <f>G32/$G$37</f>
        <v/>
      </c>
      <c r="I32" s="32">
        <f>ROUND(F32*Прил.10!$D$12,2)</f>
        <v/>
      </c>
      <c r="J32" s="32">
        <f>ROUND(I32*E32,2)</f>
        <v/>
      </c>
    </row>
    <row r="33" outlineLevel="1" ht="14.25" customFormat="1" customHeight="1" s="12">
      <c r="A33" s="249" t="n">
        <v>16</v>
      </c>
      <c r="B33" s="160" t="inlineStr">
        <is>
          <t>91.08.04-021</t>
        </is>
      </c>
      <c r="C33" s="248" t="inlineStr">
        <is>
          <t>Котлы битумные: передвижные 400 л</t>
        </is>
      </c>
      <c r="D33" s="249" t="inlineStr">
        <is>
          <t>маш.час</t>
        </is>
      </c>
      <c r="E33" s="323" t="n">
        <v>0.18</v>
      </c>
      <c r="F33" s="251" t="n">
        <v>30</v>
      </c>
      <c r="G33" s="32">
        <f>ROUND(E33*F33,2)</f>
        <v/>
      </c>
      <c r="H33" s="113">
        <f>G33/$G$37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12">
      <c r="A34" s="249" t="n">
        <v>17</v>
      </c>
      <c r="B34" s="160" t="inlineStr">
        <is>
          <t>91.12.06-012</t>
        </is>
      </c>
      <c r="C34" s="248" t="inlineStr">
        <is>
          <t>Рыхлители прицепные (без трактора)</t>
        </is>
      </c>
      <c r="D34" s="249" t="inlineStr">
        <is>
          <t>маш.час</t>
        </is>
      </c>
      <c r="E34" s="323" t="n">
        <v>0.33</v>
      </c>
      <c r="F34" s="251" t="n">
        <v>8</v>
      </c>
      <c r="G34" s="32">
        <f>ROUND(E34*F34,2)</f>
        <v/>
      </c>
      <c r="H34" s="113">
        <f>G34/$G$37</f>
        <v/>
      </c>
      <c r="I34" s="32">
        <f>ROUND(F34*Прил.10!$D$12,2)</f>
        <v/>
      </c>
      <c r="J34" s="32">
        <f>ROUND(I34*E34,2)</f>
        <v/>
      </c>
    </row>
    <row r="35" outlineLevel="1" ht="25.5" customFormat="1" customHeight="1" s="12">
      <c r="A35" s="249" t="n">
        <v>18</v>
      </c>
      <c r="B35" s="160" t="inlineStr">
        <is>
          <t>91.14.03-001</t>
        </is>
      </c>
      <c r="C35" s="248" t="inlineStr">
        <is>
          <t>Автомобиль-самосвал, грузоподъемность: до 7 т</t>
        </is>
      </c>
      <c r="D35" s="249" t="inlineStr">
        <is>
          <t>маш.час</t>
        </is>
      </c>
      <c r="E35" s="323" t="n">
        <v>0.01</v>
      </c>
      <c r="F35" s="251" t="n">
        <v>89.54000000000001</v>
      </c>
      <c r="G35" s="32">
        <f>ROUND(E35*F35,2)</f>
        <v/>
      </c>
      <c r="H35" s="113">
        <f>G35/$G$37</f>
        <v/>
      </c>
      <c r="I35" s="32">
        <f>ROUND(F35*Прил.10!$D$12,2)</f>
        <v/>
      </c>
      <c r="J35" s="32">
        <f>ROUND(I35*E35,2)</f>
        <v/>
      </c>
    </row>
    <row r="36" ht="14.25" customFormat="1" customHeight="1" s="12">
      <c r="A36" s="249" t="n"/>
      <c r="B36" s="249" t="n"/>
      <c r="C36" s="248" t="inlineStr">
        <is>
          <t>Итого прочие машины и механизмы</t>
        </is>
      </c>
      <c r="D36" s="249" t="n"/>
      <c r="E36" s="250" t="n"/>
      <c r="F36" s="32" t="n"/>
      <c r="G36" s="165">
        <f>SUM(G25:G35)</f>
        <v/>
      </c>
      <c r="H36" s="113">
        <f>G36/G37</f>
        <v/>
      </c>
      <c r="I36" s="32" t="n"/>
      <c r="J36" s="165">
        <f>SUM(J25:J35)</f>
        <v/>
      </c>
    </row>
    <row r="37" ht="25.5" customFormat="1" customHeight="1" s="12">
      <c r="A37" s="249" t="n"/>
      <c r="B37" s="249" t="n"/>
      <c r="C37" s="235" t="inlineStr">
        <is>
          <t>Итого по разделу «Машины и механизмы»</t>
        </is>
      </c>
      <c r="D37" s="249" t="n"/>
      <c r="E37" s="250" t="n"/>
      <c r="F37" s="32" t="n"/>
      <c r="G37" s="32">
        <f>G36+G24</f>
        <v/>
      </c>
      <c r="H37" s="182" t="n">
        <v>1</v>
      </c>
      <c r="I37" s="183" t="n"/>
      <c r="J37" s="117">
        <f>J36+J24</f>
        <v/>
      </c>
    </row>
    <row r="38" ht="14.25" customFormat="1" customHeight="1" s="12">
      <c r="A38" s="249" t="n"/>
      <c r="B38" s="235" t="inlineStr">
        <is>
          <t>Оборудование</t>
        </is>
      </c>
      <c r="C38" s="312" t="n"/>
      <c r="D38" s="312" t="n"/>
      <c r="E38" s="312" t="n"/>
      <c r="F38" s="312" t="n"/>
      <c r="G38" s="312" t="n"/>
      <c r="H38" s="313" t="n"/>
      <c r="I38" s="112" t="n"/>
      <c r="J38" s="112" t="n"/>
    </row>
    <row r="39">
      <c r="A39" s="249" t="n"/>
      <c r="B39" s="248" t="inlineStr">
        <is>
          <t>Основное оборудование</t>
        </is>
      </c>
      <c r="C39" s="312" t="n"/>
      <c r="D39" s="312" t="n"/>
      <c r="E39" s="312" t="n"/>
      <c r="F39" s="312" t="n"/>
      <c r="G39" s="312" t="n"/>
      <c r="H39" s="313" t="n"/>
      <c r="I39" s="112" t="n"/>
      <c r="J39" s="112" t="n"/>
    </row>
    <row r="40">
      <c r="A40" s="249" t="n"/>
      <c r="B40" s="249" t="n"/>
      <c r="C40" s="248" t="inlineStr">
        <is>
          <t>Итого основное оборудование</t>
        </is>
      </c>
      <c r="D40" s="249" t="n"/>
      <c r="E40" s="324" t="n"/>
      <c r="F40" s="251" t="n"/>
      <c r="G40" s="32" t="n">
        <v>0</v>
      </c>
      <c r="H40" s="113" t="n">
        <v>0</v>
      </c>
      <c r="I40" s="165" t="n"/>
      <c r="J40" s="32" t="n">
        <v>0</v>
      </c>
    </row>
    <row r="41">
      <c r="A41" s="249" t="n"/>
      <c r="B41" s="249" t="n"/>
      <c r="C41" s="248" t="inlineStr">
        <is>
          <t>Итого прочее оборудование</t>
        </is>
      </c>
      <c r="D41" s="249" t="n"/>
      <c r="E41" s="323" t="n"/>
      <c r="F41" s="251" t="n"/>
      <c r="G41" s="32" t="n">
        <v>0</v>
      </c>
      <c r="H41" s="113" t="n">
        <v>0</v>
      </c>
      <c r="I41" s="165" t="n"/>
      <c r="J41" s="32" t="n">
        <v>0</v>
      </c>
    </row>
    <row r="42">
      <c r="A42" s="249" t="n"/>
      <c r="B42" s="249" t="n"/>
      <c r="C42" s="235" t="inlineStr">
        <is>
          <t>Итого по разделу «Оборудование»</t>
        </is>
      </c>
      <c r="D42" s="249" t="n"/>
      <c r="E42" s="250" t="n"/>
      <c r="F42" s="251" t="n"/>
      <c r="G42" s="32">
        <f>G40+G41</f>
        <v/>
      </c>
      <c r="H42" s="113" t="n">
        <v>0</v>
      </c>
      <c r="I42" s="165" t="n"/>
      <c r="J42" s="32">
        <f>J41+J40</f>
        <v/>
      </c>
    </row>
    <row r="43" ht="25.5" customHeight="1">
      <c r="A43" s="249" t="n"/>
      <c r="B43" s="249" t="n"/>
      <c r="C43" s="248" t="inlineStr">
        <is>
          <t>в том числе технологическое оборудование</t>
        </is>
      </c>
      <c r="D43" s="249" t="n"/>
      <c r="E43" s="324" t="n"/>
      <c r="F43" s="251" t="n"/>
      <c r="G43" s="32">
        <f>'Прил.6 Расчет ОБ'!G12</f>
        <v/>
      </c>
      <c r="H43" s="252" t="n"/>
      <c r="I43" s="165" t="n"/>
      <c r="J43" s="32">
        <f>J42</f>
        <v/>
      </c>
    </row>
    <row r="44" ht="14.25" customFormat="1" customHeight="1" s="12">
      <c r="A44" s="249" t="n"/>
      <c r="B44" s="235" t="inlineStr">
        <is>
          <t>Материалы</t>
        </is>
      </c>
      <c r="C44" s="312" t="n"/>
      <c r="D44" s="312" t="n"/>
      <c r="E44" s="312" t="n"/>
      <c r="F44" s="312" t="n"/>
      <c r="G44" s="312" t="n"/>
      <c r="H44" s="313" t="n"/>
      <c r="I44" s="112" t="n"/>
      <c r="J44" s="112" t="n"/>
    </row>
    <row r="45" ht="14.25" customFormat="1" customHeight="1" s="12">
      <c r="A45" s="244" t="n"/>
      <c r="B45" s="243" t="inlineStr">
        <is>
          <t>Основные материалы</t>
        </is>
      </c>
      <c r="C45" s="325" t="n"/>
      <c r="D45" s="325" t="n"/>
      <c r="E45" s="325" t="n"/>
      <c r="F45" s="325" t="n"/>
      <c r="G45" s="325" t="n"/>
      <c r="H45" s="326" t="n"/>
      <c r="I45" s="169" t="n"/>
      <c r="J45" s="169" t="n"/>
    </row>
    <row r="46" ht="25.5" customFormat="1" customHeight="1" s="12">
      <c r="A46" s="249" t="n">
        <v>19</v>
      </c>
      <c r="B46" s="249" t="inlineStr">
        <is>
          <t>06.1.01.05-0021</t>
        </is>
      </c>
      <c r="C46" s="248" t="inlineStr">
        <is>
          <t>Кирпич керамический лицевой, размер 250x120x65 мм, марка 300</t>
        </is>
      </c>
      <c r="D46" s="249" t="inlineStr">
        <is>
          <t>1000 шт</t>
        </is>
      </c>
      <c r="E46" s="324" t="n">
        <v>1.948</v>
      </c>
      <c r="F46" s="251" t="n">
        <v>2271.3</v>
      </c>
      <c r="G46" s="32">
        <f>ROUND(E46*F46,2)</f>
        <v/>
      </c>
      <c r="H46" s="113">
        <f>G46/$G$58</f>
        <v/>
      </c>
      <c r="I46" s="32">
        <f>ROUND(F46*Прил.10!$D$13,2)</f>
        <v/>
      </c>
      <c r="J46" s="32">
        <f>ROUND(I46*E46,2)</f>
        <v/>
      </c>
    </row>
    <row r="47" ht="25.5" customFormat="1" customHeight="1" s="12">
      <c r="A47" s="249" t="n">
        <v>20</v>
      </c>
      <c r="B47" s="249" t="inlineStr">
        <is>
          <t>02.3.01.02-0015</t>
        </is>
      </c>
      <c r="C47" s="248" t="inlineStr">
        <is>
          <t>Песок природный для строительных: работ средний</t>
        </is>
      </c>
      <c r="D47" s="249" t="inlineStr">
        <is>
          <t>м3</t>
        </is>
      </c>
      <c r="E47" s="324" t="n">
        <v>18</v>
      </c>
      <c r="F47" s="251" t="n">
        <v>55.26</v>
      </c>
      <c r="G47" s="32">
        <f>ROUND(E47*F47,2)</f>
        <v/>
      </c>
      <c r="H47" s="113">
        <f>G47/$G$58</f>
        <v/>
      </c>
      <c r="I47" s="32">
        <f>ROUND(F47*Прил.10!$D$13,2)</f>
        <v/>
      </c>
      <c r="J47" s="32">
        <f>ROUND(I47*E47,2)</f>
        <v/>
      </c>
    </row>
    <row r="48" ht="14.25" customFormat="1" customHeight="1" s="12">
      <c r="A48" s="260" t="n"/>
      <c r="B48" s="115" t="n"/>
      <c r="C48" s="116" t="inlineStr">
        <is>
          <t>Итого основные материалы</t>
        </is>
      </c>
      <c r="D48" s="260" t="n"/>
      <c r="E48" s="327" t="n"/>
      <c r="F48" s="117" t="n"/>
      <c r="G48" s="117">
        <f>SUM(G46:G47)</f>
        <v/>
      </c>
      <c r="H48" s="113">
        <f>G48/$G$58</f>
        <v/>
      </c>
      <c r="I48" s="32" t="n"/>
      <c r="J48" s="117">
        <f>SUM(J46:J47)</f>
        <v/>
      </c>
    </row>
    <row r="49" outlineLevel="1" ht="14.25" customFormat="1" customHeight="1" s="12">
      <c r="A49" s="249" t="n">
        <v>21</v>
      </c>
      <c r="B49" s="249" t="inlineStr">
        <is>
          <t>01.7.07.29-0221</t>
        </is>
      </c>
      <c r="C49" s="248" t="inlineStr">
        <is>
          <t>Уплотнительный состав</t>
        </is>
      </c>
      <c r="D49" s="249" t="inlineStr">
        <is>
          <t>кг</t>
        </is>
      </c>
      <c r="E49" s="324" t="n">
        <v>11.52</v>
      </c>
      <c r="F49" s="251" t="n">
        <v>16.7</v>
      </c>
      <c r="G49" s="32">
        <f>ROUND(E49*F49,2)</f>
        <v/>
      </c>
      <c r="H49" s="113">
        <f>G49/$G$58</f>
        <v/>
      </c>
      <c r="I49" s="32">
        <f>ROUND(F49*Прил.10!$D$13,2)</f>
        <v/>
      </c>
      <c r="J49" s="32">
        <f>ROUND(I49*E49,2)</f>
        <v/>
      </c>
    </row>
    <row r="50" outlineLevel="1" ht="14.25" customFormat="1" customHeight="1" s="12">
      <c r="A50" s="249" t="n">
        <v>22</v>
      </c>
      <c r="B50" s="249" t="inlineStr">
        <is>
          <t>01.2.03.03-0045</t>
        </is>
      </c>
      <c r="C50" s="248" t="inlineStr">
        <is>
          <t>Мастика битумно-полимерная</t>
        </is>
      </c>
      <c r="D50" s="249" t="inlineStr">
        <is>
          <t>т</t>
        </is>
      </c>
      <c r="E50" s="324" t="n">
        <v>0.021</v>
      </c>
      <c r="F50" s="251" t="n">
        <v>1500</v>
      </c>
      <c r="G50" s="32">
        <f>ROUND(E50*F50,2)</f>
        <v/>
      </c>
      <c r="H50" s="113">
        <f>G50/$G$58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12">
      <c r="A51" s="249" t="n">
        <v>23</v>
      </c>
      <c r="B51" s="249" t="inlineStr">
        <is>
          <t>01.1.01.09-0024</t>
        </is>
      </c>
      <c r="C51" s="248" t="inlineStr">
        <is>
          <t>Шнур асбестовый общего назначения марки: ШАОН диаметром 3-5 мм</t>
        </is>
      </c>
      <c r="D51" s="249" t="inlineStr">
        <is>
          <t>т</t>
        </is>
      </c>
      <c r="E51" s="324" t="n">
        <v>0.001</v>
      </c>
      <c r="F51" s="251" t="n">
        <v>26950</v>
      </c>
      <c r="G51" s="32">
        <f>ROUND(E51*F51,2)</f>
        <v/>
      </c>
      <c r="H51" s="113">
        <f>G51/$G$58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49" t="n">
        <v>24</v>
      </c>
      <c r="B52" s="249" t="inlineStr">
        <is>
          <t>01.7.07.29-0111</t>
        </is>
      </c>
      <c r="C52" s="248" t="inlineStr">
        <is>
          <t>Пакля пропитанная</t>
        </is>
      </c>
      <c r="D52" s="249" t="inlineStr">
        <is>
          <t>кг</t>
        </is>
      </c>
      <c r="E52" s="324" t="n">
        <v>2.4</v>
      </c>
      <c r="F52" s="251" t="n">
        <v>9.039999999999999</v>
      </c>
      <c r="G52" s="32">
        <f>ROUND(E52*F52,2)</f>
        <v/>
      </c>
      <c r="H52" s="113">
        <f>G52/$G$58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49" t="n">
        <v>25</v>
      </c>
      <c r="B53" s="249" t="inlineStr">
        <is>
          <t>01.2.01.01-0019</t>
        </is>
      </c>
      <c r="C53" s="248" t="inlineStr">
        <is>
          <t>Битумы нефтяные дорожные марки: БНД-60/90, БНД 90/130</t>
        </is>
      </c>
      <c r="D53" s="249" t="inlineStr">
        <is>
          <t>т</t>
        </is>
      </c>
      <c r="E53" s="324" t="n">
        <v>0.003</v>
      </c>
      <c r="F53" s="251" t="n">
        <v>1690</v>
      </c>
      <c r="G53" s="32">
        <f>ROUND(E53*F53,2)</f>
        <v/>
      </c>
      <c r="H53" s="113">
        <f>G53/$G$58</f>
        <v/>
      </c>
      <c r="I53" s="32">
        <f>ROUND(F53*Прил.10!$D$13,2)</f>
        <v/>
      </c>
      <c r="J53" s="32">
        <f>ROUND(I53*E53,2)</f>
        <v/>
      </c>
    </row>
    <row r="54" outlineLevel="1" ht="25.5" customFormat="1" customHeight="1" s="12">
      <c r="A54" s="249" t="n">
        <v>26</v>
      </c>
      <c r="B54" s="249" t="inlineStr">
        <is>
          <t>999-9950</t>
        </is>
      </c>
      <c r="C54" s="248" t="inlineStr">
        <is>
          <t>Вспомогательные ненормируемые ресурсы (2% от Оплаты труда рабочих)</t>
        </is>
      </c>
      <c r="D54" s="249" t="inlineStr">
        <is>
          <t>руб.</t>
        </is>
      </c>
      <c r="E54" s="324" t="n">
        <v>4.903</v>
      </c>
      <c r="F54" s="251" t="n">
        <v>1</v>
      </c>
      <c r="G54" s="32">
        <f>ROUND(E54*F54,2)</f>
        <v/>
      </c>
      <c r="H54" s="113">
        <f>G54/$G$58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12">
      <c r="A55" s="249" t="n">
        <v>27</v>
      </c>
      <c r="B55" s="249" t="inlineStr">
        <is>
          <t>01.7.03.01-0001</t>
        </is>
      </c>
      <c r="C55" s="248" t="inlineStr">
        <is>
          <t>Вода</t>
        </is>
      </c>
      <c r="D55" s="249" t="inlineStr">
        <is>
          <t>м3</t>
        </is>
      </c>
      <c r="E55" s="324" t="n">
        <v>1.05</v>
      </c>
      <c r="F55" s="251" t="n">
        <v>2.44</v>
      </c>
      <c r="G55" s="32">
        <f>ROUND(E55*F55,2)</f>
        <v/>
      </c>
      <c r="H55" s="113">
        <f>G55/$G$58</f>
        <v/>
      </c>
      <c r="I55" s="32">
        <f>ROUND(F55*Прил.10!$D$13,2)</f>
        <v/>
      </c>
      <c r="J55" s="32">
        <f>ROUND(I55*E55,2)</f>
        <v/>
      </c>
    </row>
    <row r="56" outlineLevel="1" ht="38.25" customFormat="1" customHeight="1" s="12">
      <c r="A56" s="249" t="n">
        <v>28</v>
      </c>
      <c r="B56" s="249" t="inlineStr">
        <is>
          <t>02.2.05.04-0093</t>
        </is>
      </c>
      <c r="C56" s="248" t="inlineStr">
        <is>
          <t>Щебень из природного камня для строительных работ марка: 800, фракция 20-40 мм</t>
        </is>
      </c>
      <c r="D56" s="249" t="inlineStr">
        <is>
          <t>м3</t>
        </is>
      </c>
      <c r="E56" s="324" t="n">
        <v>0.0052</v>
      </c>
      <c r="F56" s="251" t="n">
        <v>108.4</v>
      </c>
      <c r="G56" s="32">
        <f>ROUND(E56*F56,2)</f>
        <v/>
      </c>
      <c r="H56" s="113">
        <f>G56/$G$58</f>
        <v/>
      </c>
      <c r="I56" s="32">
        <f>ROUND(F56*Прил.10!$D$13,2)</f>
        <v/>
      </c>
      <c r="J56" s="32">
        <f>ROUND(I56*E56,2)</f>
        <v/>
      </c>
    </row>
    <row r="57" ht="14.25" customFormat="1" customHeight="1" s="12">
      <c r="A57" s="249" t="n"/>
      <c r="B57" s="249" t="n"/>
      <c r="C57" s="248" t="inlineStr">
        <is>
          <t>Итого прочие материалы</t>
        </is>
      </c>
      <c r="D57" s="249" t="n"/>
      <c r="E57" s="250" t="n"/>
      <c r="F57" s="251" t="n"/>
      <c r="G57" s="32">
        <f>SUM(G49:G56)</f>
        <v/>
      </c>
      <c r="H57" s="113">
        <f>G57/$G$58</f>
        <v/>
      </c>
      <c r="I57" s="32" t="n"/>
      <c r="J57" s="32">
        <f>SUM(J49:J56)</f>
        <v/>
      </c>
    </row>
    <row r="58" ht="14.25" customFormat="1" customHeight="1" s="12">
      <c r="A58" s="249" t="n"/>
      <c r="B58" s="249" t="n"/>
      <c r="C58" s="235" t="inlineStr">
        <is>
          <t>Итого по разделу «Материалы»</t>
        </is>
      </c>
      <c r="D58" s="249" t="n"/>
      <c r="E58" s="250" t="n"/>
      <c r="F58" s="251" t="n"/>
      <c r="G58" s="32">
        <f>G48+G57</f>
        <v/>
      </c>
      <c r="H58" s="252">
        <f>G58/$G$58</f>
        <v/>
      </c>
      <c r="I58" s="32" t="n"/>
      <c r="J58" s="32">
        <f>J48+J57</f>
        <v/>
      </c>
    </row>
    <row r="59" ht="14.25" customFormat="1" customHeight="1" s="12">
      <c r="A59" s="249" t="n"/>
      <c r="B59" s="249" t="n"/>
      <c r="C59" s="248" t="inlineStr">
        <is>
          <t>ИТОГО ПО РМ</t>
        </is>
      </c>
      <c r="D59" s="249" t="n"/>
      <c r="E59" s="250" t="n"/>
      <c r="F59" s="251" t="n"/>
      <c r="G59" s="32">
        <f>G14+G37+G58</f>
        <v/>
      </c>
      <c r="H59" s="252" t="n"/>
      <c r="I59" s="32" t="n"/>
      <c r="J59" s="32">
        <f>J14+J37+J58</f>
        <v/>
      </c>
    </row>
    <row r="60" ht="14.25" customFormat="1" customHeight="1" s="12">
      <c r="A60" s="249" t="n"/>
      <c r="B60" s="249" t="n"/>
      <c r="C60" s="248" t="inlineStr">
        <is>
          <t>Накладные расходы</t>
        </is>
      </c>
      <c r="D60" s="170">
        <f>ROUND(G60/(G$16+$G$14),2)</f>
        <v/>
      </c>
      <c r="E60" s="250" t="n"/>
      <c r="F60" s="251" t="n"/>
      <c r="G60" s="32">
        <f>7373.15+935.33</f>
        <v/>
      </c>
      <c r="H60" s="252" t="n"/>
      <c r="I60" s="32" t="n"/>
      <c r="J60" s="32">
        <f>ROUND(D60*(J14+J16),2)</f>
        <v/>
      </c>
    </row>
    <row r="61" ht="14.25" customFormat="1" customHeight="1" s="12">
      <c r="A61" s="249" t="n"/>
      <c r="B61" s="249" t="n"/>
      <c r="C61" s="248" t="inlineStr">
        <is>
          <t>Сметная прибыль</t>
        </is>
      </c>
      <c r="D61" s="170">
        <f>ROUND(G61/(G$14+G$16),2)</f>
        <v/>
      </c>
      <c r="E61" s="250" t="n"/>
      <c r="F61" s="251" t="n"/>
      <c r="G61" s="32">
        <f>4395.82+492.31</f>
        <v/>
      </c>
      <c r="H61" s="252" t="n"/>
      <c r="I61" s="32" t="n"/>
      <c r="J61" s="32">
        <f>ROUND(D61*(J14+J16),2)</f>
        <v/>
      </c>
    </row>
    <row r="62" ht="14.25" customFormat="1" customHeight="1" s="12">
      <c r="A62" s="249" t="n"/>
      <c r="B62" s="249" t="n"/>
      <c r="C62" s="248" t="inlineStr">
        <is>
          <t>Итого СМР (с НР и СП)</t>
        </is>
      </c>
      <c r="D62" s="249" t="n"/>
      <c r="E62" s="250" t="n"/>
      <c r="F62" s="251" t="n"/>
      <c r="G62" s="32">
        <f>G14+G37+G58+G60+G61</f>
        <v/>
      </c>
      <c r="H62" s="252" t="n"/>
      <c r="I62" s="32" t="n"/>
      <c r="J62" s="32">
        <f>J14+J37+J58+J60+J61</f>
        <v/>
      </c>
    </row>
    <row r="63" ht="14.25" customFormat="1" customHeight="1" s="12">
      <c r="A63" s="249" t="n"/>
      <c r="B63" s="249" t="n"/>
      <c r="C63" s="248" t="inlineStr">
        <is>
          <t>ВСЕГО СМР + ОБОРУДОВАНИЕ</t>
        </is>
      </c>
      <c r="D63" s="249" t="n"/>
      <c r="E63" s="250" t="n"/>
      <c r="F63" s="251" t="n"/>
      <c r="G63" s="32">
        <f>G62+G42</f>
        <v/>
      </c>
      <c r="H63" s="252" t="n"/>
      <c r="I63" s="32" t="n"/>
      <c r="J63" s="32">
        <f>J62+J42</f>
        <v/>
      </c>
    </row>
    <row r="64" ht="14.25" customFormat="1" customHeight="1" s="12">
      <c r="A64" s="249" t="n"/>
      <c r="B64" s="249" t="n"/>
      <c r="C64" s="248" t="inlineStr">
        <is>
          <t>ИТОГО ПОКАЗАТЕЛЬ НА ЕД. ИЗМ.</t>
        </is>
      </c>
      <c r="D64" s="249" t="inlineStr">
        <is>
          <t>1 км.</t>
        </is>
      </c>
      <c r="E64" s="328" t="n">
        <v>1.228</v>
      </c>
      <c r="F64" s="251" t="n"/>
      <c r="G64" s="32">
        <f>G63/E64</f>
        <v/>
      </c>
      <c r="H64" s="252" t="n"/>
      <c r="I64" s="32" t="n"/>
      <c r="J64" s="32">
        <f>J63/E64</f>
        <v/>
      </c>
    </row>
    <row r="66" ht="14.25" customFormat="1" customHeight="1" s="12">
      <c r="A66" s="4" t="inlineStr">
        <is>
          <t>Составил ______________________    Д.Ю. Нефедова</t>
        </is>
      </c>
    </row>
    <row r="67" ht="14.25" customFormat="1" customHeight="1" s="12">
      <c r="A67" s="33" t="inlineStr">
        <is>
          <t xml:space="preserve">                         (подпись, инициалы, фамилия)</t>
        </is>
      </c>
    </row>
    <row r="68" ht="14.25" customFormat="1" customHeight="1" s="12">
      <c r="A68" s="4" t="n"/>
    </row>
    <row r="69" ht="14.25" customFormat="1" customHeight="1" s="12">
      <c r="A69" s="4" t="inlineStr">
        <is>
          <t>Проверил ______________________        А.В. Костянецкая</t>
        </is>
      </c>
    </row>
    <row r="70" ht="14.25" customFormat="1" customHeight="1" s="12">
      <c r="A70" s="33" t="inlineStr">
        <is>
          <t xml:space="preserve">                        (подпись, инициалы, фамилия)</t>
        </is>
      </c>
    </row>
    <row r="73">
      <c r="G73" s="329" t="n"/>
      <c r="H73" s="329" t="n"/>
      <c r="I73" s="329" t="n"/>
      <c r="J73" s="329" t="n"/>
    </row>
    <row r="74">
      <c r="G74" s="329" t="n"/>
      <c r="H74" s="329" t="n"/>
      <c r="I74" s="329" t="n"/>
      <c r="J74" s="329" t="n"/>
    </row>
  </sheetData>
  <mergeCells count="20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5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09" t="inlineStr">
        <is>
          <t>Расчет стоимости оборудования</t>
        </is>
      </c>
    </row>
    <row r="4" ht="27" customHeight="1">
      <c r="A4" s="212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9" t="n"/>
      <c r="B10" s="235" t="n"/>
      <c r="C10" s="248" t="inlineStr">
        <is>
          <t>ИТОГО ИНЖЕНЕРНОЕ ОБОРУДОВАНИЕ</t>
        </is>
      </c>
      <c r="D10" s="235" t="n"/>
      <c r="E10" s="172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73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>
      <c r="A3" s="209" t="inlineStr">
        <is>
          <t>Расчет показателя УНЦ</t>
        </is>
      </c>
    </row>
    <row r="4" ht="24.75" customHeight="1">
      <c r="A4" s="209" t="n"/>
      <c r="B4" s="209" t="n"/>
      <c r="C4" s="209" t="n"/>
      <c r="D4" s="209" t="n"/>
    </row>
    <row r="5" ht="89.25" customHeight="1">
      <c r="A5" s="212" t="inlineStr">
        <is>
          <t xml:space="preserve">Наименование разрабатываемого показателя УНЦ - </t>
        </is>
      </c>
      <c r="D5" s="212">
        <f>'Прил.5 Расчет СМР и ОБ'!D6:J6</f>
        <v/>
      </c>
    </row>
    <row r="6" ht="19.9" customHeight="1">
      <c r="A6" s="212" t="inlineStr">
        <is>
          <t>Единица измерения  — 1 км</t>
        </is>
      </c>
      <c r="D6" s="212" t="n"/>
    </row>
    <row r="7">
      <c r="A7" s="4" t="n"/>
      <c r="B7" s="4" t="n"/>
      <c r="C7" s="4" t="n"/>
      <c r="D7" s="4" t="n"/>
    </row>
    <row r="8" ht="14.45" customHeight="1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>
      <c r="A9" s="315" t="n"/>
      <c r="B9" s="315" t="n"/>
      <c r="C9" s="315" t="n"/>
      <c r="D9" s="315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51" customHeight="1">
      <c r="A11" s="249" t="inlineStr">
        <is>
          <t>Б2-01-2</t>
        </is>
      </c>
      <c r="B11" s="249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7" t="n"/>
    </row>
    <row r="12">
      <c r="A12" s="30" t="n"/>
      <c r="B12" s="173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2" sqref="D22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9" t="inlineStr">
        <is>
          <t>Приложение № 10</t>
        </is>
      </c>
    </row>
    <row r="5" ht="18.75" customHeight="1">
      <c r="B5" s="174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31.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31.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33" t="n">
        <v>6.26</v>
      </c>
    </row>
    <row r="15" ht="89.2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76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76" t="n">
        <v>0.002</v>
      </c>
    </row>
    <row r="19" ht="24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76" t="n">
        <v>0.03</v>
      </c>
    </row>
    <row r="20" ht="18.75" customHeight="1">
      <c r="B20" s="135" t="n"/>
    </row>
    <row r="21" ht="18.75" customHeight="1">
      <c r="B21" s="135" t="n"/>
    </row>
    <row r="22" ht="18.75" customHeight="1">
      <c r="B22" s="135" t="n"/>
    </row>
    <row r="23" ht="18.75" customHeight="1">
      <c r="B23" s="135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3" sqref="D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21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21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200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201">
        <f>1973/12</f>
        <v/>
      </c>
      <c r="F8" s="198" t="inlineStr">
        <is>
          <t>Производственный календарь 2023 год
(40-часов.неделя)</t>
        </is>
      </c>
      <c r="G8" s="195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201" t="n">
        <v>1</v>
      </c>
      <c r="F9" s="198" t="n"/>
      <c r="G9" s="195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199" t="n"/>
      <c r="D10" s="199" t="n"/>
      <c r="E10" s="330" t="n">
        <v>2</v>
      </c>
      <c r="F10" s="198" t="inlineStr">
        <is>
          <t>РТМ</t>
        </is>
      </c>
      <c r="G10" s="195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331" t="n">
        <v>1.085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197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332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7" t="inlineStr">
        <is>
          <t>1.7</t>
        </is>
      </c>
      <c r="B13" s="207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8">
        <f>((E7*E9/E8)*E11)*E12</f>
        <v/>
      </c>
      <c r="F13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2025-01-24T11:53:46Z</dcterms:modified>
  <cp:lastModifiedBy>112</cp:lastModifiedBy>
  <cp:lastPrinted>2023-11-24T12:01:38Z</cp:lastPrinted>
</cp:coreProperties>
</file>