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ОБ'!$8:$10</definedName>
    <definedName name="_xlnm.Print_Area" localSheetId="4">'Прил.5 Расчет СМР и ОБ'!$A$1:$J$72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0.0000"/>
    <numFmt numFmtId="166" formatCode="0.0"/>
    <numFmt numFmtId="167" formatCode="#,##0.0000"/>
    <numFmt numFmtId="168" formatCode="0.000"/>
    <numFmt numFmtId="169" formatCode="_-* #,##0.0\ _₽_-;\-* #,##0.0\ _₽_-;_-* &quot;-&quot;??\ _₽_-;_-@_-"/>
    <numFmt numFmtId="170" formatCode="#,##0.0"/>
    <numFmt numFmtId="171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165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6" fillId="0" borderId="1" applyAlignment="1" pivotButton="0" quotePrefix="0" xfId="0">
      <alignment vertical="top"/>
    </xf>
    <xf numFmtId="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0" fontId="16" fillId="0" borderId="0" pivotButton="0" quotePrefix="0" xfId="0"/>
    <xf numFmtId="166" fontId="16" fillId="0" borderId="0" pivotButton="0" quotePrefix="0" xfId="0"/>
    <xf numFmtId="1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3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10" fontId="2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9" fontId="16" fillId="0" borderId="0" pivotButton="0" quotePrefix="0" xfId="0"/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5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9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6" fontId="16" fillId="0" borderId="0" pivotButton="0" quotePrefix="0" xfId="0"/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165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21" min="1" max="2"/>
    <col width="51.7109375" customWidth="1" style="121" min="3" max="3"/>
    <col width="47" customWidth="1" style="121" min="4" max="4"/>
    <col width="37.42578125" customWidth="1" style="121" min="5" max="5"/>
    <col width="9.140625" customWidth="1" style="121" min="6" max="6"/>
  </cols>
  <sheetData>
    <row r="3">
      <c r="B3" s="207" t="inlineStr">
        <is>
          <t>Приложение № 1</t>
        </is>
      </c>
    </row>
    <row r="4">
      <c r="B4" s="208" t="inlineStr">
        <is>
          <t>Сравнительная таблица отбора объекта-представителя</t>
        </is>
      </c>
    </row>
    <row r="5" ht="84" customHeight="1">
      <c r="B5" s="21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22" t="n"/>
      <c r="C6" s="122" t="n"/>
      <c r="D6" s="122" t="n"/>
    </row>
    <row r="7" ht="64.5" customHeight="1">
      <c r="B7" s="209" t="inlineStr">
        <is>
          <t>Наименование разрабатываемого показателя УНЦ - Устройство траншеи КЛ (две цепи) и восстановление благоустройства по трассе с учетом восстановления газонов (все регионы) напряжение 0,4 кВ</t>
        </is>
      </c>
    </row>
    <row r="8" ht="31.5" customHeight="1">
      <c r="B8" s="120" t="inlineStr">
        <is>
          <t xml:space="preserve">Сопоставимый уровень цен: </t>
        </is>
      </c>
      <c r="C8" s="120" t="n"/>
      <c r="D8" s="186">
        <f>D22</f>
        <v/>
      </c>
    </row>
    <row r="9" ht="15.75" customHeight="1">
      <c r="B9" s="209" t="inlineStr">
        <is>
          <t>Единица измерения  — 1 км.</t>
        </is>
      </c>
    </row>
    <row r="10">
      <c r="B10" s="209" t="n"/>
    </row>
    <row r="11">
      <c r="B11" s="221" t="inlineStr">
        <is>
          <t>№ п/п</t>
        </is>
      </c>
      <c r="C11" s="221" t="inlineStr">
        <is>
          <t>Параметр</t>
        </is>
      </c>
      <c r="D11" s="221" t="inlineStr">
        <is>
          <t xml:space="preserve">Объект-представитель </t>
        </is>
      </c>
      <c r="E11" s="124" t="n"/>
    </row>
    <row r="12" ht="78.75" customHeight="1">
      <c r="B12" s="221" t="n">
        <v>1</v>
      </c>
      <c r="C12" s="125" t="inlineStr">
        <is>
          <t>Наименование объекта-представителя</t>
        </is>
      </c>
      <c r="D12" s="221" t="inlineStr">
        <is>
          <t>Реконструкция КВЛ 110 кВ «Фили-Ходынка с отп.» с переустройством воздушного участка в кабель, увеличением пропускной способности кабельного участка и организацией заходов на ПС "Шелепиха"</t>
        </is>
      </c>
    </row>
    <row r="13">
      <c r="B13" s="221" t="n">
        <v>2</v>
      </c>
      <c r="C13" s="125" t="inlineStr">
        <is>
          <t>Наименование субъекта Российской Федерации</t>
        </is>
      </c>
      <c r="D13" s="221" t="inlineStr">
        <is>
          <t>г. Москва</t>
        </is>
      </c>
    </row>
    <row r="14">
      <c r="B14" s="221" t="n">
        <v>3</v>
      </c>
      <c r="C14" s="125" t="inlineStr">
        <is>
          <t>Климатический район и подрайон</t>
        </is>
      </c>
      <c r="D14" s="221" t="inlineStr">
        <is>
          <t>IIВ</t>
        </is>
      </c>
    </row>
    <row r="15">
      <c r="B15" s="221" t="n">
        <v>4</v>
      </c>
      <c r="C15" s="125" t="inlineStr">
        <is>
          <t>Мощность объекта</t>
        </is>
      </c>
      <c r="D15" s="221" t="n">
        <v>1.228</v>
      </c>
    </row>
    <row r="16" ht="63" customHeight="1">
      <c r="B16" s="221" t="n">
        <v>5</v>
      </c>
      <c r="C16" s="12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Кирпич керамический лицевой, размер 250x120x65 мм, марка 300</t>
        </is>
      </c>
    </row>
    <row r="17" ht="63" customHeight="1">
      <c r="B17" s="221" t="n">
        <v>6</v>
      </c>
      <c r="C17" s="12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7">
        <f>D18+D19+D20+D21</f>
        <v/>
      </c>
      <c r="E17" s="127" t="n"/>
    </row>
    <row r="18">
      <c r="B18" s="128" t="inlineStr">
        <is>
          <t>6.1</t>
        </is>
      </c>
      <c r="C18" s="125" t="inlineStr">
        <is>
          <t>строительно-монтажные работы</t>
        </is>
      </c>
      <c r="D18" s="187">
        <f>'Прил.2 Расч стоим'!F12+'Прил.2 Расч стоим'!G12</f>
        <v/>
      </c>
    </row>
    <row r="19">
      <c r="B19" s="128" t="inlineStr">
        <is>
          <t>6.2</t>
        </is>
      </c>
      <c r="C19" s="125" t="inlineStr">
        <is>
          <t>оборудование и инвентарь</t>
        </is>
      </c>
      <c r="D19" s="187" t="n">
        <v>0</v>
      </c>
    </row>
    <row r="20">
      <c r="B20" s="128" t="inlineStr">
        <is>
          <t>6.3</t>
        </is>
      </c>
      <c r="C20" s="125" t="inlineStr">
        <is>
          <t>пусконаладочные работы</t>
        </is>
      </c>
      <c r="D20" s="187" t="n">
        <v>0</v>
      </c>
    </row>
    <row r="21">
      <c r="B21" s="128" t="inlineStr">
        <is>
          <t>6.4</t>
        </is>
      </c>
      <c r="C21" s="129" t="inlineStr">
        <is>
          <t>прочие и лимитированные затраты</t>
        </is>
      </c>
      <c r="D21" s="187">
        <f>D18*0.022+(D18*0.022+D18)*0.021</f>
        <v/>
      </c>
    </row>
    <row r="22">
      <c r="B22" s="221" t="n">
        <v>7</v>
      </c>
      <c r="C22" s="129" t="inlineStr">
        <is>
          <t>Сопоставимый уровень цен</t>
        </is>
      </c>
      <c r="D22" s="188" t="inlineStr">
        <is>
          <t>3 кв. 2015 г.</t>
        </is>
      </c>
      <c r="E22" s="130" t="n"/>
    </row>
    <row r="23" ht="78.75" customHeight="1">
      <c r="B23" s="221" t="n">
        <v>8</v>
      </c>
      <c r="C23" s="1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7">
        <f>D17</f>
        <v/>
      </c>
      <c r="E23" s="127" t="n"/>
    </row>
    <row r="24" ht="31.5" customHeight="1">
      <c r="B24" s="221" t="n">
        <v>9</v>
      </c>
      <c r="C24" s="126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E24" s="130" t="n"/>
    </row>
    <row r="25">
      <c r="B25" s="221" t="n">
        <v>10</v>
      </c>
      <c r="C25" s="125" t="inlineStr">
        <is>
          <t>Примечание</t>
        </is>
      </c>
      <c r="D25" s="221" t="n"/>
    </row>
    <row r="26">
      <c r="B26" s="132" t="n"/>
      <c r="C26" s="133" t="n"/>
      <c r="D26" s="133" t="n"/>
    </row>
    <row r="27" ht="37.5" customHeight="1">
      <c r="B27" s="120" t="n"/>
    </row>
    <row r="28">
      <c r="B28" s="121" t="inlineStr">
        <is>
          <t>Составил ______________________    Д.Ю. Нефедова</t>
        </is>
      </c>
    </row>
    <row r="29">
      <c r="B29" s="120" t="inlineStr">
        <is>
          <t xml:space="preserve">                         (подпись, инициалы, фамилия)</t>
        </is>
      </c>
    </row>
    <row r="31">
      <c r="B31" s="121" t="inlineStr">
        <is>
          <t>Проверил ______________________        А.В. Костянецкая</t>
        </is>
      </c>
    </row>
    <row r="32">
      <c r="B32" s="1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70" workbookViewId="0">
      <selection activeCell="E16" sqref="E16"/>
    </sheetView>
  </sheetViews>
  <sheetFormatPr baseColWidth="8" defaultColWidth="9.140625" defaultRowHeight="15.75"/>
  <cols>
    <col width="5.5703125" customWidth="1" style="121" min="1" max="1"/>
    <col width="9.140625" customWidth="1" style="121" min="2" max="2"/>
    <col width="35.28515625" customWidth="1" style="121" min="3" max="3"/>
    <col width="13.85546875" customWidth="1" style="121" min="4" max="4"/>
    <col width="24.85546875" customWidth="1" style="121" min="5" max="5"/>
    <col width="15.5703125" customWidth="1" style="121" min="6" max="6"/>
    <col width="14.85546875" customWidth="1" style="121" min="7" max="7"/>
    <col width="16.7109375" customWidth="1" style="121" min="8" max="8"/>
    <col width="13" customWidth="1" style="121" min="9" max="10"/>
    <col width="9.140625" customWidth="1" style="121" min="11" max="11"/>
  </cols>
  <sheetData>
    <row r="3">
      <c r="B3" s="207" t="inlineStr">
        <is>
          <t>Приложение № 2</t>
        </is>
      </c>
    </row>
    <row r="4">
      <c r="B4" s="208" t="inlineStr">
        <is>
          <t>Расчет стоимости основных видов работ для выбора объекта-представителя</t>
        </is>
      </c>
    </row>
    <row r="5">
      <c r="B5" s="134" t="n"/>
      <c r="C5" s="134" t="n"/>
      <c r="D5" s="134" t="n"/>
      <c r="E5" s="134" t="n"/>
      <c r="F5" s="134" t="n"/>
      <c r="G5" s="134" t="n"/>
      <c r="H5" s="134" t="n"/>
      <c r="I5" s="134" t="n"/>
      <c r="J5" s="134" t="n"/>
    </row>
    <row r="6" ht="29.25" customHeight="1">
      <c r="B6" s="209">
        <f>'Прил.1 Сравнит табл'!B7:D7</f>
        <v/>
      </c>
    </row>
    <row r="7">
      <c r="B7" s="209">
        <f>'Прил.1 Сравнит табл'!B9:D9</f>
        <v/>
      </c>
    </row>
    <row r="8" ht="18.75" customHeight="1">
      <c r="B8" s="135" t="n"/>
    </row>
    <row r="9" ht="15.75" customHeight="1">
      <c r="B9" s="221" t="inlineStr">
        <is>
          <t>№ п/п</t>
        </is>
      </c>
      <c r="C9" s="2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1" t="inlineStr">
        <is>
          <t>Объект-представитель 1</t>
        </is>
      </c>
      <c r="E9" s="313" t="n"/>
      <c r="F9" s="313" t="n"/>
      <c r="G9" s="313" t="n"/>
      <c r="H9" s="313" t="n"/>
      <c r="I9" s="313" t="n"/>
      <c r="J9" s="314" t="n"/>
    </row>
    <row r="10" ht="15.75" customHeight="1">
      <c r="B10" s="315" t="n"/>
      <c r="C10" s="315" t="n"/>
      <c r="D10" s="221" t="inlineStr">
        <is>
          <t>Номер сметы</t>
        </is>
      </c>
      <c r="E10" s="221" t="inlineStr">
        <is>
          <t>Наименование сметы</t>
        </is>
      </c>
      <c r="F10" s="221" t="inlineStr">
        <is>
          <t>Сметная стоимость в уровне цен 3 кв. 2015 г., тыс. руб.</t>
        </is>
      </c>
      <c r="G10" s="313" t="n"/>
      <c r="H10" s="313" t="n"/>
      <c r="I10" s="313" t="n"/>
      <c r="J10" s="314" t="n"/>
    </row>
    <row r="11" ht="31.5" customHeight="1">
      <c r="B11" s="316" t="n"/>
      <c r="C11" s="316" t="n"/>
      <c r="D11" s="316" t="n"/>
      <c r="E11" s="316" t="n"/>
      <c r="F11" s="221" t="inlineStr">
        <is>
          <t>Строительные работы</t>
        </is>
      </c>
      <c r="G11" s="221" t="inlineStr">
        <is>
          <t>Монтажные работы</t>
        </is>
      </c>
      <c r="H11" s="221" t="inlineStr">
        <is>
          <t>Оборудование</t>
        </is>
      </c>
      <c r="I11" s="221" t="inlineStr">
        <is>
          <t>Прочее</t>
        </is>
      </c>
      <c r="J11" s="221" t="inlineStr">
        <is>
          <t>Всего</t>
        </is>
      </c>
    </row>
    <row r="12" ht="63" customHeight="1">
      <c r="B12" s="189" t="n">
        <v>1</v>
      </c>
      <c r="C12" s="214">
        <f>'Прил.1 Сравнит табл'!D16</f>
        <v/>
      </c>
      <c r="D12" s="190" t="inlineStr">
        <is>
          <t>01-04-01</t>
        </is>
      </c>
      <c r="E12" s="125" t="inlineStr">
        <is>
          <t>Перекладка сетей электроснабжения (КЛ 0,4 и КЛ 10 кВ).                                               (1-ый этап)</t>
        </is>
      </c>
      <c r="F12" s="191" t="n">
        <v>567.068394504</v>
      </c>
      <c r="G12" s="191" t="n">
        <v>231.10427</v>
      </c>
      <c r="H12" s="191" t="n"/>
      <c r="I12" s="191" t="n"/>
      <c r="J12" s="192">
        <f>SUM(F12:I12)</f>
        <v/>
      </c>
    </row>
    <row r="13" ht="15" customHeight="1">
      <c r="B13" s="317" t="inlineStr">
        <is>
          <t>Всего по объекту:</t>
        </is>
      </c>
      <c r="C13" s="313" t="n"/>
      <c r="D13" s="313" t="n"/>
      <c r="E13" s="314" t="n"/>
      <c r="F13" s="193">
        <f>SUM(F12:F12)</f>
        <v/>
      </c>
      <c r="G13" s="193">
        <f>SUM(G12:G12)</f>
        <v/>
      </c>
      <c r="H13" s="193">
        <f>SUM(H12:H12)</f>
        <v/>
      </c>
      <c r="I13" s="193" t="n"/>
      <c r="J13" s="193">
        <f>SUM(F13:I13)</f>
        <v/>
      </c>
    </row>
    <row r="14" ht="15.75" customHeight="1">
      <c r="B14" s="317" t="inlineStr">
        <is>
          <t>Всего по объекту в сопоставимом уровне цен 3 кв. 2015 г. :</t>
        </is>
      </c>
      <c r="C14" s="313" t="n"/>
      <c r="D14" s="313" t="n"/>
      <c r="E14" s="314" t="n"/>
      <c r="F14" s="193">
        <f>F13</f>
        <v/>
      </c>
      <c r="G14" s="193">
        <f>G13</f>
        <v/>
      </c>
      <c r="H14" s="193">
        <f>H13</f>
        <v/>
      </c>
      <c r="I14" s="193">
        <f>'Прил.1 Сравнит табл'!D21</f>
        <v/>
      </c>
      <c r="J14" s="19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5"/>
  <sheetViews>
    <sheetView tabSelected="1" view="pageBreakPreview" zoomScale="115" zoomScaleSheetLayoutView="115" workbookViewId="0">
      <selection activeCell="J13" sqref="J13"/>
    </sheetView>
  </sheetViews>
  <sheetFormatPr baseColWidth="8" defaultColWidth="9.140625" defaultRowHeight="15.75"/>
  <cols>
    <col width="9.140625" customWidth="1" style="121" min="1" max="1"/>
    <col width="12.5703125" customWidth="1" style="121" min="2" max="2"/>
    <col width="22.42578125" customWidth="1" style="121" min="3" max="3"/>
    <col width="49.7109375" customWidth="1" style="121" min="4" max="4"/>
    <col width="10.140625" customWidth="1" style="121" min="5" max="5"/>
    <col width="20.7109375" customWidth="1" style="121" min="6" max="6"/>
    <col width="20" customWidth="1" style="121" min="7" max="7"/>
    <col width="16.7109375" customWidth="1" style="121" min="8" max="8"/>
    <col width="9.140625" customWidth="1" style="121" min="9" max="10"/>
    <col width="15" customWidth="1" style="121" min="11" max="11"/>
    <col width="9.140625" customWidth="1" style="121" min="12" max="12"/>
  </cols>
  <sheetData>
    <row r="2">
      <c r="A2" s="207" t="inlineStr">
        <is>
          <t xml:space="preserve">Приложение № 3 </t>
        </is>
      </c>
    </row>
    <row r="3">
      <c r="A3" s="208" t="inlineStr">
        <is>
          <t>Объектная ресурсная ведомость</t>
        </is>
      </c>
    </row>
    <row r="4" ht="18.75" customHeight="1">
      <c r="A4" s="136" t="n"/>
      <c r="B4" s="136" t="n"/>
      <c r="C4" s="222" t="n"/>
    </row>
    <row r="5">
      <c r="A5" s="209" t="n"/>
    </row>
    <row r="6" ht="33.75" customHeight="1">
      <c r="A6" s="220" t="inlineStr">
        <is>
          <t>Наименование разрабатываемого показателя УНЦ - Устройство траншеи КЛ (две цепи) и восстановление благоустройства по трассе с учетом восстановления газонов (все регионы) напряжение 0,4 кВ</t>
        </is>
      </c>
    </row>
    <row r="7">
      <c r="A7" s="220" t="n"/>
      <c r="B7" s="220" t="n"/>
      <c r="C7" s="220" t="n"/>
      <c r="D7" s="220" t="n"/>
      <c r="E7" s="220" t="n"/>
      <c r="F7" s="220" t="n"/>
      <c r="G7" s="220" t="n"/>
      <c r="H7" s="220" t="n"/>
    </row>
    <row r="8">
      <c r="A8" s="137" t="n"/>
      <c r="B8" s="137" t="n"/>
      <c r="C8" s="137" t="n"/>
      <c r="D8" s="137" t="n"/>
      <c r="E8" s="137" t="n"/>
      <c r="F8" s="137" t="n"/>
      <c r="G8" s="137" t="n"/>
      <c r="H8" s="137" t="n"/>
    </row>
    <row r="9" ht="38.25" customHeight="1">
      <c r="A9" s="221" t="inlineStr">
        <is>
          <t>п/п</t>
        </is>
      </c>
      <c r="B9" s="221" t="inlineStr">
        <is>
          <t>№ЛСР</t>
        </is>
      </c>
      <c r="C9" s="221" t="inlineStr">
        <is>
          <t>Код ресурса</t>
        </is>
      </c>
      <c r="D9" s="221" t="inlineStr">
        <is>
          <t>Наименование ресурса</t>
        </is>
      </c>
      <c r="E9" s="221" t="inlineStr">
        <is>
          <t>Ед. изм.</t>
        </is>
      </c>
      <c r="F9" s="221" t="inlineStr">
        <is>
          <t>Кол-во единиц по данным объекта-представителя</t>
        </is>
      </c>
      <c r="G9" s="221" t="inlineStr">
        <is>
          <t>Сметная стоимость в ценах на 01.01.2000 (руб.)</t>
        </is>
      </c>
      <c r="H9" s="314" t="n"/>
    </row>
    <row r="10" ht="40.5" customHeight="1">
      <c r="A10" s="316" t="n"/>
      <c r="B10" s="316" t="n"/>
      <c r="C10" s="316" t="n"/>
      <c r="D10" s="316" t="n"/>
      <c r="E10" s="316" t="n"/>
      <c r="F10" s="316" t="n"/>
      <c r="G10" s="221" t="inlineStr">
        <is>
          <t>на ед.изм.</t>
        </is>
      </c>
      <c r="H10" s="221" t="inlineStr">
        <is>
          <t>общая</t>
        </is>
      </c>
    </row>
    <row r="11">
      <c r="A11" s="214" t="n">
        <v>1</v>
      </c>
      <c r="B11" s="214" t="n"/>
      <c r="C11" s="214" t="n">
        <v>2</v>
      </c>
      <c r="D11" s="214" t="inlineStr">
        <is>
          <t>З</t>
        </is>
      </c>
      <c r="E11" s="214" t="n">
        <v>4</v>
      </c>
      <c r="F11" s="214" t="n">
        <v>5</v>
      </c>
      <c r="G11" s="214" t="n">
        <v>6</v>
      </c>
      <c r="H11" s="214" t="n">
        <v>7</v>
      </c>
    </row>
    <row r="12" customFormat="1" s="149">
      <c r="A12" s="224" t="inlineStr">
        <is>
          <t>Затраты труда рабочих</t>
        </is>
      </c>
      <c r="B12" s="313" t="n"/>
      <c r="C12" s="313" t="n"/>
      <c r="D12" s="313" t="n"/>
      <c r="E12" s="314" t="n"/>
      <c r="F12" s="318">
        <f>SUM(F13:F17)</f>
        <v/>
      </c>
      <c r="G12" s="10" t="n"/>
      <c r="H12" s="318">
        <f>SUM(H13:H17)</f>
        <v/>
      </c>
    </row>
    <row r="13">
      <c r="A13" s="255" t="n">
        <v>1</v>
      </c>
      <c r="B13" s="140" t="n"/>
      <c r="C13" s="141" t="inlineStr">
        <is>
          <t>1-2-0</t>
        </is>
      </c>
      <c r="D13" s="142" t="inlineStr">
        <is>
          <t>Затраты труда рабочих (средний разряд работы 2,0)</t>
        </is>
      </c>
      <c r="E13" s="255" t="inlineStr">
        <is>
          <t>чел.-ч</t>
        </is>
      </c>
      <c r="F13" s="319" t="n">
        <v>510.3</v>
      </c>
      <c r="G13" s="145" t="n">
        <v>7.8</v>
      </c>
      <c r="H13" s="145">
        <f>ROUND(F13*G13,2)</f>
        <v/>
      </c>
      <c r="M13" s="320" t="n"/>
    </row>
    <row r="14">
      <c r="A14" s="255" t="n">
        <v>2</v>
      </c>
      <c r="B14" s="140" t="n"/>
      <c r="C14" s="141" t="inlineStr">
        <is>
          <t>1-1-5</t>
        </is>
      </c>
      <c r="D14" s="142" t="inlineStr">
        <is>
          <t>Затраты труда рабочих (средний разряд работы 1,5)</t>
        </is>
      </c>
      <c r="E14" s="255" t="inlineStr">
        <is>
          <t>чел.-ч</t>
        </is>
      </c>
      <c r="F14" s="319">
        <f>224.8+86.1107097</f>
        <v/>
      </c>
      <c r="G14" s="145" t="n">
        <v>7.5</v>
      </c>
      <c r="H14" s="145">
        <f>ROUND(F14*G14,2)</f>
        <v/>
      </c>
    </row>
    <row r="15">
      <c r="A15" s="255" t="n">
        <v>3</v>
      </c>
      <c r="B15" s="140" t="n"/>
      <c r="C15" s="141" t="inlineStr">
        <is>
          <t>1-2-5</t>
        </is>
      </c>
      <c r="D15" s="142" t="inlineStr">
        <is>
          <t>Затраты труда рабочих (средний разряд работы 2,5)</t>
        </is>
      </c>
      <c r="E15" s="255" t="inlineStr">
        <is>
          <t>чел.-ч</t>
        </is>
      </c>
      <c r="F15" s="319" t="n">
        <v>64.70999999999999</v>
      </c>
      <c r="G15" s="145" t="n">
        <v>8.17</v>
      </c>
      <c r="H15" s="145">
        <f>ROUND(F15*G15,2)</f>
        <v/>
      </c>
    </row>
    <row r="16">
      <c r="A16" s="255" t="n">
        <v>4</v>
      </c>
      <c r="B16" s="140" t="n"/>
      <c r="C16" s="141" t="inlineStr">
        <is>
          <t>1-2-7</t>
        </is>
      </c>
      <c r="D16" s="142" t="inlineStr">
        <is>
          <t>Затраты труда рабочих (средний разряд работы 2,7)</t>
        </is>
      </c>
      <c r="E16" s="255" t="inlineStr">
        <is>
          <t>чел.-ч</t>
        </is>
      </c>
      <c r="F16" s="319" t="n">
        <v>55.74</v>
      </c>
      <c r="G16" s="145" t="n">
        <v>8.31</v>
      </c>
      <c r="H16" s="145">
        <f>ROUND(F16*G16,2)</f>
        <v/>
      </c>
    </row>
    <row r="17">
      <c r="A17" s="255" t="n">
        <v>5</v>
      </c>
      <c r="B17" s="140" t="n"/>
      <c r="C17" s="141" t="inlineStr">
        <is>
          <t>1-4-0</t>
        </is>
      </c>
      <c r="D17" s="142" t="inlineStr">
        <is>
          <t>Затраты труда рабочих (средний разряд работы 4,0)</t>
        </is>
      </c>
      <c r="E17" s="255" t="inlineStr">
        <is>
          <t>чел.-ч</t>
        </is>
      </c>
      <c r="F17" s="319" t="n">
        <v>25.86</v>
      </c>
      <c r="G17" s="145" t="n">
        <v>9.619999999999999</v>
      </c>
      <c r="H17" s="145">
        <f>ROUND(F17*G17,2)</f>
        <v/>
      </c>
    </row>
    <row r="18">
      <c r="A18" s="223" t="inlineStr">
        <is>
          <t>Затраты труда машинистов</t>
        </is>
      </c>
      <c r="B18" s="313" t="n"/>
      <c r="C18" s="313" t="n"/>
      <c r="D18" s="313" t="n"/>
      <c r="E18" s="314" t="n"/>
      <c r="F18" s="224" t="n"/>
      <c r="G18" s="146" t="n"/>
      <c r="H18" s="318">
        <f>H19</f>
        <v/>
      </c>
    </row>
    <row r="19">
      <c r="A19" s="255" t="n">
        <v>6</v>
      </c>
      <c r="B19" s="225" t="n"/>
      <c r="C19" s="141" t="n">
        <v>2</v>
      </c>
      <c r="D19" s="142" t="inlineStr">
        <is>
          <t>Затраты труда машинистов</t>
        </is>
      </c>
      <c r="E19" s="255" t="inlineStr">
        <is>
          <t>чел.-ч</t>
        </is>
      </c>
      <c r="F19" s="319">
        <f>29.49+28.65</f>
        <v/>
      </c>
      <c r="G19" s="145" t="n"/>
      <c r="H19" s="321">
        <f>328.2+383.56</f>
        <v/>
      </c>
    </row>
    <row r="20" customFormat="1" s="149">
      <c r="A20" s="224" t="inlineStr">
        <is>
          <t>Машины и механизмы</t>
        </is>
      </c>
      <c r="B20" s="313" t="n"/>
      <c r="C20" s="313" t="n"/>
      <c r="D20" s="313" t="n"/>
      <c r="E20" s="314" t="n"/>
      <c r="F20" s="224" t="n"/>
      <c r="G20" s="146" t="n"/>
      <c r="H20" s="318">
        <f>SUM(H21:H36)</f>
        <v/>
      </c>
    </row>
    <row r="21">
      <c r="A21" s="255" t="n">
        <v>7</v>
      </c>
      <c r="B21" s="225" t="n"/>
      <c r="C21" s="141" t="inlineStr">
        <is>
          <t>91.14.03-002</t>
        </is>
      </c>
      <c r="D21" s="142" t="inlineStr">
        <is>
          <t>Автомобили-самосвалы, грузоподъемность до 10 т</t>
        </is>
      </c>
      <c r="E21" s="255" t="inlineStr">
        <is>
          <t>маш.-ч</t>
        </is>
      </c>
      <c r="F21" s="255" t="n">
        <v>26.96</v>
      </c>
      <c r="G21" s="147" t="n">
        <v>87.48999999999999</v>
      </c>
      <c r="H21" s="145">
        <f>ROUND(F21*G21,2)</f>
        <v/>
      </c>
      <c r="I21" s="150" t="n"/>
      <c r="J21" s="150" t="n"/>
      <c r="L21" s="150" t="n"/>
    </row>
    <row r="22" ht="38.25" customFormat="1" customHeight="1" s="149">
      <c r="A22" s="255" t="n">
        <v>8</v>
      </c>
      <c r="B22" s="225" t="n"/>
      <c r="C22" s="141" t="inlineStr">
        <is>
          <t>91.18.01-007</t>
        </is>
      </c>
      <c r="D22" s="14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2" s="255" t="inlineStr">
        <is>
          <t>маш.-ч</t>
        </is>
      </c>
      <c r="F22" s="255" t="n">
        <v>13.72</v>
      </c>
      <c r="G22" s="147" t="n">
        <v>90</v>
      </c>
      <c r="H22" s="145">
        <f>ROUND(F22*G22,2)</f>
        <v/>
      </c>
      <c r="I22" s="150" t="n"/>
      <c r="J22" s="150" t="n"/>
      <c r="L22" s="150" t="n"/>
    </row>
    <row r="23">
      <c r="A23" s="255" t="n">
        <v>9</v>
      </c>
      <c r="B23" s="225" t="n"/>
      <c r="C23" s="141" t="inlineStr">
        <is>
          <t>91.14.02-001</t>
        </is>
      </c>
      <c r="D23" s="142" t="inlineStr">
        <is>
          <t>Автомобили бортовые, грузоподъемность до 5 т</t>
        </is>
      </c>
      <c r="E23" s="255" t="inlineStr">
        <is>
          <t>маш.-ч</t>
        </is>
      </c>
      <c r="F23" s="255" t="n">
        <v>6.89</v>
      </c>
      <c r="G23" s="147" t="n">
        <v>65.70999999999999</v>
      </c>
      <c r="H23" s="145">
        <f>ROUND(F23*G23,2)</f>
        <v/>
      </c>
      <c r="I23" s="150" t="n"/>
      <c r="J23" s="150" t="n"/>
      <c r="L23" s="150" t="n"/>
    </row>
    <row r="24">
      <c r="A24" s="255" t="n">
        <v>10</v>
      </c>
      <c r="B24" s="225" t="n"/>
      <c r="C24" s="141" t="inlineStr">
        <is>
          <t>91.05.05-014</t>
        </is>
      </c>
      <c r="D24" s="142" t="inlineStr">
        <is>
          <t>Краны на автомобильном ходу, грузоподъемность 10 т</t>
        </is>
      </c>
      <c r="E24" s="255" t="inlineStr">
        <is>
          <t>маш.-ч</t>
        </is>
      </c>
      <c r="F24" s="255" t="n">
        <v>3.66</v>
      </c>
      <c r="G24" s="147" t="n">
        <v>111.99</v>
      </c>
      <c r="H24" s="145">
        <f>ROUND(F24*G24,2)</f>
        <v/>
      </c>
      <c r="I24" s="150" t="n"/>
      <c r="J24" s="150" t="n"/>
      <c r="K24" s="150" t="n"/>
      <c r="L24" s="150" t="n"/>
    </row>
    <row r="25">
      <c r="A25" s="255" t="n">
        <v>11</v>
      </c>
      <c r="B25" s="225" t="n"/>
      <c r="C25" s="141" t="inlineStr">
        <is>
          <t>91.06.05-011</t>
        </is>
      </c>
      <c r="D25" s="142" t="inlineStr">
        <is>
          <t>Погрузчики, грузоподъемность 5 т</t>
        </is>
      </c>
      <c r="E25" s="255" t="inlineStr">
        <is>
          <t>маш.-ч</t>
        </is>
      </c>
      <c r="F25" s="255" t="n">
        <v>2.04</v>
      </c>
      <c r="G25" s="147" t="n">
        <v>89.98999999999999</v>
      </c>
      <c r="H25" s="145">
        <f>ROUND(F25*G25,2)</f>
        <v/>
      </c>
      <c r="I25" s="150" t="n"/>
      <c r="J25" s="150" t="n"/>
      <c r="K25" s="150" t="n"/>
      <c r="L25" s="150" t="n"/>
    </row>
    <row r="26">
      <c r="A26" s="255" t="n">
        <v>12</v>
      </c>
      <c r="B26" s="225" t="n"/>
      <c r="C26" s="141" t="inlineStr">
        <is>
          <t>91.08.11-011</t>
        </is>
      </c>
      <c r="D26" s="142" t="inlineStr">
        <is>
          <t>Заливщик швов на базе автомобиля</t>
        </is>
      </c>
      <c r="E26" s="255" t="inlineStr">
        <is>
          <t>маш.час</t>
        </is>
      </c>
      <c r="F26" s="255" t="n">
        <v>0.98</v>
      </c>
      <c r="G26" s="147" t="n">
        <v>175.25</v>
      </c>
      <c r="H26" s="145">
        <f>ROUND(F26*G26,2)</f>
        <v/>
      </c>
      <c r="I26" s="150" t="n"/>
      <c r="J26" s="150" t="n"/>
    </row>
    <row r="27">
      <c r="A27" s="255" t="n">
        <v>13</v>
      </c>
      <c r="B27" s="225" t="n"/>
      <c r="C27" s="141" t="inlineStr">
        <is>
          <t>91.08.06-003</t>
        </is>
      </c>
      <c r="D27" s="142" t="inlineStr">
        <is>
          <t>Нарезчик швов, максимальная глубина резки 200 мм</t>
        </is>
      </c>
      <c r="E27" s="255" t="inlineStr">
        <is>
          <t>маш.час</t>
        </is>
      </c>
      <c r="F27" s="255" t="n">
        <v>2.51</v>
      </c>
      <c r="G27" s="147" t="n">
        <v>60.89</v>
      </c>
      <c r="H27" s="145">
        <f>ROUND(F27*G27,2)</f>
        <v/>
      </c>
      <c r="J27" s="150" t="n"/>
    </row>
    <row r="28" ht="25.5" customHeight="1">
      <c r="A28" s="255" t="n">
        <v>14</v>
      </c>
      <c r="B28" s="225" t="n"/>
      <c r="C28" s="141" t="inlineStr">
        <is>
          <t>91.01.02-004</t>
        </is>
      </c>
      <c r="D28" s="142" t="inlineStr">
        <is>
          <t>Автогрейдеры: среднего типа, мощность 99 кВт (135 л.с.)</t>
        </is>
      </c>
      <c r="E28" s="255" t="inlineStr">
        <is>
          <t>маш.час</t>
        </is>
      </c>
      <c r="F28" s="255" t="n">
        <v>0.95</v>
      </c>
      <c r="G28" s="147" t="n">
        <v>123</v>
      </c>
      <c r="H28" s="145">
        <f>ROUND(F28*G28,2)</f>
        <v/>
      </c>
      <c r="J28" s="150" t="n"/>
    </row>
    <row r="29">
      <c r="A29" s="255" t="n">
        <v>15</v>
      </c>
      <c r="B29" s="225" t="n"/>
      <c r="C29" s="141" t="inlineStr">
        <is>
          <t>91.14.02-001</t>
        </is>
      </c>
      <c r="D29" s="142" t="inlineStr">
        <is>
          <t>Автомобили бортовые, грузоподъемность до 5 т</t>
        </is>
      </c>
      <c r="E29" s="255" t="inlineStr">
        <is>
          <t>маш.-ч</t>
        </is>
      </c>
      <c r="F29" s="255" t="n">
        <v>1.69</v>
      </c>
      <c r="G29" s="147" t="n">
        <v>65.70999999999999</v>
      </c>
      <c r="H29" s="145">
        <f>ROUND(F29*G29,2)</f>
        <v/>
      </c>
      <c r="J29" s="150" t="n"/>
    </row>
    <row r="30">
      <c r="A30" s="255" t="n">
        <v>16</v>
      </c>
      <c r="B30" s="225" t="n"/>
      <c r="C30" s="141" t="inlineStr">
        <is>
          <t>91.13.01-038</t>
        </is>
      </c>
      <c r="D30" s="142" t="inlineStr">
        <is>
          <t>Машины поливомоечные 6000 л</t>
        </is>
      </c>
      <c r="E30" s="255" t="inlineStr">
        <is>
          <t>маш.час</t>
        </is>
      </c>
      <c r="F30" s="255" t="n">
        <v>0.39</v>
      </c>
      <c r="G30" s="147" t="n">
        <v>110</v>
      </c>
      <c r="H30" s="145">
        <f>ROUND(F30*G30,2)</f>
        <v/>
      </c>
      <c r="J30" s="150" t="n"/>
    </row>
    <row r="31" ht="25.5" customHeight="1">
      <c r="A31" s="255" t="n">
        <v>17</v>
      </c>
      <c r="B31" s="225" t="n"/>
      <c r="C31" s="141" t="inlineStr">
        <is>
          <t>91.21.10-003</t>
        </is>
      </c>
      <c r="D31" s="142" t="inlineStr">
        <is>
          <t>Молотки при работе от передвижных компрессорных станций: отбойные пневматические</t>
        </is>
      </c>
      <c r="E31" s="255" t="inlineStr">
        <is>
          <t>маш.час</t>
        </is>
      </c>
      <c r="F31" s="255" t="n">
        <v>27.33</v>
      </c>
      <c r="G31" s="147" t="n">
        <v>1.53</v>
      </c>
      <c r="H31" s="145">
        <f>ROUND(F31*G31,2)</f>
        <v/>
      </c>
      <c r="J31" s="150" t="n"/>
    </row>
    <row r="32">
      <c r="A32" s="255" t="n">
        <v>18</v>
      </c>
      <c r="B32" s="225" t="n"/>
      <c r="C32" s="141" t="inlineStr">
        <is>
          <t>91.01.01-035</t>
        </is>
      </c>
      <c r="D32" s="142" t="inlineStr">
        <is>
          <t>Бульдозеры, мощность 79 кВт (108 л.с.)</t>
        </is>
      </c>
      <c r="E32" s="255" t="inlineStr">
        <is>
          <t>маш.час</t>
        </is>
      </c>
      <c r="F32" s="255" t="n">
        <v>0.52</v>
      </c>
      <c r="G32" s="147" t="n">
        <v>79.06999999999999</v>
      </c>
      <c r="H32" s="145">
        <f>ROUND(F32*G32,2)</f>
        <v/>
      </c>
      <c r="J32" s="150" t="n"/>
    </row>
    <row r="33" ht="25.5" customHeight="1">
      <c r="A33" s="255" t="n">
        <v>19</v>
      </c>
      <c r="B33" s="225" t="n"/>
      <c r="C33" s="141" t="inlineStr">
        <is>
          <t>91.15.02-023</t>
        </is>
      </c>
      <c r="D33" s="142" t="inlineStr">
        <is>
          <t>Тракторы на гусеничном ходу, мощность 59 кВт (80 л.с.)</t>
        </is>
      </c>
      <c r="E33" s="255" t="inlineStr">
        <is>
          <t>маш.час</t>
        </is>
      </c>
      <c r="F33" s="255" t="n">
        <v>0.33</v>
      </c>
      <c r="G33" s="147" t="n">
        <v>77.2</v>
      </c>
      <c r="H33" s="145">
        <f>ROUND(F33*G33,2)</f>
        <v/>
      </c>
      <c r="J33" s="322" t="n"/>
      <c r="L33" s="150" t="n"/>
    </row>
    <row r="34">
      <c r="A34" s="255" t="n">
        <v>20</v>
      </c>
      <c r="B34" s="225" t="n"/>
      <c r="C34" s="141" t="inlineStr">
        <is>
          <t>91.08.04-021</t>
        </is>
      </c>
      <c r="D34" s="142" t="inlineStr">
        <is>
          <t>Котлы битумные: передвижные 400 л</t>
        </is>
      </c>
      <c r="E34" s="255" t="inlineStr">
        <is>
          <t>маш.час</t>
        </is>
      </c>
      <c r="F34" s="255" t="n">
        <v>0.18</v>
      </c>
      <c r="G34" s="147" t="n">
        <v>30</v>
      </c>
      <c r="H34" s="145">
        <f>ROUND(F34*G34,2)</f>
        <v/>
      </c>
      <c r="L34" s="150" t="n"/>
    </row>
    <row r="35">
      <c r="A35" s="255" t="n">
        <v>21</v>
      </c>
      <c r="B35" s="225" t="n"/>
      <c r="C35" s="141" t="inlineStr">
        <is>
          <t>91.12.06-012</t>
        </is>
      </c>
      <c r="D35" s="142" t="inlineStr">
        <is>
          <t>Рыхлители прицепные (без трактора)</t>
        </is>
      </c>
      <c r="E35" s="255" t="inlineStr">
        <is>
          <t>маш.час</t>
        </is>
      </c>
      <c r="F35" s="255" t="n">
        <v>0.33</v>
      </c>
      <c r="G35" s="147" t="n">
        <v>8</v>
      </c>
      <c r="H35" s="145">
        <f>ROUND(F35*G35,2)</f>
        <v/>
      </c>
      <c r="L35" s="150" t="n"/>
    </row>
    <row r="36">
      <c r="A36" s="255" t="n">
        <v>22</v>
      </c>
      <c r="B36" s="225" t="n"/>
      <c r="C36" s="141" t="inlineStr">
        <is>
          <t>91.14.03-001</t>
        </is>
      </c>
      <c r="D36" s="142" t="inlineStr">
        <is>
          <t>Автомобиль-самосвал, грузоподъемность: до 7 т</t>
        </is>
      </c>
      <c r="E36" s="255" t="inlineStr">
        <is>
          <t>маш.час</t>
        </is>
      </c>
      <c r="F36" s="255" t="n">
        <v>0.01</v>
      </c>
      <c r="G36" s="147" t="n">
        <v>89.54000000000001</v>
      </c>
      <c r="H36" s="145">
        <f>ROUND(F36*G36,2)</f>
        <v/>
      </c>
    </row>
    <row r="37" ht="15" customHeight="1">
      <c r="A37" s="223" t="inlineStr">
        <is>
          <t>Оборудование</t>
        </is>
      </c>
      <c r="B37" s="313" t="n"/>
      <c r="C37" s="313" t="n"/>
      <c r="D37" s="313" t="n"/>
      <c r="E37" s="314" t="n"/>
      <c r="F37" s="10" t="n"/>
      <c r="G37" s="10" t="n"/>
      <c r="H37" s="318" t="n"/>
    </row>
    <row r="38">
      <c r="A38" s="224" t="inlineStr">
        <is>
          <t>Материалы</t>
        </is>
      </c>
      <c r="B38" s="313" t="n"/>
      <c r="C38" s="313" t="n"/>
      <c r="D38" s="313" t="n"/>
      <c r="E38" s="314" t="n"/>
      <c r="F38" s="224" t="n"/>
      <c r="G38" s="146" t="n"/>
      <c r="H38" s="318" t="n">
        <v>5704.79</v>
      </c>
    </row>
    <row r="39" ht="25.5" customHeight="1">
      <c r="A39" s="144" t="n">
        <v>23</v>
      </c>
      <c r="B39" s="225" t="n"/>
      <c r="C39" s="141" t="inlineStr">
        <is>
          <t>06.1.01.05-0021</t>
        </is>
      </c>
      <c r="D39" s="142" t="inlineStr">
        <is>
          <t>Кирпич керамический лицевой, размер 250x120x65 мм, марка 300</t>
        </is>
      </c>
      <c r="E39" s="255" t="inlineStr">
        <is>
          <t>1000 шт</t>
        </is>
      </c>
      <c r="F39" s="255" t="n">
        <v>1.948</v>
      </c>
      <c r="G39" s="145" t="n">
        <v>2271.3</v>
      </c>
      <c r="H39" s="145" t="n">
        <v>4424.49</v>
      </c>
      <c r="I39" s="152" t="n"/>
      <c r="J39" s="150" t="n"/>
      <c r="K39" s="150" t="n"/>
    </row>
    <row r="40">
      <c r="A40" s="144" t="n">
        <v>24</v>
      </c>
      <c r="B40" s="225" t="n"/>
      <c r="C40" s="141" t="inlineStr">
        <is>
          <t>02.3.01.02-0015</t>
        </is>
      </c>
      <c r="D40" s="142" t="inlineStr">
        <is>
          <t>Песок природный для строительных: работ средний</t>
        </is>
      </c>
      <c r="E40" s="255" t="inlineStr">
        <is>
          <t>м3</t>
        </is>
      </c>
      <c r="F40" s="255" t="n">
        <v>18</v>
      </c>
      <c r="G40" s="145" t="n">
        <v>55.26</v>
      </c>
      <c r="H40" s="145" t="n">
        <v>994.6799999999999</v>
      </c>
      <c r="I40" s="152" t="n"/>
      <c r="J40" s="150" t="n"/>
      <c r="K40" s="150" t="n"/>
    </row>
    <row r="41">
      <c r="A41" s="144" t="n">
        <v>25</v>
      </c>
      <c r="B41" s="225" t="n"/>
      <c r="C41" s="141" t="inlineStr">
        <is>
          <t>01.7.07.29-0221</t>
        </is>
      </c>
      <c r="D41" s="142" t="inlineStr">
        <is>
          <t>Уплотнительный состав</t>
        </is>
      </c>
      <c r="E41" s="255" t="inlineStr">
        <is>
          <t>кг</t>
        </is>
      </c>
      <c r="F41" s="255" t="n">
        <v>11.52</v>
      </c>
      <c r="G41" s="145" t="n">
        <v>16.7</v>
      </c>
      <c r="H41" s="145" t="n">
        <v>192.38</v>
      </c>
      <c r="I41" s="152" t="n"/>
      <c r="J41" s="150" t="n"/>
      <c r="K41" s="150" t="n"/>
    </row>
    <row r="42">
      <c r="A42" s="144" t="n">
        <v>26</v>
      </c>
      <c r="B42" s="225" t="n"/>
      <c r="C42" s="141" t="inlineStr">
        <is>
          <t>01.2.03.03-0045</t>
        </is>
      </c>
      <c r="D42" s="142" t="inlineStr">
        <is>
          <t>Мастика битумно-полимерная</t>
        </is>
      </c>
      <c r="E42" s="255" t="inlineStr">
        <is>
          <t>т</t>
        </is>
      </c>
      <c r="F42" s="255" t="n">
        <v>0.021</v>
      </c>
      <c r="G42" s="145" t="n">
        <v>1500</v>
      </c>
      <c r="H42" s="145" t="n">
        <v>31.5</v>
      </c>
      <c r="I42" s="152" t="n"/>
      <c r="J42" s="150" t="n"/>
    </row>
    <row r="43" ht="25.5" customHeight="1">
      <c r="A43" s="144" t="n">
        <v>27</v>
      </c>
      <c r="B43" s="225" t="n"/>
      <c r="C43" s="141" t="inlineStr">
        <is>
          <t>01.1.01.09-0024</t>
        </is>
      </c>
      <c r="D43" s="142" t="inlineStr">
        <is>
          <t>Шнур асбестовый общего назначения марки: ШАОН диаметром 3-5 мм</t>
        </is>
      </c>
      <c r="E43" s="255" t="inlineStr">
        <is>
          <t>т</t>
        </is>
      </c>
      <c r="F43" s="255" t="n">
        <v>0.001</v>
      </c>
      <c r="G43" s="145" t="n">
        <v>26950</v>
      </c>
      <c r="H43" s="145" t="n">
        <v>26.95</v>
      </c>
      <c r="I43" s="152" t="n"/>
      <c r="J43" s="150" t="n"/>
    </row>
    <row r="44">
      <c r="A44" s="144" t="n">
        <v>28</v>
      </c>
      <c r="B44" s="225" t="n"/>
      <c r="C44" s="141" t="inlineStr">
        <is>
          <t>01.7.07.29-0111</t>
        </is>
      </c>
      <c r="D44" s="142" t="inlineStr">
        <is>
          <t>Пакля пропитанная</t>
        </is>
      </c>
      <c r="E44" s="255" t="inlineStr">
        <is>
          <t>кг</t>
        </is>
      </c>
      <c r="F44" s="255" t="n">
        <v>2.4</v>
      </c>
      <c r="G44" s="145" t="n">
        <v>9.039999999999999</v>
      </c>
      <c r="H44" s="145" t="n">
        <v>21.7</v>
      </c>
      <c r="I44" s="152" t="n"/>
      <c r="J44" s="150" t="n"/>
    </row>
    <row r="45" ht="25.5" customHeight="1">
      <c r="A45" s="144" t="n">
        <v>29</v>
      </c>
      <c r="B45" s="225" t="n"/>
      <c r="C45" s="141" t="inlineStr">
        <is>
          <t>01.2.01.01-0019</t>
        </is>
      </c>
      <c r="D45" s="142" t="inlineStr">
        <is>
          <t>Битумы нефтяные дорожные марки: БНД-60/90, БНД 90/130</t>
        </is>
      </c>
      <c r="E45" s="255" t="inlineStr">
        <is>
          <t>т</t>
        </is>
      </c>
      <c r="F45" s="255" t="n">
        <v>0.003</v>
      </c>
      <c r="G45" s="145" t="n">
        <v>1690</v>
      </c>
      <c r="H45" s="145" t="n">
        <v>5.07</v>
      </c>
      <c r="I45" s="152" t="n"/>
      <c r="J45" s="150" t="n"/>
    </row>
    <row r="46" ht="25.5" customHeight="1">
      <c r="A46" s="144" t="n">
        <v>30</v>
      </c>
      <c r="B46" s="225" t="n"/>
      <c r="C46" s="141" t="inlineStr">
        <is>
          <t>999-9950</t>
        </is>
      </c>
      <c r="D46" s="142" t="inlineStr">
        <is>
          <t>Вспомогательные ненормируемые ресурсы (2% от Оплаты труда рабочих)</t>
        </is>
      </c>
      <c r="E46" s="255" t="inlineStr">
        <is>
          <t>руб.</t>
        </is>
      </c>
      <c r="F46" s="255" t="n">
        <v>4.903</v>
      </c>
      <c r="G46" s="145" t="n">
        <v>1</v>
      </c>
      <c r="H46" s="145" t="n">
        <v>4.9</v>
      </c>
      <c r="I46" s="152" t="n"/>
      <c r="J46" s="150" t="n"/>
    </row>
    <row r="47">
      <c r="A47" s="144" t="n">
        <v>31</v>
      </c>
      <c r="B47" s="225" t="n"/>
      <c r="C47" s="141" t="inlineStr">
        <is>
          <t>01.7.03.01-0001</t>
        </is>
      </c>
      <c r="D47" s="142" t="inlineStr">
        <is>
          <t>Вода</t>
        </is>
      </c>
      <c r="E47" s="255" t="inlineStr">
        <is>
          <t>м3</t>
        </is>
      </c>
      <c r="F47" s="255" t="n">
        <v>1.05</v>
      </c>
      <c r="G47" s="145" t="n">
        <v>2.44</v>
      </c>
      <c r="H47" s="145" t="n">
        <v>2.56</v>
      </c>
      <c r="I47" s="152" t="n"/>
      <c r="J47" s="150" t="n"/>
    </row>
    <row r="48" ht="25.5" customHeight="1">
      <c r="A48" s="144" t="n">
        <v>32</v>
      </c>
      <c r="B48" s="225" t="n"/>
      <c r="C48" s="141" t="inlineStr">
        <is>
          <t>02.2.05.04-0093</t>
        </is>
      </c>
      <c r="D48" s="142" t="inlineStr">
        <is>
          <t>Щебень из природного камня для строительных работ марка: 800, фракция 20-40 мм</t>
        </is>
      </c>
      <c r="E48" s="255" t="inlineStr">
        <is>
          <t>м3</t>
        </is>
      </c>
      <c r="F48" s="255" t="n">
        <v>0.0052</v>
      </c>
      <c r="G48" s="145" t="n">
        <v>108.4</v>
      </c>
      <c r="H48" s="145" t="n">
        <v>0.5600000000000001</v>
      </c>
      <c r="I48" s="152" t="n"/>
      <c r="J48" s="150" t="n"/>
    </row>
    <row r="51">
      <c r="B51" s="121" t="inlineStr">
        <is>
          <t>Составил ______________________     Д.Ю. Нефедова</t>
        </is>
      </c>
    </row>
    <row r="52">
      <c r="B52" s="120" t="inlineStr">
        <is>
          <t xml:space="preserve">                         (подпись, инициалы, фамилия)</t>
        </is>
      </c>
    </row>
    <row r="54">
      <c r="B54" s="121" t="inlineStr">
        <is>
          <t>Проверил ______________________        А.В. Костянецкая</t>
        </is>
      </c>
    </row>
    <row r="55">
      <c r="B55" s="12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20:E20"/>
    <mergeCell ref="A38:E38"/>
    <mergeCell ref="A3:H3"/>
    <mergeCell ref="A9:A10"/>
    <mergeCell ref="F9:F10"/>
    <mergeCell ref="A2:H2"/>
    <mergeCell ref="A37:E37"/>
    <mergeCell ref="C4:H4"/>
    <mergeCell ref="G9:H9"/>
    <mergeCell ref="A18:E1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7" t="inlineStr">
        <is>
          <t>Ресурсная модель</t>
        </is>
      </c>
    </row>
    <row r="6">
      <c r="B6" s="153" t="n"/>
      <c r="C6" s="4" t="n"/>
      <c r="D6" s="4" t="n"/>
      <c r="E6" s="4" t="n"/>
    </row>
    <row r="7" ht="38.25" customHeight="1">
      <c r="B7" s="206" t="inlineStr">
        <is>
          <t>Наименование разрабатываемого показателя УНЦ — Устройство траншеи КЛ (две цепи) и восстановление благоустройства по трассе с учетом восстановления газонов (все регионы) напряжение 0,4 кВ</t>
        </is>
      </c>
    </row>
    <row r="8">
      <c r="B8" s="230" t="inlineStr">
        <is>
          <t>Единица измерения  — 1 км.</t>
        </is>
      </c>
    </row>
    <row r="9">
      <c r="B9" s="153" t="n"/>
      <c r="C9" s="4" t="n"/>
      <c r="D9" s="4" t="n"/>
      <c r="E9" s="4" t="n"/>
    </row>
    <row r="10" ht="51" customHeight="1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4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4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4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4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4">
        <f>'Прил.5 Расчет СМР и ОБ'!J48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4">
        <f>'Прил.5 Расчет СМР и ОБ'!J57</f>
        <v/>
      </c>
      <c r="D17" s="27">
        <f>C17/$C$24</f>
        <v/>
      </c>
      <c r="E17" s="27">
        <f>C17/$C$40</f>
        <v/>
      </c>
      <c r="G17" s="323" t="n"/>
    </row>
    <row r="18">
      <c r="B18" s="25" t="inlineStr">
        <is>
          <t>МАТЕРИАЛЫ, ВСЕГО:</t>
        </is>
      </c>
      <c r="C18" s="15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ОБ'!D60</f>
        <v/>
      </c>
      <c r="D23" s="27" t="n"/>
      <c r="E23" s="25" t="n"/>
    </row>
    <row r="24">
      <c r="B24" s="25" t="inlineStr">
        <is>
          <t>ВСЕГО СМР с НР и СП</t>
        </is>
      </c>
      <c r="C24" s="154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4">
        <f>'Прил.5 Расчет СМР и ОБ'!J42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4">
        <f>'Прил.5 Расчет СМР и ОБ'!J43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6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6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6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4">
        <f>C40/'Прил.5 Расчет СМР и ОБ'!E64</f>
        <v/>
      </c>
      <c r="D41" s="25" t="n"/>
      <c r="E41" s="25" t="n"/>
      <c r="G41" s="156" t="n"/>
    </row>
    <row r="42">
      <c r="B42" s="157" t="n"/>
      <c r="C42" s="4" t="n"/>
      <c r="D42" s="4" t="n"/>
      <c r="E42" s="4" t="n"/>
      <c r="G42" s="156" t="n"/>
    </row>
    <row r="43">
      <c r="B43" s="157" t="inlineStr">
        <is>
          <t>Составил ____________________________ Д.Ю. Нефедова</t>
        </is>
      </c>
      <c r="C43" s="4" t="n"/>
      <c r="D43" s="4" t="n"/>
      <c r="E43" s="4" t="n"/>
      <c r="G43" s="152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4"/>
  <sheetViews>
    <sheetView view="pageBreakPreview" zoomScale="85" zoomScaleSheetLayoutView="85" workbookViewId="0">
      <selection activeCell="M18" sqref="M18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  <col width="27.42578125" customWidth="1" min="14" max="14"/>
  </cols>
  <sheetData>
    <row r="1">
      <c r="M1" s="12" t="n"/>
      <c r="N1" s="12" t="n"/>
    </row>
    <row r="2" ht="15.75" customHeight="1">
      <c r="H2" s="24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7" t="inlineStr">
        <is>
          <t>Расчет стоимости СМР и оборудования</t>
        </is>
      </c>
    </row>
    <row r="5" ht="12.75" customFormat="1" customHeight="1" s="4">
      <c r="A5" s="197" t="n"/>
      <c r="B5" s="197" t="n"/>
      <c r="C5" s="257" t="n"/>
      <c r="D5" s="197" t="n"/>
      <c r="E5" s="197" t="n"/>
      <c r="F5" s="197" t="n"/>
      <c r="G5" s="197" t="n"/>
      <c r="H5" s="197" t="n"/>
      <c r="I5" s="197" t="n"/>
      <c r="J5" s="197" t="n"/>
    </row>
    <row r="6" ht="27.75" customFormat="1" customHeight="1" s="4">
      <c r="A6" s="158" t="inlineStr">
        <is>
          <t>Наименование разрабатываемого показателя УНЦ</t>
        </is>
      </c>
      <c r="B6" s="159" t="n"/>
      <c r="C6" s="159" t="n"/>
      <c r="D6" s="249" t="inlineStr">
        <is>
          <t>Устройство траншеи КЛ (две цепи) и восстановление благоустройства по трассе с учетом восстановления газонов (все регионы) напряжение 0,4 кВ</t>
        </is>
      </c>
    </row>
    <row r="7" ht="12.75" customFormat="1" customHeight="1" s="4">
      <c r="A7" s="200" t="inlineStr">
        <is>
          <t>Единица измерения  — 1 км.</t>
        </is>
      </c>
      <c r="I7" s="206" t="n"/>
      <c r="J7" s="206" t="n"/>
    </row>
    <row r="8" ht="13.15" customFormat="1" customHeight="1" s="4"/>
    <row r="9" ht="27" customHeight="1">
      <c r="A9" s="237" t="inlineStr">
        <is>
          <t>№ пп.</t>
        </is>
      </c>
      <c r="B9" s="237" t="inlineStr">
        <is>
          <t>Код ресурса</t>
        </is>
      </c>
      <c r="C9" s="237" t="inlineStr">
        <is>
          <t>Наименование</t>
        </is>
      </c>
      <c r="D9" s="237" t="inlineStr">
        <is>
          <t>Ед. изм.</t>
        </is>
      </c>
      <c r="E9" s="237" t="inlineStr">
        <is>
          <t>Кол-во единиц по проектным данным</t>
        </is>
      </c>
      <c r="F9" s="237" t="inlineStr">
        <is>
          <t>Сметная стоимость в ценах на 01.01.2000 (руб.)</t>
        </is>
      </c>
      <c r="G9" s="314" t="n"/>
      <c r="H9" s="237" t="inlineStr">
        <is>
          <t>Удельный вес, %</t>
        </is>
      </c>
      <c r="I9" s="237" t="inlineStr">
        <is>
          <t>Сметная стоимость в ценах на 01.01.2023 (руб.)</t>
        </is>
      </c>
      <c r="J9" s="314" t="n"/>
      <c r="M9" s="12" t="n"/>
      <c r="N9" s="12" t="n"/>
    </row>
    <row r="10" ht="28.5" customHeight="1">
      <c r="A10" s="316" t="n"/>
      <c r="B10" s="316" t="n"/>
      <c r="C10" s="316" t="n"/>
      <c r="D10" s="316" t="n"/>
      <c r="E10" s="316" t="n"/>
      <c r="F10" s="237" t="inlineStr">
        <is>
          <t>на ед. изм.</t>
        </is>
      </c>
      <c r="G10" s="237" t="inlineStr">
        <is>
          <t>общая</t>
        </is>
      </c>
      <c r="H10" s="316" t="n"/>
      <c r="I10" s="237" t="inlineStr">
        <is>
          <t>на ед. изм.</t>
        </is>
      </c>
      <c r="J10" s="237" t="inlineStr">
        <is>
          <t>общая</t>
        </is>
      </c>
      <c r="M10" s="12" t="n"/>
      <c r="N10" s="12" t="n"/>
    </row>
    <row r="11">
      <c r="A11" s="237" t="n">
        <v>1</v>
      </c>
      <c r="B11" s="237" t="n">
        <v>2</v>
      </c>
      <c r="C11" s="237" t="n">
        <v>3</v>
      </c>
      <c r="D11" s="237" t="n">
        <v>4</v>
      </c>
      <c r="E11" s="237" t="n">
        <v>5</v>
      </c>
      <c r="F11" s="237" t="n">
        <v>6</v>
      </c>
      <c r="G11" s="237" t="n">
        <v>7</v>
      </c>
      <c r="H11" s="237" t="n">
        <v>8</v>
      </c>
      <c r="I11" s="232" t="n">
        <v>9</v>
      </c>
      <c r="J11" s="232" t="n">
        <v>10</v>
      </c>
      <c r="M11" s="12" t="n"/>
      <c r="N11" s="12" t="n"/>
    </row>
    <row r="12">
      <c r="A12" s="237" t="n"/>
      <c r="B12" s="223" t="inlineStr">
        <is>
          <t>Затраты труда рабочих-строителей</t>
        </is>
      </c>
      <c r="C12" s="313" t="n"/>
      <c r="D12" s="313" t="n"/>
      <c r="E12" s="313" t="n"/>
      <c r="F12" s="313" t="n"/>
      <c r="G12" s="313" t="n"/>
      <c r="H12" s="314" t="n"/>
      <c r="I12" s="112" t="n"/>
      <c r="J12" s="112" t="n"/>
    </row>
    <row r="13" ht="25.5" customHeight="1">
      <c r="A13" s="237" t="n">
        <v>1</v>
      </c>
      <c r="B13" s="160" t="inlineStr">
        <is>
          <t>1-2-0</t>
        </is>
      </c>
      <c r="C13" s="236" t="inlineStr">
        <is>
          <t>Затраты труда рабочих-строителей среднего разряда (2,0)</t>
        </is>
      </c>
      <c r="D13" s="237" t="inlineStr">
        <is>
          <t>чел.-ч.</t>
        </is>
      </c>
      <c r="E13" s="324">
        <f>G13/F13</f>
        <v/>
      </c>
      <c r="F13" s="32" t="n">
        <v>7.8</v>
      </c>
      <c r="G13" s="32">
        <f>Прил.3!H12</f>
        <v/>
      </c>
      <c r="H13" s="113">
        <f>G13/G14</f>
        <v/>
      </c>
      <c r="I13" s="32">
        <f>'ФОТр.тек.'!E13</f>
        <v/>
      </c>
      <c r="J13" s="32">
        <f>ROUND(I13*E13,2)</f>
        <v/>
      </c>
    </row>
    <row r="14" ht="25.5" customFormat="1" customHeight="1" s="12">
      <c r="A14" s="237" t="n"/>
      <c r="B14" s="237" t="n"/>
      <c r="C14" s="223" t="inlineStr">
        <is>
          <t>Итого по разделу "Затраты труда рабочих-строителей"</t>
        </is>
      </c>
      <c r="D14" s="237" t="inlineStr">
        <is>
          <t>чел.-ч.</t>
        </is>
      </c>
      <c r="E14" s="324">
        <f>SUM(E13)</f>
        <v/>
      </c>
      <c r="F14" s="32" t="n"/>
      <c r="G14" s="32">
        <f>SUM(G13:G13)</f>
        <v/>
      </c>
      <c r="H14" s="240" t="n">
        <v>1</v>
      </c>
      <c r="I14" s="112" t="n"/>
      <c r="J14" s="32">
        <f>SUM(J13:J13)</f>
        <v/>
      </c>
    </row>
    <row r="15" ht="14.25" customFormat="1" customHeight="1" s="12">
      <c r="A15" s="237" t="n"/>
      <c r="B15" s="236" t="inlineStr">
        <is>
          <t>Затраты труда машинистов</t>
        </is>
      </c>
      <c r="C15" s="313" t="n"/>
      <c r="D15" s="313" t="n"/>
      <c r="E15" s="313" t="n"/>
      <c r="F15" s="313" t="n"/>
      <c r="G15" s="313" t="n"/>
      <c r="H15" s="314" t="n"/>
      <c r="I15" s="112" t="n"/>
      <c r="J15" s="112" t="n"/>
    </row>
    <row r="16" ht="14.25" customFormat="1" customHeight="1" s="12">
      <c r="A16" s="237" t="n">
        <v>2</v>
      </c>
      <c r="B16" s="237" t="n">
        <v>2</v>
      </c>
      <c r="C16" s="236" t="inlineStr">
        <is>
          <t>Затраты труда машинистов</t>
        </is>
      </c>
      <c r="D16" s="237" t="inlineStr">
        <is>
          <t>чел.-ч.</t>
        </is>
      </c>
      <c r="E16" s="324">
        <f>29.49+28.65</f>
        <v/>
      </c>
      <c r="F16" s="32">
        <f>G16/E16</f>
        <v/>
      </c>
      <c r="G16" s="32">
        <f>Прил.3!H18</f>
        <v/>
      </c>
      <c r="H16" s="240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12">
      <c r="A17" s="237" t="n"/>
      <c r="B17" s="223" t="inlineStr">
        <is>
          <t>Машины и механизмы</t>
        </is>
      </c>
      <c r="C17" s="313" t="n"/>
      <c r="D17" s="313" t="n"/>
      <c r="E17" s="313" t="n"/>
      <c r="F17" s="313" t="n"/>
      <c r="G17" s="313" t="n"/>
      <c r="H17" s="314" t="n"/>
      <c r="I17" s="112" t="n"/>
      <c r="J17" s="112" t="n"/>
    </row>
    <row r="18" ht="14.25" customFormat="1" customHeight="1" s="12">
      <c r="A18" s="237" t="n"/>
      <c r="B18" s="236" t="inlineStr">
        <is>
          <t>Основные машины и механизмы</t>
        </is>
      </c>
      <c r="C18" s="313" t="n"/>
      <c r="D18" s="313" t="n"/>
      <c r="E18" s="313" t="n"/>
      <c r="F18" s="313" t="n"/>
      <c r="G18" s="313" t="n"/>
      <c r="H18" s="314" t="n"/>
      <c r="I18" s="112" t="n"/>
      <c r="J18" s="112" t="n"/>
    </row>
    <row r="19" ht="25.5" customFormat="1" customHeight="1" s="12">
      <c r="A19" s="237" t="n">
        <v>3</v>
      </c>
      <c r="B19" s="160" t="inlineStr">
        <is>
          <t>91.14.03-002</t>
        </is>
      </c>
      <c r="C19" s="236" t="inlineStr">
        <is>
          <t>Автомобили-самосвалы, грузоподъемность до 10 т</t>
        </is>
      </c>
      <c r="D19" s="237" t="inlineStr">
        <is>
          <t>маш.-ч</t>
        </is>
      </c>
      <c r="E19" s="324" t="n">
        <v>26.96</v>
      </c>
      <c r="F19" s="239" t="n">
        <v>87.48999999999999</v>
      </c>
      <c r="G19" s="32">
        <f>ROUND(E19*F19,2)</f>
        <v/>
      </c>
      <c r="H19" s="113">
        <f>G19/$G$37</f>
        <v/>
      </c>
      <c r="I19" s="32">
        <f>ROUND(F19*Прил.10!$D$12,2)</f>
        <v/>
      </c>
      <c r="J19" s="32">
        <f>ROUND(I19*E19,2)</f>
        <v/>
      </c>
    </row>
    <row r="20" ht="51" customFormat="1" customHeight="1" s="12">
      <c r="A20" s="237" t="n">
        <v>4</v>
      </c>
      <c r="B20" s="160" t="inlineStr">
        <is>
          <t>91.18.01-007</t>
        </is>
      </c>
      <c r="C20" s="23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237" t="inlineStr">
        <is>
          <t>маш.-ч</t>
        </is>
      </c>
      <c r="E20" s="324" t="n">
        <v>13.72</v>
      </c>
      <c r="F20" s="239" t="n">
        <v>90</v>
      </c>
      <c r="G20" s="32">
        <f>ROUND(E20*F20,2)</f>
        <v/>
      </c>
      <c r="H20" s="113">
        <f>G20/$G$37</f>
        <v/>
      </c>
      <c r="I20" s="32">
        <f>ROUND(F20*Прил.10!$D$12,2)</f>
        <v/>
      </c>
      <c r="J20" s="32">
        <f>ROUND(I20*E20,2)</f>
        <v/>
      </c>
    </row>
    <row r="21" ht="25.5" customFormat="1" customHeight="1" s="12">
      <c r="A21" s="237" t="n">
        <v>5</v>
      </c>
      <c r="B21" s="160" t="inlineStr">
        <is>
          <t>91.14.02-001</t>
        </is>
      </c>
      <c r="C21" s="236" t="inlineStr">
        <is>
          <t>Автомобили бортовые, грузоподъемность до 5 т</t>
        </is>
      </c>
      <c r="D21" s="237" t="inlineStr">
        <is>
          <t>маш.-ч</t>
        </is>
      </c>
      <c r="E21" s="324" t="n">
        <v>6.89</v>
      </c>
      <c r="F21" s="239" t="n">
        <v>65.70999999999999</v>
      </c>
      <c r="G21" s="32">
        <f>ROUND(E21*F21,2)</f>
        <v/>
      </c>
      <c r="H21" s="113">
        <f>G21/$G$37</f>
        <v/>
      </c>
      <c r="I21" s="32">
        <f>ROUND(F21*Прил.10!$D$12,2)</f>
        <v/>
      </c>
      <c r="J21" s="32">
        <f>ROUND(I21*E21,2)</f>
        <v/>
      </c>
    </row>
    <row r="22" ht="25.5" customFormat="1" customHeight="1" s="12">
      <c r="A22" s="237" t="n">
        <v>6</v>
      </c>
      <c r="B22" s="160" t="inlineStr">
        <is>
          <t>91.05.05-014</t>
        </is>
      </c>
      <c r="C22" s="236" t="inlineStr">
        <is>
          <t>Краны на автомобильном ходу, грузоподъемность 10 т</t>
        </is>
      </c>
      <c r="D22" s="237" t="inlineStr">
        <is>
          <t>маш.-ч</t>
        </is>
      </c>
      <c r="E22" s="324" t="n">
        <v>3.66</v>
      </c>
      <c r="F22" s="239" t="n">
        <v>111.99</v>
      </c>
      <c r="G22" s="32">
        <f>ROUND(E22*F22,2)</f>
        <v/>
      </c>
      <c r="H22" s="113">
        <f>G22/$G$37</f>
        <v/>
      </c>
      <c r="I22" s="32">
        <f>ROUND(F22*Прил.10!$D$12,2)</f>
        <v/>
      </c>
      <c r="J22" s="32">
        <f>ROUND(I22*E22,2)</f>
        <v/>
      </c>
    </row>
    <row r="23" ht="14.25" customFormat="1" customHeight="1" s="12">
      <c r="A23" s="237" t="n">
        <v>7</v>
      </c>
      <c r="B23" s="160" t="inlineStr">
        <is>
          <t>91.06.05-011</t>
        </is>
      </c>
      <c r="C23" s="236" t="inlineStr">
        <is>
          <t>Погрузчики, грузоподъемность 5 т</t>
        </is>
      </c>
      <c r="D23" s="237" t="inlineStr">
        <is>
          <t>маш.-ч</t>
        </is>
      </c>
      <c r="E23" s="324" t="n">
        <v>2.04</v>
      </c>
      <c r="F23" s="239" t="n">
        <v>89.98999999999999</v>
      </c>
      <c r="G23" s="32">
        <f>ROUND(E23*F23,2)</f>
        <v/>
      </c>
      <c r="H23" s="113">
        <f>G23/$G$37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12">
      <c r="A24" s="237" t="n"/>
      <c r="B24" s="237" t="n"/>
      <c r="C24" s="236" t="inlineStr">
        <is>
          <t>Итого основные машины и механизмы</t>
        </is>
      </c>
      <c r="D24" s="237" t="n"/>
      <c r="E24" s="324" t="n"/>
      <c r="F24" s="32" t="n"/>
      <c r="G24" s="32">
        <f>SUM(G19:G23)</f>
        <v/>
      </c>
      <c r="H24" s="240">
        <f>G24/G37</f>
        <v/>
      </c>
      <c r="I24" s="165" t="n"/>
      <c r="J24" s="32">
        <f>SUM(J19:J23)</f>
        <v/>
      </c>
    </row>
    <row r="25" hidden="1" outlineLevel="1" ht="14.25" customFormat="1" customHeight="1" s="12">
      <c r="A25" s="237" t="n">
        <v>8</v>
      </c>
      <c r="B25" s="160" t="inlineStr">
        <is>
          <t>91.08.11-011</t>
        </is>
      </c>
      <c r="C25" s="236" t="inlineStr">
        <is>
          <t>Заливщик швов на базе автомобиля</t>
        </is>
      </c>
      <c r="D25" s="237" t="inlineStr">
        <is>
          <t>маш.час</t>
        </is>
      </c>
      <c r="E25" s="324" t="n">
        <v>0.98</v>
      </c>
      <c r="F25" s="239" t="n">
        <v>175.25</v>
      </c>
      <c r="G25" s="32">
        <f>ROUND(E25*F25,2)</f>
        <v/>
      </c>
      <c r="H25" s="113">
        <f>G25/$G$37</f>
        <v/>
      </c>
      <c r="I25" s="32">
        <f>ROUND(F25*Прил.10!$D$12,2)</f>
        <v/>
      </c>
      <c r="J25" s="32">
        <f>ROUND(I25*E25,2)</f>
        <v/>
      </c>
    </row>
    <row r="26" hidden="1" outlineLevel="1" ht="25.5" customFormat="1" customHeight="1" s="12">
      <c r="A26" s="237" t="n">
        <v>9</v>
      </c>
      <c r="B26" s="160" t="inlineStr">
        <is>
          <t>91.08.06-003</t>
        </is>
      </c>
      <c r="C26" s="236" t="inlineStr">
        <is>
          <t>Нарезчик швов, максимальная глубина резки 200 мм</t>
        </is>
      </c>
      <c r="D26" s="237" t="inlineStr">
        <is>
          <t>маш.час</t>
        </is>
      </c>
      <c r="E26" s="324" t="n">
        <v>2.51</v>
      </c>
      <c r="F26" s="239" t="n">
        <v>60.89</v>
      </c>
      <c r="G26" s="32">
        <f>ROUND(E26*F26,2)</f>
        <v/>
      </c>
      <c r="H26" s="113">
        <f>G26/$G$37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12">
      <c r="A27" s="237" t="n">
        <v>10</v>
      </c>
      <c r="B27" s="160" t="inlineStr">
        <is>
          <t>91.01.02-004</t>
        </is>
      </c>
      <c r="C27" s="236" t="inlineStr">
        <is>
          <t>Автогрейдеры: среднего типа, мощность 99 кВт (135 л.с.)</t>
        </is>
      </c>
      <c r="D27" s="237" t="inlineStr">
        <is>
          <t>маш.час</t>
        </is>
      </c>
      <c r="E27" s="324" t="n">
        <v>0.95</v>
      </c>
      <c r="F27" s="239" t="n">
        <v>123</v>
      </c>
      <c r="G27" s="32">
        <f>ROUND(E27*F27,2)</f>
        <v/>
      </c>
      <c r="H27" s="113">
        <f>G27/$G$37</f>
        <v/>
      </c>
      <c r="I27" s="32">
        <f>ROUND(F27*Прил.10!$D$12,2)</f>
        <v/>
      </c>
      <c r="J27" s="32">
        <f>ROUND(I27*E27,2)</f>
        <v/>
      </c>
    </row>
    <row r="28" hidden="1" outlineLevel="1" ht="25.5" customFormat="1" customHeight="1" s="12">
      <c r="A28" s="237" t="n">
        <v>11</v>
      </c>
      <c r="B28" s="160" t="inlineStr">
        <is>
          <t>91.14.02-001</t>
        </is>
      </c>
      <c r="C28" s="236" t="inlineStr">
        <is>
          <t>Автомобили бортовые, грузоподъемность до 5 т</t>
        </is>
      </c>
      <c r="D28" s="237" t="inlineStr">
        <is>
          <t>маш.-ч</t>
        </is>
      </c>
      <c r="E28" s="324" t="n">
        <v>1.69</v>
      </c>
      <c r="F28" s="239" t="n">
        <v>65.70999999999999</v>
      </c>
      <c r="G28" s="32">
        <f>ROUND(E28*F28,2)</f>
        <v/>
      </c>
      <c r="H28" s="113">
        <f>G28/$G$37</f>
        <v/>
      </c>
      <c r="I28" s="32">
        <f>ROUND(F28*Прил.10!$D$12,2)</f>
        <v/>
      </c>
      <c r="J28" s="32">
        <f>ROUND(I28*E28,2)</f>
        <v/>
      </c>
    </row>
    <row r="29" hidden="1" outlineLevel="1" ht="14.25" customFormat="1" customHeight="1" s="12">
      <c r="A29" s="237" t="n">
        <v>12</v>
      </c>
      <c r="B29" s="160" t="inlineStr">
        <is>
          <t>91.13.01-038</t>
        </is>
      </c>
      <c r="C29" s="236" t="inlineStr">
        <is>
          <t>Машины поливомоечные 6000 л</t>
        </is>
      </c>
      <c r="D29" s="237" t="inlineStr">
        <is>
          <t>маш.час</t>
        </is>
      </c>
      <c r="E29" s="324" t="n">
        <v>0.39</v>
      </c>
      <c r="F29" s="239" t="n">
        <v>110</v>
      </c>
      <c r="G29" s="32">
        <f>ROUND(E29*F29,2)</f>
        <v/>
      </c>
      <c r="H29" s="113">
        <f>G29/$G$37</f>
        <v/>
      </c>
      <c r="I29" s="32">
        <f>ROUND(F29*Прил.10!$D$12,2)</f>
        <v/>
      </c>
      <c r="J29" s="32">
        <f>ROUND(I29*E29,2)</f>
        <v/>
      </c>
    </row>
    <row r="30" hidden="1" outlineLevel="1" ht="38.25" customFormat="1" customHeight="1" s="12">
      <c r="A30" s="237" t="n">
        <v>13</v>
      </c>
      <c r="B30" s="160" t="inlineStr">
        <is>
          <t>91.21.10-003</t>
        </is>
      </c>
      <c r="C30" s="236" t="inlineStr">
        <is>
          <t>Молотки при работе от передвижных компрессорных станций: отбойные пневматические</t>
        </is>
      </c>
      <c r="D30" s="237" t="inlineStr">
        <is>
          <t>маш.час</t>
        </is>
      </c>
      <c r="E30" s="324" t="n">
        <v>27.33</v>
      </c>
      <c r="F30" s="239" t="n">
        <v>1.53</v>
      </c>
      <c r="G30" s="32">
        <f>ROUND(E30*F30,2)</f>
        <v/>
      </c>
      <c r="H30" s="113">
        <f>G30/$G$37</f>
        <v/>
      </c>
      <c r="I30" s="32">
        <f>ROUND(F30*Прил.10!$D$12,2)</f>
        <v/>
      </c>
      <c r="J30" s="32">
        <f>ROUND(I30*E30,2)</f>
        <v/>
      </c>
    </row>
    <row r="31" hidden="1" outlineLevel="1" ht="14.25" customFormat="1" customHeight="1" s="12">
      <c r="A31" s="237" t="n">
        <v>14</v>
      </c>
      <c r="B31" s="160" t="inlineStr">
        <is>
          <t>91.01.01-035</t>
        </is>
      </c>
      <c r="C31" s="236" t="inlineStr">
        <is>
          <t>Бульдозеры, мощность 79 кВт (108 л.с.)</t>
        </is>
      </c>
      <c r="D31" s="237" t="inlineStr">
        <is>
          <t>маш.час</t>
        </is>
      </c>
      <c r="E31" s="324" t="n">
        <v>0.52</v>
      </c>
      <c r="F31" s="239" t="n">
        <v>79.06999999999999</v>
      </c>
      <c r="G31" s="32">
        <f>ROUND(E31*F31,2)</f>
        <v/>
      </c>
      <c r="H31" s="113">
        <f>G31/$G$37</f>
        <v/>
      </c>
      <c r="I31" s="32">
        <f>ROUND(F31*Прил.10!$D$12,2)</f>
        <v/>
      </c>
      <c r="J31" s="32">
        <f>ROUND(I31*E31,2)</f>
        <v/>
      </c>
    </row>
    <row r="32" hidden="1" outlineLevel="1" ht="25.5" customFormat="1" customHeight="1" s="12">
      <c r="A32" s="237" t="n">
        <v>15</v>
      </c>
      <c r="B32" s="160" t="inlineStr">
        <is>
          <t>91.15.02-023</t>
        </is>
      </c>
      <c r="C32" s="236" t="inlineStr">
        <is>
          <t>Тракторы на гусеничном ходу, мощность 59 кВт (80 л.с.)</t>
        </is>
      </c>
      <c r="D32" s="237" t="inlineStr">
        <is>
          <t>маш.час</t>
        </is>
      </c>
      <c r="E32" s="324" t="n">
        <v>0.33</v>
      </c>
      <c r="F32" s="239" t="n">
        <v>77.2</v>
      </c>
      <c r="G32" s="32">
        <f>ROUND(E32*F32,2)</f>
        <v/>
      </c>
      <c r="H32" s="113">
        <f>G32/$G$37</f>
        <v/>
      </c>
      <c r="I32" s="32">
        <f>ROUND(F32*Прил.10!$D$12,2)</f>
        <v/>
      </c>
      <c r="J32" s="32">
        <f>ROUND(I32*E32,2)</f>
        <v/>
      </c>
    </row>
    <row r="33" hidden="1" outlineLevel="1" ht="14.25" customFormat="1" customHeight="1" s="12">
      <c r="A33" s="237" t="n">
        <v>16</v>
      </c>
      <c r="B33" s="160" t="inlineStr">
        <is>
          <t>91.08.04-021</t>
        </is>
      </c>
      <c r="C33" s="236" t="inlineStr">
        <is>
          <t>Котлы битумные: передвижные 400 л</t>
        </is>
      </c>
      <c r="D33" s="237" t="inlineStr">
        <is>
          <t>маш.час</t>
        </is>
      </c>
      <c r="E33" s="324" t="n">
        <v>0.18</v>
      </c>
      <c r="F33" s="239" t="n">
        <v>30</v>
      </c>
      <c r="G33" s="32">
        <f>ROUND(E33*F33,2)</f>
        <v/>
      </c>
      <c r="H33" s="113">
        <f>G33/$G$37</f>
        <v/>
      </c>
      <c r="I33" s="32">
        <f>ROUND(F33*Прил.10!$D$12,2)</f>
        <v/>
      </c>
      <c r="J33" s="32">
        <f>ROUND(I33*E33,2)</f>
        <v/>
      </c>
    </row>
    <row r="34" hidden="1" outlineLevel="1" ht="14.25" customFormat="1" customHeight="1" s="12">
      <c r="A34" s="237" t="n">
        <v>17</v>
      </c>
      <c r="B34" s="160" t="inlineStr">
        <is>
          <t>91.12.06-012</t>
        </is>
      </c>
      <c r="C34" s="236" t="inlineStr">
        <is>
          <t>Рыхлители прицепные (без трактора)</t>
        </is>
      </c>
      <c r="D34" s="237" t="inlineStr">
        <is>
          <t>маш.час</t>
        </is>
      </c>
      <c r="E34" s="324" t="n">
        <v>0.33</v>
      </c>
      <c r="F34" s="239" t="n">
        <v>8</v>
      </c>
      <c r="G34" s="32">
        <f>ROUND(E34*F34,2)</f>
        <v/>
      </c>
      <c r="H34" s="113">
        <f>G34/$G$37</f>
        <v/>
      </c>
      <c r="I34" s="32">
        <f>ROUND(F34*Прил.10!$D$12,2)</f>
        <v/>
      </c>
      <c r="J34" s="32">
        <f>ROUND(I34*E34,2)</f>
        <v/>
      </c>
    </row>
    <row r="35" hidden="1" outlineLevel="1" ht="25.5" customFormat="1" customHeight="1" s="12">
      <c r="A35" s="237" t="n">
        <v>18</v>
      </c>
      <c r="B35" s="160" t="inlineStr">
        <is>
          <t>91.14.03-001</t>
        </is>
      </c>
      <c r="C35" s="236" t="inlineStr">
        <is>
          <t>Автомобиль-самосвал, грузоподъемность: до 7 т</t>
        </is>
      </c>
      <c r="D35" s="237" t="inlineStr">
        <is>
          <t>маш.час</t>
        </is>
      </c>
      <c r="E35" s="324" t="n">
        <v>0.01</v>
      </c>
      <c r="F35" s="239" t="n">
        <v>89.54000000000001</v>
      </c>
      <c r="G35" s="32">
        <f>ROUND(E35*F35,2)</f>
        <v/>
      </c>
      <c r="H35" s="113">
        <f>G35/$G$37</f>
        <v/>
      </c>
      <c r="I35" s="32">
        <f>ROUND(F35*Прил.10!$D$12,2)</f>
        <v/>
      </c>
      <c r="J35" s="32">
        <f>ROUND(I35*E35,2)</f>
        <v/>
      </c>
    </row>
    <row r="36" collapsed="1" ht="14.25" customFormat="1" customHeight="1" s="12">
      <c r="A36" s="237" t="n"/>
      <c r="B36" s="237" t="n"/>
      <c r="C36" s="236" t="inlineStr">
        <is>
          <t>Итого прочие машины и механизмы</t>
        </is>
      </c>
      <c r="D36" s="237" t="n"/>
      <c r="E36" s="238" t="n"/>
      <c r="F36" s="32" t="n"/>
      <c r="G36" s="165">
        <f>SUM(G25:G35)</f>
        <v/>
      </c>
      <c r="H36" s="113">
        <f>G36/G37</f>
        <v/>
      </c>
      <c r="I36" s="32" t="n"/>
      <c r="J36" s="165">
        <f>SUM(J25:J35)</f>
        <v/>
      </c>
    </row>
    <row r="37" ht="25.5" customFormat="1" customHeight="1" s="12">
      <c r="A37" s="237" t="n"/>
      <c r="B37" s="237" t="n"/>
      <c r="C37" s="223" t="inlineStr">
        <is>
          <t>Итого по разделу «Машины и механизмы»</t>
        </is>
      </c>
      <c r="D37" s="237" t="n"/>
      <c r="E37" s="238" t="n"/>
      <c r="F37" s="32" t="n"/>
      <c r="G37" s="32">
        <f>G36+G24</f>
        <v/>
      </c>
      <c r="H37" s="182" t="n">
        <v>1</v>
      </c>
      <c r="I37" s="183" t="n"/>
      <c r="J37" s="117">
        <f>J36+J24</f>
        <v/>
      </c>
    </row>
    <row r="38" ht="14.25" customFormat="1" customHeight="1" s="12">
      <c r="A38" s="237" t="n"/>
      <c r="B38" s="223" t="inlineStr">
        <is>
          <t>Оборудование</t>
        </is>
      </c>
      <c r="C38" s="313" t="n"/>
      <c r="D38" s="313" t="n"/>
      <c r="E38" s="313" t="n"/>
      <c r="F38" s="313" t="n"/>
      <c r="G38" s="313" t="n"/>
      <c r="H38" s="314" t="n"/>
      <c r="I38" s="112" t="n"/>
      <c r="J38" s="112" t="n"/>
    </row>
    <row r="39">
      <c r="A39" s="237" t="n"/>
      <c r="B39" s="236" t="inlineStr">
        <is>
          <t>Основное оборудование</t>
        </is>
      </c>
      <c r="C39" s="313" t="n"/>
      <c r="D39" s="313" t="n"/>
      <c r="E39" s="313" t="n"/>
      <c r="F39" s="313" t="n"/>
      <c r="G39" s="313" t="n"/>
      <c r="H39" s="314" t="n"/>
      <c r="I39" s="112" t="n"/>
      <c r="J39" s="112" t="n"/>
    </row>
    <row r="40">
      <c r="A40" s="237" t="n"/>
      <c r="B40" s="237" t="n"/>
      <c r="C40" s="236" t="inlineStr">
        <is>
          <t>Итого основное оборудование</t>
        </is>
      </c>
      <c r="D40" s="237" t="n"/>
      <c r="E40" s="325" t="n"/>
      <c r="F40" s="239" t="n"/>
      <c r="G40" s="32" t="n">
        <v>0</v>
      </c>
      <c r="H40" s="113" t="n">
        <v>0</v>
      </c>
      <c r="I40" s="165" t="n"/>
      <c r="J40" s="32" t="n">
        <v>0</v>
      </c>
    </row>
    <row r="41">
      <c r="A41" s="237" t="n"/>
      <c r="B41" s="237" t="n"/>
      <c r="C41" s="236" t="inlineStr">
        <is>
          <t>Итого прочее оборудование</t>
        </is>
      </c>
      <c r="D41" s="237" t="n"/>
      <c r="E41" s="324" t="n"/>
      <c r="F41" s="239" t="n"/>
      <c r="G41" s="32" t="n">
        <v>0</v>
      </c>
      <c r="H41" s="113" t="n">
        <v>0</v>
      </c>
      <c r="I41" s="165" t="n"/>
      <c r="J41" s="32" t="n">
        <v>0</v>
      </c>
    </row>
    <row r="42">
      <c r="A42" s="237" t="n"/>
      <c r="B42" s="237" t="n"/>
      <c r="C42" s="223" t="inlineStr">
        <is>
          <t>Итого по разделу «Оборудование»</t>
        </is>
      </c>
      <c r="D42" s="237" t="n"/>
      <c r="E42" s="238" t="n"/>
      <c r="F42" s="239" t="n"/>
      <c r="G42" s="32">
        <f>G40+G41</f>
        <v/>
      </c>
      <c r="H42" s="113" t="n">
        <v>0</v>
      </c>
      <c r="I42" s="165" t="n"/>
      <c r="J42" s="32">
        <f>J41+J40</f>
        <v/>
      </c>
    </row>
    <row r="43" ht="25.5" customHeight="1">
      <c r="A43" s="237" t="n"/>
      <c r="B43" s="237" t="n"/>
      <c r="C43" s="236" t="inlineStr">
        <is>
          <t>в том числе технологическое оборудование</t>
        </is>
      </c>
      <c r="D43" s="237" t="n"/>
      <c r="E43" s="325" t="n"/>
      <c r="F43" s="239" t="n"/>
      <c r="G43" s="32">
        <f>'Прил.6 Расчет ОБ'!G12</f>
        <v/>
      </c>
      <c r="H43" s="240" t="n"/>
      <c r="I43" s="165" t="n"/>
      <c r="J43" s="32">
        <f>J42</f>
        <v/>
      </c>
    </row>
    <row r="44" ht="14.25" customFormat="1" customHeight="1" s="12">
      <c r="A44" s="237" t="n"/>
      <c r="B44" s="223" t="inlineStr">
        <is>
          <t>Материалы</t>
        </is>
      </c>
      <c r="C44" s="313" t="n"/>
      <c r="D44" s="313" t="n"/>
      <c r="E44" s="313" t="n"/>
      <c r="F44" s="313" t="n"/>
      <c r="G44" s="313" t="n"/>
      <c r="H44" s="314" t="n"/>
      <c r="I44" s="112" t="n"/>
      <c r="J44" s="112" t="n"/>
    </row>
    <row r="45" ht="14.25" customFormat="1" customHeight="1" s="12">
      <c r="A45" s="232" t="n"/>
      <c r="B45" s="231" t="inlineStr">
        <is>
          <t>Основные материалы</t>
        </is>
      </c>
      <c r="C45" s="326" t="n"/>
      <c r="D45" s="326" t="n"/>
      <c r="E45" s="326" t="n"/>
      <c r="F45" s="326" t="n"/>
      <c r="G45" s="326" t="n"/>
      <c r="H45" s="327" t="n"/>
      <c r="I45" s="169" t="n"/>
      <c r="J45" s="169" t="n"/>
    </row>
    <row r="46" ht="25.5" customFormat="1" customHeight="1" s="12">
      <c r="A46" s="237" t="n">
        <v>19</v>
      </c>
      <c r="B46" s="237" t="inlineStr">
        <is>
          <t>06.1.01.05-0021</t>
        </is>
      </c>
      <c r="C46" s="236" t="inlineStr">
        <is>
          <t>Кирпич керамический лицевой, размер 250x120x65 мм, марка 300</t>
        </is>
      </c>
      <c r="D46" s="237" t="inlineStr">
        <is>
          <t>1000 шт</t>
        </is>
      </c>
      <c r="E46" s="325" t="n">
        <v>1.948</v>
      </c>
      <c r="F46" s="239" t="n">
        <v>2271.3</v>
      </c>
      <c r="G46" s="32">
        <f>ROUND(E46*F46,2)</f>
        <v/>
      </c>
      <c r="H46" s="113">
        <f>G46/$G$58</f>
        <v/>
      </c>
      <c r="I46" s="32">
        <f>ROUND(F46*Прил.10!$D$13,2)</f>
        <v/>
      </c>
      <c r="J46" s="32">
        <f>ROUND(I46*E46,2)</f>
        <v/>
      </c>
    </row>
    <row r="47" ht="25.5" customFormat="1" customHeight="1" s="12">
      <c r="A47" s="237" t="n">
        <v>20</v>
      </c>
      <c r="B47" s="237" t="inlineStr">
        <is>
          <t>02.3.01.02-0015</t>
        </is>
      </c>
      <c r="C47" s="236" t="inlineStr">
        <is>
          <t>Песок природный для строительных: работ средний</t>
        </is>
      </c>
      <c r="D47" s="237" t="inlineStr">
        <is>
          <t>м3</t>
        </is>
      </c>
      <c r="E47" s="325" t="n">
        <v>18</v>
      </c>
      <c r="F47" s="239" t="n">
        <v>55.26</v>
      </c>
      <c r="G47" s="32">
        <f>ROUND(E47*F47,2)</f>
        <v/>
      </c>
      <c r="H47" s="113">
        <f>G47/$G$58</f>
        <v/>
      </c>
      <c r="I47" s="32">
        <f>ROUND(F47*Прил.10!$D$13,2)</f>
        <v/>
      </c>
      <c r="J47" s="32">
        <f>ROUND(I47*E47,2)</f>
        <v/>
      </c>
    </row>
    <row r="48" ht="14.25" customFormat="1" customHeight="1" s="12">
      <c r="A48" s="248" t="n"/>
      <c r="B48" s="115" t="n"/>
      <c r="C48" s="116" t="inlineStr">
        <is>
          <t>Итого основные материалы</t>
        </is>
      </c>
      <c r="D48" s="248" t="n"/>
      <c r="E48" s="328" t="n"/>
      <c r="F48" s="117" t="n"/>
      <c r="G48" s="117">
        <f>SUM(G46:G47)</f>
        <v/>
      </c>
      <c r="H48" s="113">
        <f>G48/$G$58</f>
        <v/>
      </c>
      <c r="I48" s="32" t="n"/>
      <c r="J48" s="117">
        <f>SUM(J46:J47)</f>
        <v/>
      </c>
    </row>
    <row r="49" hidden="1" outlineLevel="1" ht="14.25" customFormat="1" customHeight="1" s="12">
      <c r="A49" s="237" t="n">
        <v>21</v>
      </c>
      <c r="B49" s="237" t="inlineStr">
        <is>
          <t>01.7.07.29-0221</t>
        </is>
      </c>
      <c r="C49" s="236" t="inlineStr">
        <is>
          <t>Уплотнительный состав</t>
        </is>
      </c>
      <c r="D49" s="237" t="inlineStr">
        <is>
          <t>кг</t>
        </is>
      </c>
      <c r="E49" s="325" t="n">
        <v>11.52</v>
      </c>
      <c r="F49" s="239" t="n">
        <v>16.7</v>
      </c>
      <c r="G49" s="32">
        <f>ROUND(E49*F49,2)</f>
        <v/>
      </c>
      <c r="H49" s="113">
        <f>G49/$G$58</f>
        <v/>
      </c>
      <c r="I49" s="32">
        <f>ROUND(F49*Прил.10!$D$13,2)</f>
        <v/>
      </c>
      <c r="J49" s="32">
        <f>ROUND(I49*E49,2)</f>
        <v/>
      </c>
    </row>
    <row r="50" hidden="1" outlineLevel="1" ht="14.25" customFormat="1" customHeight="1" s="12">
      <c r="A50" s="237" t="n">
        <v>22</v>
      </c>
      <c r="B50" s="237" t="inlineStr">
        <is>
          <t>01.2.03.03-0045</t>
        </is>
      </c>
      <c r="C50" s="236" t="inlineStr">
        <is>
          <t>Мастика битумно-полимерная</t>
        </is>
      </c>
      <c r="D50" s="237" t="inlineStr">
        <is>
          <t>т</t>
        </is>
      </c>
      <c r="E50" s="325" t="n">
        <v>0.021</v>
      </c>
      <c r="F50" s="239" t="n">
        <v>1500</v>
      </c>
      <c r="G50" s="32">
        <f>ROUND(E50*F50,2)</f>
        <v/>
      </c>
      <c r="H50" s="113">
        <f>G50/$G$58</f>
        <v/>
      </c>
      <c r="I50" s="32">
        <f>ROUND(F50*Прил.10!$D$13,2)</f>
        <v/>
      </c>
      <c r="J50" s="32">
        <f>ROUND(I50*E50,2)</f>
        <v/>
      </c>
    </row>
    <row r="51" hidden="1" outlineLevel="1" ht="25.5" customFormat="1" customHeight="1" s="12">
      <c r="A51" s="237" t="n">
        <v>23</v>
      </c>
      <c r="B51" s="237" t="inlineStr">
        <is>
          <t>01.1.01.09-0024</t>
        </is>
      </c>
      <c r="C51" s="236" t="inlineStr">
        <is>
          <t>Шнур асбестовый общего назначения марки: ШАОН диаметром 3-5 мм</t>
        </is>
      </c>
      <c r="D51" s="237" t="inlineStr">
        <is>
          <t>т</t>
        </is>
      </c>
      <c r="E51" s="325" t="n">
        <v>0.001</v>
      </c>
      <c r="F51" s="239" t="n">
        <v>26950</v>
      </c>
      <c r="G51" s="32">
        <f>ROUND(E51*F51,2)</f>
        <v/>
      </c>
      <c r="H51" s="113">
        <f>G51/$G$58</f>
        <v/>
      </c>
      <c r="I51" s="32">
        <f>ROUND(F51*Прил.10!$D$13,2)</f>
        <v/>
      </c>
      <c r="J51" s="32">
        <f>ROUND(I51*E51,2)</f>
        <v/>
      </c>
    </row>
    <row r="52" hidden="1" outlineLevel="1" ht="14.25" customFormat="1" customHeight="1" s="12">
      <c r="A52" s="237" t="n">
        <v>24</v>
      </c>
      <c r="B52" s="237" t="inlineStr">
        <is>
          <t>01.7.07.29-0111</t>
        </is>
      </c>
      <c r="C52" s="236" t="inlineStr">
        <is>
          <t>Пакля пропитанная</t>
        </is>
      </c>
      <c r="D52" s="237" t="inlineStr">
        <is>
          <t>кг</t>
        </is>
      </c>
      <c r="E52" s="325" t="n">
        <v>2.4</v>
      </c>
      <c r="F52" s="239" t="n">
        <v>9.039999999999999</v>
      </c>
      <c r="G52" s="32">
        <f>ROUND(E52*F52,2)</f>
        <v/>
      </c>
      <c r="H52" s="113">
        <f>G52/$G$58</f>
        <v/>
      </c>
      <c r="I52" s="32">
        <f>ROUND(F52*Прил.10!$D$13,2)</f>
        <v/>
      </c>
      <c r="J52" s="32">
        <f>ROUND(I52*E52,2)</f>
        <v/>
      </c>
    </row>
    <row r="53" hidden="1" outlineLevel="1" ht="25.5" customFormat="1" customHeight="1" s="12">
      <c r="A53" s="237" t="n">
        <v>25</v>
      </c>
      <c r="B53" s="237" t="inlineStr">
        <is>
          <t>01.2.01.01-0019</t>
        </is>
      </c>
      <c r="C53" s="236" t="inlineStr">
        <is>
          <t>Битумы нефтяные дорожные марки: БНД-60/90, БНД 90/130</t>
        </is>
      </c>
      <c r="D53" s="237" t="inlineStr">
        <is>
          <t>т</t>
        </is>
      </c>
      <c r="E53" s="325" t="n">
        <v>0.003</v>
      </c>
      <c r="F53" s="239" t="n">
        <v>1690</v>
      </c>
      <c r="G53" s="32">
        <f>ROUND(E53*F53,2)</f>
        <v/>
      </c>
      <c r="H53" s="113">
        <f>G53/$G$58</f>
        <v/>
      </c>
      <c r="I53" s="32">
        <f>ROUND(F53*Прил.10!$D$13,2)</f>
        <v/>
      </c>
      <c r="J53" s="32">
        <f>ROUND(I53*E53,2)</f>
        <v/>
      </c>
    </row>
    <row r="54" hidden="1" outlineLevel="1" ht="25.5" customFormat="1" customHeight="1" s="12">
      <c r="A54" s="237" t="n">
        <v>26</v>
      </c>
      <c r="B54" s="237" t="inlineStr">
        <is>
          <t>999-9950</t>
        </is>
      </c>
      <c r="C54" s="236" t="inlineStr">
        <is>
          <t>Вспомогательные ненормируемые ресурсы (2% от Оплаты труда рабочих)</t>
        </is>
      </c>
      <c r="D54" s="237" t="inlineStr">
        <is>
          <t>руб.</t>
        </is>
      </c>
      <c r="E54" s="325" t="n">
        <v>4.903</v>
      </c>
      <c r="F54" s="239" t="n">
        <v>1</v>
      </c>
      <c r="G54" s="32">
        <f>ROUND(E54*F54,2)</f>
        <v/>
      </c>
      <c r="H54" s="113">
        <f>G54/$G$58</f>
        <v/>
      </c>
      <c r="I54" s="32">
        <f>ROUND(F54*Прил.10!$D$13,2)</f>
        <v/>
      </c>
      <c r="J54" s="32">
        <f>ROUND(I54*E54,2)</f>
        <v/>
      </c>
    </row>
    <row r="55" hidden="1" outlineLevel="1" ht="14.25" customFormat="1" customHeight="1" s="12">
      <c r="A55" s="237" t="n">
        <v>27</v>
      </c>
      <c r="B55" s="237" t="inlineStr">
        <is>
          <t>01.7.03.01-0001</t>
        </is>
      </c>
      <c r="C55" s="236" t="inlineStr">
        <is>
          <t>Вода</t>
        </is>
      </c>
      <c r="D55" s="237" t="inlineStr">
        <is>
          <t>м3</t>
        </is>
      </c>
      <c r="E55" s="325" t="n">
        <v>1.05</v>
      </c>
      <c r="F55" s="239" t="n">
        <v>2.44</v>
      </c>
      <c r="G55" s="32">
        <f>ROUND(E55*F55,2)</f>
        <v/>
      </c>
      <c r="H55" s="113">
        <f>G55/$G$58</f>
        <v/>
      </c>
      <c r="I55" s="32">
        <f>ROUND(F55*Прил.10!$D$13,2)</f>
        <v/>
      </c>
      <c r="J55" s="32">
        <f>ROUND(I55*E55,2)</f>
        <v/>
      </c>
    </row>
    <row r="56" hidden="1" outlineLevel="1" ht="38.25" customFormat="1" customHeight="1" s="12">
      <c r="A56" s="237" t="n">
        <v>28</v>
      </c>
      <c r="B56" s="237" t="inlineStr">
        <is>
          <t>02.2.05.04-0093</t>
        </is>
      </c>
      <c r="C56" s="236" t="inlineStr">
        <is>
          <t>Щебень из природного камня для строительных работ марка: 800, фракция 20-40 мм</t>
        </is>
      </c>
      <c r="D56" s="237" t="inlineStr">
        <is>
          <t>м3</t>
        </is>
      </c>
      <c r="E56" s="325" t="n">
        <v>0.0052</v>
      </c>
      <c r="F56" s="239" t="n">
        <v>108.4</v>
      </c>
      <c r="G56" s="32">
        <f>ROUND(E56*F56,2)</f>
        <v/>
      </c>
      <c r="H56" s="113">
        <f>G56/$G$58</f>
        <v/>
      </c>
      <c r="I56" s="32">
        <f>ROUND(F56*Прил.10!$D$13,2)</f>
        <v/>
      </c>
      <c r="J56" s="32">
        <f>ROUND(I56*E56,2)</f>
        <v/>
      </c>
    </row>
    <row r="57" collapsed="1" ht="14.25" customFormat="1" customHeight="1" s="12">
      <c r="A57" s="237" t="n"/>
      <c r="B57" s="237" t="n"/>
      <c r="C57" s="236" t="inlineStr">
        <is>
          <t>Итого прочие материалы</t>
        </is>
      </c>
      <c r="D57" s="237" t="n"/>
      <c r="E57" s="238" t="n"/>
      <c r="F57" s="239" t="n"/>
      <c r="G57" s="32">
        <f>SUM(G49:G56)</f>
        <v/>
      </c>
      <c r="H57" s="113">
        <f>G57/$G$58</f>
        <v/>
      </c>
      <c r="I57" s="32" t="n"/>
      <c r="J57" s="32">
        <f>SUM(J49:J56)</f>
        <v/>
      </c>
    </row>
    <row r="58" ht="14.25" customFormat="1" customHeight="1" s="12">
      <c r="A58" s="237" t="n"/>
      <c r="B58" s="237" t="n"/>
      <c r="C58" s="223" t="inlineStr">
        <is>
          <t>Итого по разделу «Материалы»</t>
        </is>
      </c>
      <c r="D58" s="237" t="n"/>
      <c r="E58" s="238" t="n"/>
      <c r="F58" s="239" t="n"/>
      <c r="G58" s="32">
        <f>G48+G57</f>
        <v/>
      </c>
      <c r="H58" s="240">
        <f>G58/$G$58</f>
        <v/>
      </c>
      <c r="I58" s="32" t="n"/>
      <c r="J58" s="32">
        <f>J48+J57</f>
        <v/>
      </c>
    </row>
    <row r="59" ht="14.25" customFormat="1" customHeight="1" s="12">
      <c r="A59" s="237" t="n"/>
      <c r="B59" s="237" t="n"/>
      <c r="C59" s="236" t="inlineStr">
        <is>
          <t>ИТОГО ПО РМ</t>
        </is>
      </c>
      <c r="D59" s="237" t="n"/>
      <c r="E59" s="238" t="n"/>
      <c r="F59" s="239" t="n"/>
      <c r="G59" s="32">
        <f>G14+G37+G58</f>
        <v/>
      </c>
      <c r="H59" s="240" t="n"/>
      <c r="I59" s="32" t="n"/>
      <c r="J59" s="32">
        <f>J14+J37+J58</f>
        <v/>
      </c>
    </row>
    <row r="60" ht="14.25" customFormat="1" customHeight="1" s="12">
      <c r="A60" s="237" t="n"/>
      <c r="B60" s="237" t="n"/>
      <c r="C60" s="236" t="inlineStr">
        <is>
          <t>Накладные расходы</t>
        </is>
      </c>
      <c r="D60" s="170">
        <f>ROUND(G60/(G$16+$G$14),2)</f>
        <v/>
      </c>
      <c r="E60" s="238" t="n"/>
      <c r="F60" s="239" t="n"/>
      <c r="G60" s="32">
        <f>7373.15+935.33</f>
        <v/>
      </c>
      <c r="H60" s="240" t="n"/>
      <c r="I60" s="32" t="n"/>
      <c r="J60" s="32">
        <f>ROUND(D60*(J14+J16),2)</f>
        <v/>
      </c>
    </row>
    <row r="61" ht="14.25" customFormat="1" customHeight="1" s="12">
      <c r="A61" s="237" t="n"/>
      <c r="B61" s="237" t="n"/>
      <c r="C61" s="236" t="inlineStr">
        <is>
          <t>Сметная прибыль</t>
        </is>
      </c>
      <c r="D61" s="170">
        <f>ROUND(G61/(G$14+G$16),2)</f>
        <v/>
      </c>
      <c r="E61" s="238" t="n"/>
      <c r="F61" s="239" t="n"/>
      <c r="G61" s="32">
        <f>4395.82+492.31</f>
        <v/>
      </c>
      <c r="H61" s="240" t="n"/>
      <c r="I61" s="32" t="n"/>
      <c r="J61" s="32">
        <f>ROUND(D61*(J14+J16),2)</f>
        <v/>
      </c>
    </row>
    <row r="62" ht="14.25" customFormat="1" customHeight="1" s="12">
      <c r="A62" s="237" t="n"/>
      <c r="B62" s="237" t="n"/>
      <c r="C62" s="236" t="inlineStr">
        <is>
          <t>Итого СМР (с НР и СП)</t>
        </is>
      </c>
      <c r="D62" s="237" t="n"/>
      <c r="E62" s="238" t="n"/>
      <c r="F62" s="239" t="n"/>
      <c r="G62" s="32">
        <f>G14+G37+G58+G60+G61</f>
        <v/>
      </c>
      <c r="H62" s="240" t="n"/>
      <c r="I62" s="32" t="n"/>
      <c r="J62" s="32">
        <f>J14+J37+J58+J60+J61</f>
        <v/>
      </c>
    </row>
    <row r="63" ht="14.25" customFormat="1" customHeight="1" s="12">
      <c r="A63" s="237" t="n"/>
      <c r="B63" s="237" t="n"/>
      <c r="C63" s="236" t="inlineStr">
        <is>
          <t>ВСЕГО СМР + ОБОРУДОВАНИЕ</t>
        </is>
      </c>
      <c r="D63" s="237" t="n"/>
      <c r="E63" s="238" t="n"/>
      <c r="F63" s="239" t="n"/>
      <c r="G63" s="32">
        <f>G62+G42</f>
        <v/>
      </c>
      <c r="H63" s="240" t="n"/>
      <c r="I63" s="32" t="n"/>
      <c r="J63" s="32">
        <f>J62+J42</f>
        <v/>
      </c>
    </row>
    <row r="64" ht="14.25" customFormat="1" customHeight="1" s="12">
      <c r="A64" s="237" t="n"/>
      <c r="B64" s="237" t="n"/>
      <c r="C64" s="236" t="inlineStr">
        <is>
          <t>ИТОГО ПОКАЗАТЕЛЬ НА ЕД. ИЗМ.</t>
        </is>
      </c>
      <c r="D64" s="237" t="inlineStr">
        <is>
          <t>1 км.</t>
        </is>
      </c>
      <c r="E64" s="329" t="n">
        <v>1.228</v>
      </c>
      <c r="F64" s="239" t="n"/>
      <c r="G64" s="32">
        <f>G63/E64</f>
        <v/>
      </c>
      <c r="H64" s="240" t="n"/>
      <c r="I64" s="32" t="n"/>
      <c r="J64" s="32">
        <f>J63/E64</f>
        <v/>
      </c>
    </row>
    <row r="66" ht="14.25" customFormat="1" customHeight="1" s="12">
      <c r="A66" s="4" t="inlineStr">
        <is>
          <t>Составил ______________________    Д.Ю. Нефедова</t>
        </is>
      </c>
    </row>
    <row r="67" ht="14.25" customFormat="1" customHeight="1" s="12">
      <c r="A67" s="33" t="inlineStr">
        <is>
          <t xml:space="preserve">                         (подпись, инициалы, фамилия)</t>
        </is>
      </c>
    </row>
    <row r="68" ht="14.25" customFormat="1" customHeight="1" s="12">
      <c r="A68" s="4" t="n"/>
    </row>
    <row r="69" ht="14.25" customFormat="1" customHeight="1" s="12">
      <c r="A69" s="4" t="inlineStr">
        <is>
          <t>Проверил ______________________        А.В. Костянецкая</t>
        </is>
      </c>
    </row>
    <row r="70" ht="14.25" customFormat="1" customHeight="1" s="12">
      <c r="A70" s="33" t="inlineStr">
        <is>
          <t xml:space="preserve">                        (подпись, инициалы, фамилия)</t>
        </is>
      </c>
    </row>
    <row r="73">
      <c r="G73" s="330" t="n"/>
      <c r="H73" s="330" t="n"/>
      <c r="I73" s="330" t="n"/>
      <c r="J73" s="330" t="n"/>
    </row>
    <row r="74">
      <c r="G74" s="330" t="n"/>
      <c r="H74" s="330" t="n"/>
      <c r="I74" s="330" t="n"/>
      <c r="J74" s="330" t="n"/>
    </row>
  </sheetData>
  <mergeCells count="20">
    <mergeCell ref="H9:H10"/>
    <mergeCell ref="A4:J4"/>
    <mergeCell ref="B15:H15"/>
    <mergeCell ref="H2:J2"/>
    <mergeCell ref="B45:H45"/>
    <mergeCell ref="C9:C10"/>
    <mergeCell ref="E9:E10"/>
    <mergeCell ref="A7:H7"/>
    <mergeCell ref="B9:B10"/>
    <mergeCell ref="D9:D10"/>
    <mergeCell ref="B18:H18"/>
    <mergeCell ref="B12:H12"/>
    <mergeCell ref="B39:H39"/>
    <mergeCell ref="D6:J6"/>
    <mergeCell ref="F9:G9"/>
    <mergeCell ref="B17:H17"/>
    <mergeCell ref="A9:A10"/>
    <mergeCell ref="B44:H44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3" workbookViewId="0">
      <selection activeCell="D15" sqref="D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0" t="inlineStr">
        <is>
          <t>Приложение №6</t>
        </is>
      </c>
    </row>
    <row r="2" ht="21.75" customHeight="1">
      <c r="A2" s="250" t="n"/>
      <c r="B2" s="250" t="n"/>
      <c r="C2" s="250" t="n"/>
      <c r="D2" s="250" t="n"/>
      <c r="E2" s="250" t="n"/>
      <c r="F2" s="250" t="n"/>
      <c r="G2" s="250" t="n"/>
    </row>
    <row r="3">
      <c r="A3" s="197" t="inlineStr">
        <is>
          <t>Расчет стоимости оборудования</t>
        </is>
      </c>
    </row>
    <row r="4" ht="27" customHeight="1">
      <c r="A4" s="200" t="inlineStr">
        <is>
          <t>Наименование разрабатываемого показателя УНЦ — Устройство траншеи КЛ (две цепи) и восстановление благоустройства по трассе с учетом восстановления газонов (все регионы) напряжение 0,4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5" t="inlineStr">
        <is>
          <t>№ пп.</t>
        </is>
      </c>
      <c r="B6" s="255" t="inlineStr">
        <is>
          <t>Код ресурса</t>
        </is>
      </c>
      <c r="C6" s="255" t="inlineStr">
        <is>
          <t>Наименование</t>
        </is>
      </c>
      <c r="D6" s="255" t="inlineStr">
        <is>
          <t>Ед. изм.</t>
        </is>
      </c>
      <c r="E6" s="237" t="inlineStr">
        <is>
          <t>Кол-во единиц по проектным данным</t>
        </is>
      </c>
      <c r="F6" s="255" t="inlineStr">
        <is>
          <t>Сметная стоимость в ценах на 01.01.2000 (руб.)</t>
        </is>
      </c>
      <c r="G6" s="314" t="n"/>
    </row>
    <row r="7">
      <c r="A7" s="316" t="n"/>
      <c r="B7" s="316" t="n"/>
      <c r="C7" s="316" t="n"/>
      <c r="D7" s="316" t="n"/>
      <c r="E7" s="316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>
      <c r="A9" s="25" t="n"/>
      <c r="B9" s="236" t="inlineStr">
        <is>
          <t>ИНЖЕНЕРНОЕ ОБОРУДОВАНИЕ</t>
        </is>
      </c>
      <c r="C9" s="313" t="n"/>
      <c r="D9" s="313" t="n"/>
      <c r="E9" s="313" t="n"/>
      <c r="F9" s="313" t="n"/>
      <c r="G9" s="314" t="n"/>
    </row>
    <row r="10" ht="27" customHeight="1">
      <c r="A10" s="237" t="n"/>
      <c r="B10" s="223" t="n"/>
      <c r="C10" s="236" t="inlineStr">
        <is>
          <t>ИТОГО ИНЖЕНЕРНОЕ ОБОРУДОВАНИЕ</t>
        </is>
      </c>
      <c r="D10" s="223" t="n"/>
      <c r="E10" s="172" t="n"/>
      <c r="F10" s="239" t="n"/>
      <c r="G10" s="239" t="n">
        <v>0</v>
      </c>
    </row>
    <row r="11">
      <c r="A11" s="237" t="n"/>
      <c r="B11" s="236" t="inlineStr">
        <is>
          <t>ТЕХНОЛОГИЧЕСКОЕ ОБОРУДОВАНИЕ</t>
        </is>
      </c>
      <c r="C11" s="313" t="n"/>
      <c r="D11" s="313" t="n"/>
      <c r="E11" s="313" t="n"/>
      <c r="F11" s="313" t="n"/>
      <c r="G11" s="314" t="n"/>
    </row>
    <row r="12" ht="25.5" customHeight="1">
      <c r="A12" s="237" t="n"/>
      <c r="B12" s="236" t="n"/>
      <c r="C12" s="236" t="inlineStr">
        <is>
          <t>ИТОГО ТЕХНОЛОГИЧЕСКОЕ ОБОРУДОВАНИЕ</t>
        </is>
      </c>
      <c r="D12" s="236" t="n"/>
      <c r="E12" s="254" t="n"/>
      <c r="F12" s="239" t="n"/>
      <c r="G12" s="32" t="n">
        <v>0</v>
      </c>
    </row>
    <row r="13" ht="19.5" customHeight="1">
      <c r="A13" s="237" t="n"/>
      <c r="B13" s="236" t="n"/>
      <c r="C13" s="236" t="inlineStr">
        <is>
          <t>Всего по разделу «Оборудование»</t>
        </is>
      </c>
      <c r="D13" s="236" t="n"/>
      <c r="E13" s="254" t="n"/>
      <c r="F13" s="239" t="n"/>
      <c r="G13" s="32">
        <f>G10+G12</f>
        <v/>
      </c>
    </row>
    <row r="14">
      <c r="A14" s="30" t="n"/>
      <c r="B14" s="173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3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50" t="inlineStr">
        <is>
          <t>Приложение №7</t>
        </is>
      </c>
    </row>
    <row r="2">
      <c r="A2" s="250" t="n"/>
      <c r="B2" s="250" t="n"/>
      <c r="C2" s="250" t="n"/>
      <c r="D2" s="250" t="n"/>
    </row>
    <row r="3" ht="24.75" customHeight="1">
      <c r="A3" s="197" t="inlineStr">
        <is>
          <t>Расчет показателя УНЦ</t>
        </is>
      </c>
    </row>
    <row r="4" ht="24.75" customHeight="1">
      <c r="A4" s="197" t="n"/>
      <c r="B4" s="197" t="n"/>
      <c r="C4" s="197" t="n"/>
      <c r="D4" s="197" t="n"/>
    </row>
    <row r="5" ht="89.25" customHeight="1">
      <c r="A5" s="200" t="inlineStr">
        <is>
          <t xml:space="preserve">Наименование разрабатываемого показателя УНЦ - </t>
        </is>
      </c>
      <c r="D5" s="200">
        <f>'Прил.5 Расчет СМР и ОБ'!D6:J6</f>
        <v/>
      </c>
    </row>
    <row r="6">
      <c r="A6" s="200" t="inlineStr">
        <is>
          <t>Единица измерения  — 1 км</t>
        </is>
      </c>
      <c r="D6" s="200" t="n"/>
    </row>
    <row r="7">
      <c r="A7" s="4" t="n"/>
      <c r="B7" s="4" t="n"/>
      <c r="C7" s="4" t="n"/>
      <c r="D7" s="4" t="n"/>
    </row>
    <row r="8" ht="14.45" customHeight="1">
      <c r="A8" s="221" t="inlineStr">
        <is>
          <t>Код показателя</t>
        </is>
      </c>
      <c r="B8" s="221" t="inlineStr">
        <is>
          <t>Наименование показателя</t>
        </is>
      </c>
      <c r="C8" s="221" t="inlineStr">
        <is>
          <t>Наименование РМ, входящих в состав показателя</t>
        </is>
      </c>
      <c r="D8" s="221" t="inlineStr">
        <is>
          <t>Норматив цены на 01.01.2023, тыс.руб.</t>
        </is>
      </c>
    </row>
    <row r="9" ht="15" customHeight="1">
      <c r="A9" s="316" t="n"/>
      <c r="B9" s="316" t="n"/>
      <c r="C9" s="316" t="n"/>
      <c r="D9" s="316" t="n"/>
    </row>
    <row r="10">
      <c r="A10" s="237" t="n">
        <v>1</v>
      </c>
      <c r="B10" s="237" t="n">
        <v>2</v>
      </c>
      <c r="C10" s="237" t="n">
        <v>3</v>
      </c>
      <c r="D10" s="237" t="n">
        <v>4</v>
      </c>
    </row>
    <row r="11" ht="51" customHeight="1">
      <c r="A11" s="237" t="inlineStr">
        <is>
          <t>Б2-01-4</t>
        </is>
      </c>
      <c r="B11" s="237" t="inlineStr">
        <is>
          <t xml:space="preserve">УНЦ на устройство траншеи КЛ и восстановление благоустройства по трассе </t>
        </is>
      </c>
      <c r="C11" s="154">
        <f>D5</f>
        <v/>
      </c>
      <c r="D11" s="3">
        <f>'Прил.4 РМ'!C41/1000</f>
        <v/>
      </c>
      <c r="E11" s="157" t="n"/>
    </row>
    <row r="12">
      <c r="A12" s="30" t="n"/>
      <c r="B12" s="173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3" sqref="D23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07" t="inlineStr">
        <is>
          <t>Приложение № 10</t>
        </is>
      </c>
    </row>
    <row r="5" ht="18.75" customHeight="1">
      <c r="B5" s="174" t="n"/>
    </row>
    <row r="6" ht="15.75" customHeight="1">
      <c r="B6" s="208" t="inlineStr">
        <is>
          <t>Используемые индексы изменений сметной стоимости и нормы сопутствующих затрат</t>
        </is>
      </c>
    </row>
    <row r="7">
      <c r="B7" s="256" t="n"/>
    </row>
    <row r="8">
      <c r="B8" s="256" t="n"/>
      <c r="C8" s="256" t="n"/>
      <c r="D8" s="256" t="n"/>
      <c r="E8" s="256" t="n"/>
    </row>
    <row r="9" ht="47.25" customHeight="1">
      <c r="B9" s="221" t="inlineStr">
        <is>
          <t>Наименование индекса / норм сопутствующих затрат</t>
        </is>
      </c>
      <c r="C9" s="221" t="inlineStr">
        <is>
          <t>Дата применения и обоснование индекса / норм сопутствующих затрат</t>
        </is>
      </c>
      <c r="D9" s="221" t="inlineStr">
        <is>
          <t>Размер индекса / норма сопутствующих затрат</t>
        </is>
      </c>
    </row>
    <row r="10" ht="15.75" customHeight="1">
      <c r="B10" s="221" t="n">
        <v>1</v>
      </c>
      <c r="C10" s="221" t="n">
        <v>2</v>
      </c>
      <c r="D10" s="221" t="n">
        <v>3</v>
      </c>
    </row>
    <row r="11" ht="31.5" customHeight="1">
      <c r="B11" s="221" t="inlineStr">
        <is>
          <t xml:space="preserve">Индекс изменения сметной стоимости на 1 квартал 2023 года. ОЗП </t>
        </is>
      </c>
      <c r="C11" s="221" t="inlineStr">
        <is>
          <t>Письмо Минстроя России от 30.03.2023г. №17106-ИФ/09  прил.1</t>
        </is>
      </c>
      <c r="D11" s="221" t="n">
        <v>44.29</v>
      </c>
    </row>
    <row r="12" ht="31.5" customHeight="1">
      <c r="B12" s="221" t="inlineStr">
        <is>
          <t>Индекс изменения сметной стоимости на 1 квартал 2023 года. ЭМ</t>
        </is>
      </c>
      <c r="C12" s="221" t="inlineStr">
        <is>
          <t>Письмо Минстроя России от 30.03.2023г. №17106-ИФ/09  прил.1</t>
        </is>
      </c>
      <c r="D12" s="221" t="n">
        <v>10.77</v>
      </c>
    </row>
    <row r="13" ht="31.5" customHeight="1">
      <c r="B13" s="221" t="inlineStr">
        <is>
          <t>Индекс изменения сметной стоимости на 1 квартал 2023 года. МАТ</t>
        </is>
      </c>
      <c r="C13" s="221" t="inlineStr">
        <is>
          <t>Письмо Минстроя России от 30.03.2023г. №17106-ИФ/09  прил.1</t>
        </is>
      </c>
      <c r="D13" s="221" t="n">
        <v>4.39</v>
      </c>
    </row>
    <row r="14" ht="31.5" customHeight="1">
      <c r="B14" s="221" t="inlineStr">
        <is>
          <t>Индекс изменения сметной стоимости на 1 квартал 2023 года. ОБ</t>
        </is>
      </c>
      <c r="C14" s="126" t="inlineStr">
        <is>
          <t>Письмо Минстроя России от 23.02.2023г. №9791-ИФ/09 прил.6</t>
        </is>
      </c>
      <c r="D14" s="221" t="n">
        <v>6.26</v>
      </c>
    </row>
    <row r="15" ht="89.25" customHeight="1">
      <c r="B15" s="221" t="inlineStr">
        <is>
          <t>Временные здания и сооружения</t>
        </is>
      </c>
      <c r="C15" s="221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6" t="n">
        <v>0.025</v>
      </c>
    </row>
    <row r="16" ht="78.75" customHeight="1">
      <c r="B16" s="221" t="inlineStr">
        <is>
          <t>Дополнительные затраты при производстве строительно-монтажных работ в зимнее время</t>
        </is>
      </c>
      <c r="C16" s="22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6" t="n">
        <v>0.021</v>
      </c>
    </row>
    <row r="17" ht="31.5" customHeight="1">
      <c r="B17" s="221" t="inlineStr">
        <is>
          <t>Строительный контроль</t>
        </is>
      </c>
      <c r="C17" s="221" t="inlineStr">
        <is>
          <t>Постановление Правительства РФ от 21.06.10 г. № 468</t>
        </is>
      </c>
      <c r="D17" s="176" t="n">
        <v>0.0214</v>
      </c>
    </row>
    <row r="18" ht="31.5" customHeight="1">
      <c r="B18" s="221" t="inlineStr">
        <is>
          <t>Авторский надзор - 0,2%</t>
        </is>
      </c>
      <c r="C18" s="221" t="inlineStr">
        <is>
          <t>Приказ от 4.08.2020 № 421/пр п.173</t>
        </is>
      </c>
      <c r="D18" s="176" t="n">
        <v>0.002</v>
      </c>
    </row>
    <row r="19" ht="24" customHeight="1">
      <c r="B19" s="221" t="inlineStr">
        <is>
          <t>Непредвиденные расходы</t>
        </is>
      </c>
      <c r="C19" s="221" t="inlineStr">
        <is>
          <t>Приказ от 4.08.2020 № 421/пр п.179</t>
        </is>
      </c>
      <c r="D19" s="176" t="n">
        <v>0.03</v>
      </c>
    </row>
    <row r="20" ht="18.75" customHeight="1">
      <c r="B20" s="135" t="n"/>
    </row>
    <row r="21" ht="18.75" customHeight="1">
      <c r="B21" s="135" t="n"/>
    </row>
    <row r="22" ht="18.75" customHeight="1">
      <c r="B22" s="135" t="n"/>
    </row>
    <row r="23" ht="18.75" customHeight="1">
      <c r="B23" s="135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3" zoomScale="60" zoomScaleNormal="100" workbookViewId="0">
      <selection activeCell="M29" sqref="M29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0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4" t="inlineStr">
        <is>
          <t>Составлен в уровне цен на 01.01.2023 г.</t>
        </is>
      </c>
      <c r="B4" s="121" t="n"/>
      <c r="C4" s="121" t="n"/>
      <c r="D4" s="121" t="n"/>
      <c r="E4" s="121" t="n"/>
      <c r="F4" s="121" t="n"/>
      <c r="G4" s="121" t="n"/>
    </row>
    <row r="5" ht="15.75" customHeight="1">
      <c r="A5" s="300" t="inlineStr">
        <is>
          <t>№ пп.</t>
        </is>
      </c>
      <c r="B5" s="300" t="inlineStr">
        <is>
          <t>Наименование элемента</t>
        </is>
      </c>
      <c r="C5" s="300" t="inlineStr">
        <is>
          <t>Обозначение</t>
        </is>
      </c>
      <c r="D5" s="300" t="inlineStr">
        <is>
          <t>Формула</t>
        </is>
      </c>
      <c r="E5" s="300" t="inlineStr">
        <is>
          <t>Величина элемента</t>
        </is>
      </c>
      <c r="F5" s="300" t="inlineStr">
        <is>
          <t>Наименования обосновывающих документов</t>
        </is>
      </c>
      <c r="G5" s="121" t="n"/>
    </row>
    <row r="6" ht="15.75" customHeight="1">
      <c r="A6" s="300" t="n">
        <v>1</v>
      </c>
      <c r="B6" s="300" t="n">
        <v>2</v>
      </c>
      <c r="C6" s="300" t="n">
        <v>3</v>
      </c>
      <c r="D6" s="300" t="n">
        <v>4</v>
      </c>
      <c r="E6" s="300" t="n">
        <v>5</v>
      </c>
      <c r="F6" s="300" t="n">
        <v>6</v>
      </c>
      <c r="G6" s="121" t="n"/>
    </row>
    <row r="7" ht="110.25" customHeight="1">
      <c r="A7" s="301" t="inlineStr">
        <is>
          <t>1.1</t>
        </is>
      </c>
      <c r="B7" s="30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03" t="inlineStr">
        <is>
          <t>С1ср</t>
        </is>
      </c>
      <c r="D7" s="303" t="inlineStr">
        <is>
          <t>-</t>
        </is>
      </c>
      <c r="E7" s="304" t="n">
        <v>47872.94</v>
      </c>
      <c r="F7" s="30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1" t="n"/>
    </row>
    <row r="8" ht="31.5" customHeight="1">
      <c r="A8" s="301" t="inlineStr">
        <is>
          <t>1.2</t>
        </is>
      </c>
      <c r="B8" s="302" t="inlineStr">
        <is>
          <t>Среднегодовое нормативное число часов работы одного рабочего в месяц, часы (ч.)</t>
        </is>
      </c>
      <c r="C8" s="303" t="inlineStr">
        <is>
          <t>tср</t>
        </is>
      </c>
      <c r="D8" s="303" t="inlineStr">
        <is>
          <t>1973ч/12мес.</t>
        </is>
      </c>
      <c r="E8" s="305">
        <f>1973/12</f>
        <v/>
      </c>
      <c r="F8" s="302" t="inlineStr">
        <is>
          <t>Производственный календарь 2023 год
(40-часов.неделя)</t>
        </is>
      </c>
      <c r="G8" s="195" t="n"/>
    </row>
    <row r="9" ht="15.75" customHeight="1">
      <c r="A9" s="301" t="inlineStr">
        <is>
          <t>1.3</t>
        </is>
      </c>
      <c r="B9" s="302" t="inlineStr">
        <is>
          <t>Коэффициент увеличения</t>
        </is>
      </c>
      <c r="C9" s="303" t="inlineStr">
        <is>
          <t>Кув</t>
        </is>
      </c>
      <c r="D9" s="303" t="inlineStr">
        <is>
          <t>-</t>
        </is>
      </c>
      <c r="E9" s="305" t="n">
        <v>1</v>
      </c>
      <c r="F9" s="302" t="n"/>
      <c r="G9" s="195" t="n"/>
    </row>
    <row r="10" ht="15.75" customHeight="1">
      <c r="A10" s="301" t="inlineStr">
        <is>
          <t>1.4</t>
        </is>
      </c>
      <c r="B10" s="302" t="inlineStr">
        <is>
          <t>Средний разряд работ</t>
        </is>
      </c>
      <c r="C10" s="303" t="n"/>
      <c r="D10" s="303" t="n"/>
      <c r="E10" s="331" t="n">
        <v>2</v>
      </c>
      <c r="F10" s="302" t="inlineStr">
        <is>
          <t>РТМ</t>
        </is>
      </c>
      <c r="G10" s="195" t="n"/>
    </row>
    <row r="11" ht="78.75" customHeight="1">
      <c r="A11" s="301" t="inlineStr">
        <is>
          <t>1.5</t>
        </is>
      </c>
      <c r="B11" s="302" t="inlineStr">
        <is>
          <t>Тарифный коэффициент среднего разряда работ</t>
        </is>
      </c>
      <c r="C11" s="303" t="inlineStr">
        <is>
          <t>КТ</t>
        </is>
      </c>
      <c r="D11" s="303" t="inlineStr">
        <is>
          <t>-</t>
        </is>
      </c>
      <c r="E11" s="332" t="n">
        <v>1.085</v>
      </c>
      <c r="F11" s="30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1" t="n"/>
    </row>
    <row r="12" ht="78.75" customHeight="1">
      <c r="A12" s="301" t="inlineStr">
        <is>
          <t>1.6</t>
        </is>
      </c>
      <c r="B12" s="308" t="inlineStr">
        <is>
          <t>Коэффициент инфляции, определяемый поквартально</t>
        </is>
      </c>
      <c r="C12" s="303" t="inlineStr">
        <is>
          <t>Кинф</t>
        </is>
      </c>
      <c r="D12" s="303" t="inlineStr">
        <is>
          <t>-</t>
        </is>
      </c>
      <c r="E12" s="333" t="n">
        <v>1.139</v>
      </c>
      <c r="F12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301" t="inlineStr">
        <is>
          <t>1.7</t>
        </is>
      </c>
      <c r="B13" s="311" t="inlineStr">
        <is>
          <t>Размер средств на оплату труда рабочих-строителей в текущем уровне цен (ФОТр.тек.), руб/чел.-ч</t>
        </is>
      </c>
      <c r="C13" s="303" t="inlineStr">
        <is>
          <t>ФОТр.тек.</t>
        </is>
      </c>
      <c r="D13" s="303" t="inlineStr">
        <is>
          <t>(С1ср/tср*КТ*Т*Кув)*Кинф</t>
        </is>
      </c>
      <c r="E13" s="312">
        <f>((E7*E9/E8)*E11)*E12</f>
        <v/>
      </c>
      <c r="F13" s="3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2025-01-24T11:53:49Z</dcterms:modified>
  <cp:lastModifiedBy>112</cp:lastModifiedBy>
  <cp:lastPrinted>2023-11-27T06:41:12Z</cp:lastPrinted>
</cp:coreProperties>
</file>