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'Прил.3'!$A$1:$H$75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\ _₽_-;\-* #,##0.0\ _₽_-;_-* &quot;-&quot;??\ _₽_-;_-@_-"/>
    <numFmt numFmtId="166" formatCode="0.000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10" fontId="0" fillId="0" borderId="0" pivotButton="0" quotePrefix="0" xfId="0"/>
    <xf numFmtId="0" fontId="18" fillId="0" borderId="0" applyAlignment="1" pivotButton="0" quotePrefix="0" xfId="0">
      <alignment horizontal="center" vertical="center"/>
    </xf>
    <xf numFmtId="165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6" fillId="0" borderId="1" applyAlignment="1" pivotButton="0" quotePrefix="0" xfId="0">
      <alignment vertical="center" wrapText="1"/>
    </xf>
    <xf numFmtId="4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vertical="top"/>
    </xf>
    <xf numFmtId="4" fontId="17" fillId="0" borderId="1" applyAlignment="1" pivotButton="0" quotePrefix="0" xfId="0">
      <alignment vertical="top"/>
    </xf>
    <xf numFmtId="167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7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5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23" min="1" max="2"/>
    <col width="51.7109375" customWidth="1" style="123" min="3" max="3"/>
    <col width="47" customWidth="1" style="123" min="4" max="4"/>
    <col width="37.42578125" customWidth="1" style="123" min="5" max="5"/>
    <col width="9.140625" customWidth="1" style="123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" customHeight="1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47" t="n"/>
      <c r="C6" s="147" t="n"/>
      <c r="D6" s="147" t="n"/>
    </row>
    <row r="7" ht="64.5" customHeight="1">
      <c r="B7" s="215" t="inlineStr">
        <is>
          <t>Наименование разрабатываемого показателя УНЦ - Устройство траншеи КЛ (две цепи) и восстановление благоустройства по трассе без учета восстановления газонов (все регионы) напряжение 6-15 кВ</t>
        </is>
      </c>
    </row>
    <row r="8" ht="31.5" customHeight="1">
      <c r="B8" s="124" t="inlineStr">
        <is>
          <t xml:space="preserve">Сопоставимый уровень цен: </t>
        </is>
      </c>
      <c r="C8" s="124" t="n"/>
      <c r="D8" s="185">
        <f>D22</f>
        <v/>
      </c>
    </row>
    <row r="9" ht="15.75" customHeight="1">
      <c r="B9" s="215" t="inlineStr">
        <is>
          <t>Единица измерения  — 1 км</t>
        </is>
      </c>
    </row>
    <row r="10">
      <c r="B10" s="215" t="n"/>
    </row>
    <row r="11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  <c r="E11" s="148" t="n"/>
    </row>
    <row r="12" ht="141.75" customHeight="1">
      <c r="B12" s="218" t="n">
        <v>1</v>
      </c>
      <c r="C12" s="149" t="inlineStr">
        <is>
          <t>Наименование объекта-представителя</t>
        </is>
      </c>
      <c r="D12" s="218" t="inlineStr">
        <is>
      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Чайковского - Бр. Кашириных, кадастровый номер участка: 74:36:0604020:21</t>
        </is>
      </c>
    </row>
    <row r="13">
      <c r="B13" s="218" t="n">
        <v>2</v>
      </c>
      <c r="C13" s="149" t="inlineStr">
        <is>
          <t>Наименование субъекта Российской Федерации</t>
        </is>
      </c>
      <c r="D13" s="218" t="inlineStr">
        <is>
          <t>г. Челябинск</t>
        </is>
      </c>
    </row>
    <row r="14">
      <c r="B14" s="218" t="n">
        <v>3</v>
      </c>
      <c r="C14" s="149" t="inlineStr">
        <is>
          <t>Климатический район и подрайон</t>
        </is>
      </c>
      <c r="D14" s="218" t="inlineStr">
        <is>
          <t>IВ</t>
        </is>
      </c>
    </row>
    <row r="15">
      <c r="B15" s="218" t="n">
        <v>4</v>
      </c>
      <c r="C15" s="149" t="inlineStr">
        <is>
          <t>Мощность объекта</t>
        </is>
      </c>
      <c r="D15" s="218" t="n">
        <v>6.3</v>
      </c>
    </row>
    <row r="16" ht="63" customHeight="1">
      <c r="B16" s="218" t="n">
        <v>5</v>
      </c>
      <c r="C16" s="14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Кирпич керамический лицевой, размер 250x120x65 мм, марка 300; трубы хризотилцементные безнапорные БНТ, песок природный</t>
        </is>
      </c>
    </row>
    <row r="17" ht="63" customHeight="1">
      <c r="B17" s="218" t="n">
        <v>6</v>
      </c>
      <c r="C17" s="14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0" t="n"/>
    </row>
    <row r="18">
      <c r="B18" s="151" t="inlineStr">
        <is>
          <t>6.1</t>
        </is>
      </c>
      <c r="C18" s="149" t="inlineStr">
        <is>
          <t>строительно-монтажные работы</t>
        </is>
      </c>
      <c r="D18" s="186">
        <f>'Прил.2 Расч стоим'!F14+'Прил.2 Расч стоим'!G14</f>
        <v/>
      </c>
    </row>
    <row r="19">
      <c r="B19" s="151" t="inlineStr">
        <is>
          <t>6.2</t>
        </is>
      </c>
      <c r="C19" s="149" t="inlineStr">
        <is>
          <t>оборудование и инвентарь</t>
        </is>
      </c>
      <c r="D19" s="186" t="n"/>
    </row>
    <row r="20">
      <c r="B20" s="151" t="inlineStr">
        <is>
          <t>6.3</t>
        </is>
      </c>
      <c r="C20" s="149" t="inlineStr">
        <is>
          <t>пусконаладочные работы</t>
        </is>
      </c>
      <c r="D20" s="186" t="n"/>
    </row>
    <row r="21">
      <c r="B21" s="151" t="inlineStr">
        <is>
          <t>6.4</t>
        </is>
      </c>
      <c r="C21" s="152" t="inlineStr">
        <is>
          <t>прочие и лимитированные затраты</t>
        </is>
      </c>
      <c r="D21" s="186">
        <f>D18*0.025+(D18*0.025+D18)*0.029</f>
        <v/>
      </c>
    </row>
    <row r="22">
      <c r="B22" s="218" t="n">
        <v>7</v>
      </c>
      <c r="C22" s="152" t="inlineStr">
        <is>
          <t>Сопоставимый уровень цен</t>
        </is>
      </c>
      <c r="D22" s="187" t="inlineStr">
        <is>
          <t>2 квартал 2018г</t>
        </is>
      </c>
      <c r="E22" s="153" t="n"/>
    </row>
    <row r="23" ht="78.75" customHeight="1">
      <c r="B23" s="218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0" t="n"/>
    </row>
    <row r="24" ht="31.5" customHeight="1">
      <c r="B24" s="218" t="n">
        <v>9</v>
      </c>
      <c r="C24" s="141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53" t="n"/>
    </row>
    <row r="25">
      <c r="B25" s="218" t="n">
        <v>10</v>
      </c>
      <c r="C25" s="149" t="inlineStr">
        <is>
          <t>Примечание</t>
        </is>
      </c>
      <c r="D25" s="218" t="n"/>
    </row>
    <row r="26">
      <c r="B26" s="155" t="n"/>
      <c r="C26" s="156" t="n"/>
      <c r="D26" s="156" t="n"/>
    </row>
    <row r="27" ht="37.5" customHeight="1">
      <c r="B27" s="124" t="n"/>
    </row>
    <row r="28">
      <c r="B28" s="123" t="inlineStr">
        <is>
          <t>Составил ______________________    Д.Ю. Нефедова</t>
        </is>
      </c>
    </row>
    <row r="29">
      <c r="B29" s="124" t="inlineStr">
        <is>
          <t xml:space="preserve">                         (подпись, инициалы, фамилия)</t>
        </is>
      </c>
    </row>
    <row r="31">
      <c r="B31" s="123" t="inlineStr">
        <is>
          <t>Проверил ______________________        А.В. Костянецкая</t>
        </is>
      </c>
    </row>
    <row r="32">
      <c r="B32" s="12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3"/>
  <sheetViews>
    <sheetView view="pageBreakPreview" topLeftCell="A13" zoomScaleNormal="70" workbookViewId="0">
      <selection activeCell="F19" sqref="F19"/>
    </sheetView>
  </sheetViews>
  <sheetFormatPr baseColWidth="8" defaultColWidth="9.140625" defaultRowHeight="15.75"/>
  <cols>
    <col width="5.5703125" customWidth="1" style="123" min="1" max="1"/>
    <col width="9.140625" customWidth="1" style="123" min="2" max="2"/>
    <col width="35.28515625" customWidth="1" style="123" min="3" max="3"/>
    <col width="13.85546875" customWidth="1" style="123" min="4" max="4"/>
    <col width="24.85546875" customWidth="1" style="123" min="5" max="5"/>
    <col width="15.5703125" customWidth="1" style="123" min="6" max="6"/>
    <col width="14.85546875" customWidth="1" style="123" min="7" max="7"/>
    <col width="16.7109375" customWidth="1" style="123" min="8" max="8"/>
    <col width="13" customWidth="1" style="123" min="9" max="10"/>
    <col width="9.140625" customWidth="1" style="123" min="11" max="11"/>
  </cols>
  <sheetData>
    <row r="3">
      <c r="B3" s="213" t="inlineStr">
        <is>
          <t>Приложение № 2</t>
        </is>
      </c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132" t="n"/>
      <c r="C5" s="132" t="n"/>
      <c r="D5" s="132" t="n"/>
      <c r="E5" s="132" t="n"/>
      <c r="F5" s="132" t="n"/>
      <c r="G5" s="132" t="n"/>
      <c r="H5" s="132" t="n"/>
      <c r="I5" s="132" t="n"/>
      <c r="J5" s="132" t="n"/>
    </row>
    <row r="6" ht="29.25" customHeight="1">
      <c r="B6" s="215">
        <f>'Прил.1 Сравнит табл'!B7:D7</f>
        <v/>
      </c>
    </row>
    <row r="7">
      <c r="B7" s="215">
        <f>'Прил.1 Сравнит табл'!B9:D9</f>
        <v/>
      </c>
    </row>
    <row r="8" ht="18.75" customHeight="1">
      <c r="B8" s="133" t="n"/>
    </row>
    <row r="9" ht="15.75" customHeight="1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2 квартал 2018г , тыс. руб.</t>
        </is>
      </c>
      <c r="G10" s="302" t="n"/>
      <c r="H10" s="302" t="n"/>
      <c r="I10" s="302" t="n"/>
      <c r="J10" s="303" t="n"/>
    </row>
    <row r="11" ht="31.5" customHeight="1">
      <c r="B11" s="305" t="n"/>
      <c r="C11" s="305" t="n"/>
      <c r="D11" s="305" t="n"/>
      <c r="E11" s="305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220.5" customHeight="1">
      <c r="B12" s="188" t="n">
        <v>1</v>
      </c>
      <c r="C12" s="219">
        <f>'Прил.1 Сравнит табл'!D16</f>
        <v/>
      </c>
      <c r="D12" s="189" t="inlineStr">
        <is>
          <t>02-01-05</t>
        </is>
      </c>
      <c r="E12" s="1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Чайковского - Бр. Кашириных, кадастровый номер участка: 74:36:0604020:21</t>
        </is>
      </c>
      <c r="F12" s="190" t="n">
        <v>3099.5315923</v>
      </c>
      <c r="G12" s="190" t="n">
        <v>1448.38526</v>
      </c>
      <c r="H12" s="190" t="n"/>
      <c r="I12" s="190" t="n"/>
      <c r="J12" s="191">
        <f>SUM(F12:I12)</f>
        <v/>
      </c>
    </row>
    <row r="13" ht="236.25" customHeight="1">
      <c r="B13" s="188" t="n">
        <v>2</v>
      </c>
      <c r="C13" s="304" t="n"/>
      <c r="D13" s="189" t="inlineStr">
        <is>
          <t>07-01-08</t>
        </is>
      </c>
      <c r="E13" s="149" t="inlineStr">
        <is>
          <t>Восстановление благоустройства после прокладки КЛ-10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3" s="190" t="n">
        <v>5083.1342207474</v>
      </c>
      <c r="G13" s="190" t="n"/>
      <c r="H13" s="190" t="n"/>
      <c r="I13" s="190" t="n"/>
      <c r="J13" s="191">
        <f>SUM(F13:I13)</f>
        <v/>
      </c>
    </row>
    <row r="14" ht="15.75" customHeight="1">
      <c r="B14" s="217" t="inlineStr">
        <is>
          <t>Всего по объекту:</t>
        </is>
      </c>
      <c r="C14" s="302" t="n"/>
      <c r="D14" s="302" t="n"/>
      <c r="E14" s="303" t="n"/>
      <c r="F14" s="192">
        <f>SUM(F12:F13)</f>
        <v/>
      </c>
      <c r="G14" s="192">
        <f>SUM(G12:G13)</f>
        <v/>
      </c>
      <c r="H14" s="192">
        <f>SUM(H12:H13)</f>
        <v/>
      </c>
      <c r="I14" s="192" t="n"/>
      <c r="J14" s="192">
        <f>SUM(F14:I14)</f>
        <v/>
      </c>
    </row>
    <row r="15" ht="15.75" customHeight="1">
      <c r="B15" s="217" t="inlineStr">
        <is>
          <t>Всего по объекту в сопоставимом уровне цен 2 квартал 2018г :</t>
        </is>
      </c>
      <c r="C15" s="302" t="n"/>
      <c r="D15" s="302" t="n"/>
      <c r="E15" s="303" t="n"/>
      <c r="F15" s="192">
        <f>F14</f>
        <v/>
      </c>
      <c r="G15" s="192">
        <f>G14</f>
        <v/>
      </c>
      <c r="H15" s="192">
        <f>H14</f>
        <v/>
      </c>
      <c r="I15" s="192">
        <f>'Прил.1 Сравнит табл'!D21</f>
        <v/>
      </c>
      <c r="J15" s="192">
        <f>SUM(F15:I15)</f>
        <v/>
      </c>
    </row>
    <row r="16" ht="15" customHeight="1"/>
    <row r="17" ht="15" customHeight="1"/>
    <row r="18" ht="15" customHeight="1"/>
    <row r="19" ht="15" customHeight="1">
      <c r="C19" s="4" t="inlineStr">
        <is>
          <t>Составил ______________________     Д.Ю. Нефедова</t>
        </is>
      </c>
      <c r="D19" s="12" t="n"/>
      <c r="E19" s="12" t="n"/>
    </row>
    <row r="20" ht="15" customHeight="1">
      <c r="C20" s="33" t="inlineStr">
        <is>
          <t xml:space="preserve">                         (подпись, инициалы, фамилия)</t>
        </is>
      </c>
      <c r="D20" s="12" t="n"/>
      <c r="E20" s="12" t="n"/>
    </row>
    <row r="21" ht="15" customHeight="1">
      <c r="C21" s="4" t="n"/>
      <c r="D21" s="12" t="n"/>
      <c r="E21" s="12" t="n"/>
    </row>
    <row r="22" ht="15" customHeight="1">
      <c r="C22" s="4" t="inlineStr">
        <is>
          <t>Проверил ______________________        А.В. Костянецкая</t>
        </is>
      </c>
      <c r="D22" s="12" t="n"/>
      <c r="E22" s="12" t="n"/>
    </row>
    <row r="23" ht="15" customHeight="1">
      <c r="C23" s="33" t="inlineStr">
        <is>
          <t xml:space="preserve">                        (подпись, инициалы, фамилия)</t>
        </is>
      </c>
      <c r="D23" s="12" t="n"/>
      <c r="E23" s="12" t="n"/>
    </row>
    <row r="24" ht="15" customHeight="1"/>
    <row r="25" ht="15" customHeight="1"/>
    <row r="26" ht="15" customHeight="1"/>
    <row r="27" ht="15" customHeight="1"/>
    <row r="28" ht="15" customHeight="1"/>
    <row r="29" ht="15" customHeight="1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73"/>
  <sheetViews>
    <sheetView tabSelected="1" view="pageBreakPreview" zoomScale="85" zoomScaleSheetLayoutView="85" workbookViewId="0">
      <selection activeCell="K21" sqref="K21"/>
    </sheetView>
  </sheetViews>
  <sheetFormatPr baseColWidth="8" defaultColWidth="9.140625" defaultRowHeight="15.75"/>
  <cols>
    <col width="9.140625" customWidth="1" style="123" min="1" max="1"/>
    <col width="12.5703125" customWidth="1" style="123" min="2" max="2"/>
    <col width="22.42578125" customWidth="1" style="123" min="3" max="3"/>
    <col width="49.7109375" customWidth="1" style="123" min="4" max="4"/>
    <col width="10.140625" customWidth="1" style="123" min="5" max="5"/>
    <col width="20.7109375" customWidth="1" style="123" min="6" max="6"/>
    <col width="20" customWidth="1" style="123" min="7" max="7"/>
    <col width="16.7109375" customWidth="1" style="123" min="8" max="8"/>
    <col width="9.140625" customWidth="1" style="123" min="9" max="10"/>
    <col width="15" customWidth="1" style="123" min="11" max="11"/>
    <col width="9.140625" customWidth="1" style="123" min="12" max="12"/>
  </cols>
  <sheetData>
    <row r="2">
      <c r="A2" s="213" t="inlineStr">
        <is>
          <t xml:space="preserve">Приложение № 3 </t>
        </is>
      </c>
    </row>
    <row r="3">
      <c r="A3" s="214" t="inlineStr">
        <is>
          <t>Объектная ресурсная ведомость</t>
        </is>
      </c>
    </row>
    <row r="4" ht="18.75" customHeight="1">
      <c r="A4" s="130" t="n"/>
      <c r="B4" s="130" t="n"/>
      <c r="C4" s="226" t="n"/>
    </row>
    <row r="5">
      <c r="A5" s="215" t="n"/>
    </row>
    <row r="6" ht="33.75" customHeight="1">
      <c r="A6" s="225" t="inlineStr">
        <is>
          <t>Наименование разрабатываемого показателя УНЦ -  Устройство траншеи КЛ (две цепи) и восстановление благоустройства по трассе без учета восстановления газонов (все регионы) напряжение 6-15 кВ</t>
        </is>
      </c>
    </row>
    <row r="7">
      <c r="A7" s="125" t="n"/>
      <c r="B7" s="125" t="n"/>
      <c r="C7" s="125" t="n"/>
      <c r="D7" s="125" t="n"/>
      <c r="E7" s="125" t="n"/>
      <c r="F7" s="125" t="n"/>
      <c r="G7" s="125" t="n"/>
      <c r="H7" s="125" t="n"/>
    </row>
    <row r="8" ht="38.25" customHeight="1">
      <c r="A8" s="218" t="inlineStr">
        <is>
          <t>п/п</t>
        </is>
      </c>
      <c r="B8" s="218" t="inlineStr">
        <is>
          <t>№ЛСР</t>
        </is>
      </c>
      <c r="C8" s="218" t="inlineStr">
        <is>
          <t>Код ресурса</t>
        </is>
      </c>
      <c r="D8" s="218" t="inlineStr">
        <is>
          <t>Наименование ресурса</t>
        </is>
      </c>
      <c r="E8" s="218" t="inlineStr">
        <is>
          <t>Ед. изм.</t>
        </is>
      </c>
      <c r="F8" s="218" t="inlineStr">
        <is>
          <t>Кол-во единиц по данным объекта-представителя</t>
        </is>
      </c>
      <c r="G8" s="218" t="inlineStr">
        <is>
          <t>Сметная стоимость в ценах на 01.01.2000 (руб.)</t>
        </is>
      </c>
      <c r="H8" s="303" t="n"/>
    </row>
    <row r="9" ht="40.5" customHeight="1">
      <c r="A9" s="305" t="n"/>
      <c r="B9" s="305" t="n"/>
      <c r="C9" s="305" t="n"/>
      <c r="D9" s="305" t="n"/>
      <c r="E9" s="305" t="n"/>
      <c r="F9" s="305" t="n"/>
      <c r="G9" s="218" t="inlineStr">
        <is>
          <t>на ед.изм.</t>
        </is>
      </c>
      <c r="H9" s="218" t="inlineStr">
        <is>
          <t>общая</t>
        </is>
      </c>
    </row>
    <row r="10">
      <c r="A10" s="219" t="n">
        <v>1</v>
      </c>
      <c r="B10" s="219" t="n"/>
      <c r="C10" s="219" t="n">
        <v>2</v>
      </c>
      <c r="D10" s="219" t="inlineStr">
        <is>
          <t>З</t>
        </is>
      </c>
      <c r="E10" s="219" t="n">
        <v>4</v>
      </c>
      <c r="F10" s="219" t="n">
        <v>5</v>
      </c>
      <c r="G10" s="219" t="n">
        <v>6</v>
      </c>
      <c r="H10" s="219" t="n">
        <v>7</v>
      </c>
    </row>
    <row r="11" customFormat="1" s="126">
      <c r="A11" s="222" t="inlineStr">
        <is>
          <t>Затраты труда рабочих</t>
        </is>
      </c>
      <c r="B11" s="302" t="n"/>
      <c r="C11" s="302" t="n"/>
      <c r="D11" s="302" t="n"/>
      <c r="E11" s="303" t="n"/>
      <c r="F11" s="306">
        <f>SUM(F12:F18)</f>
        <v/>
      </c>
      <c r="G11" s="10" t="n"/>
      <c r="H11" s="306">
        <f>SUM(H12:H18)</f>
        <v/>
      </c>
    </row>
    <row r="12">
      <c r="A12" s="252" t="n">
        <v>1</v>
      </c>
      <c r="B12" s="163" t="n"/>
      <c r="C12" s="164" t="inlineStr">
        <is>
          <t>1-2-0</t>
        </is>
      </c>
      <c r="D12" s="165" t="inlineStr">
        <is>
          <t>Затраты труда рабочих (средний разряд работы 2,0)</t>
        </is>
      </c>
      <c r="E12" s="252" t="inlineStr">
        <is>
          <t>чел.-ч</t>
        </is>
      </c>
      <c r="F12" s="307" t="n">
        <v>9357.799999999999</v>
      </c>
      <c r="G12" s="167" t="n">
        <v>7.8</v>
      </c>
      <c r="H12" s="167">
        <f>ROUND(F12*G12,2)</f>
        <v/>
      </c>
      <c r="M12" s="308" t="n"/>
    </row>
    <row r="13">
      <c r="A13" s="252" t="n">
        <v>2</v>
      </c>
      <c r="B13" s="163" t="n"/>
      <c r="C13" s="164" t="inlineStr">
        <is>
          <t>1-1-5</t>
        </is>
      </c>
      <c r="D13" s="165" t="inlineStr">
        <is>
          <t>Затраты труда рабочих (средний разряд работы 1,5)</t>
        </is>
      </c>
      <c r="E13" s="252" t="inlineStr">
        <is>
          <t>чел.-ч</t>
        </is>
      </c>
      <c r="F13" s="307">
        <f>4343.76+566.6648</f>
        <v/>
      </c>
      <c r="G13" s="167" t="n">
        <v>7.5</v>
      </c>
      <c r="H13" s="167">
        <f>ROUND(F13*G13,2)</f>
        <v/>
      </c>
    </row>
    <row r="14">
      <c r="A14" s="252" t="n">
        <v>3</v>
      </c>
      <c r="B14" s="163" t="n"/>
      <c r="C14" s="164" t="inlineStr">
        <is>
          <t>1-4-0</t>
        </is>
      </c>
      <c r="D14" s="165" t="inlineStr">
        <is>
          <t>Затраты труда рабочих (средний разряд работы 4,0)</t>
        </is>
      </c>
      <c r="E14" s="252" t="inlineStr">
        <is>
          <t>чел.-ч</t>
        </is>
      </c>
      <c r="F14" s="307" t="n">
        <v>469.38</v>
      </c>
      <c r="G14" s="167" t="n">
        <v>9.619999999999999</v>
      </c>
      <c r="H14" s="167">
        <f>ROUND(F14*G14,2)</f>
        <v/>
      </c>
    </row>
    <row r="15">
      <c r="A15" s="252" t="n">
        <v>4</v>
      </c>
      <c r="B15" s="163" t="n"/>
      <c r="C15" s="164" t="inlineStr">
        <is>
          <t>1-2-9</t>
        </is>
      </c>
      <c r="D15" s="165" t="inlineStr">
        <is>
          <t>Затраты труда рабочих (средний разряд работы 2,9)</t>
        </is>
      </c>
      <c r="E15" s="252" t="inlineStr">
        <is>
          <t>чел.-ч</t>
        </is>
      </c>
      <c r="F15" s="307" t="n">
        <v>146.44</v>
      </c>
      <c r="G15" s="167" t="n">
        <v>8.460000000000001</v>
      </c>
      <c r="H15" s="167">
        <f>ROUND(F15*G15,2)</f>
        <v/>
      </c>
    </row>
    <row r="16">
      <c r="A16" s="252" t="n">
        <v>5</v>
      </c>
      <c r="B16" s="163" t="n"/>
      <c r="C16" s="164" t="inlineStr">
        <is>
          <t>1-3-5</t>
        </is>
      </c>
      <c r="D16" s="165" t="inlineStr">
        <is>
          <t>Затраты труда рабочих (средний разряд работы 3,5)</t>
        </is>
      </c>
      <c r="E16" s="252" t="inlineStr">
        <is>
          <t>чел.-ч</t>
        </is>
      </c>
      <c r="F16" s="307" t="n">
        <v>14.35</v>
      </c>
      <c r="G16" s="167" t="n">
        <v>9.07</v>
      </c>
      <c r="H16" s="167">
        <f>ROUND(F16*G16,2)</f>
        <v/>
      </c>
    </row>
    <row r="17">
      <c r="A17" s="252" t="n">
        <v>6</v>
      </c>
      <c r="B17" s="163" t="n"/>
      <c r="C17" s="164" t="inlineStr">
        <is>
          <t>1-2-7</t>
        </is>
      </c>
      <c r="D17" s="165" t="inlineStr">
        <is>
          <t>Затраты труда рабочих (средний разряд работы 2,7)</t>
        </is>
      </c>
      <c r="E17" s="252" t="inlineStr">
        <is>
          <t>чел.-ч</t>
        </is>
      </c>
      <c r="F17" s="307" t="n">
        <v>5.04</v>
      </c>
      <c r="G17" s="167" t="n">
        <v>8.31</v>
      </c>
      <c r="H17" s="167">
        <f>ROUND(F17*G17,2)</f>
        <v/>
      </c>
    </row>
    <row r="18">
      <c r="A18" s="252" t="n">
        <v>7</v>
      </c>
      <c r="B18" s="163" t="n"/>
      <c r="C18" s="164" t="inlineStr">
        <is>
          <t>1-2-4</t>
        </is>
      </c>
      <c r="D18" s="165" t="inlineStr">
        <is>
          <t>Затраты труда рабочих (средний разряд работы 2,4)</t>
        </is>
      </c>
      <c r="E18" s="252" t="inlineStr">
        <is>
          <t>чел.-ч</t>
        </is>
      </c>
      <c r="F18" s="307" t="n">
        <v>1.69</v>
      </c>
      <c r="G18" s="167" t="n">
        <v>8.09</v>
      </c>
      <c r="H18" s="167">
        <f>ROUND(F18*G18,2)</f>
        <v/>
      </c>
    </row>
    <row r="19">
      <c r="A19" s="221" t="inlineStr">
        <is>
          <t>Затраты труда машинистов</t>
        </is>
      </c>
      <c r="B19" s="302" t="n"/>
      <c r="C19" s="302" t="n"/>
      <c r="D19" s="302" t="n"/>
      <c r="E19" s="303" t="n"/>
      <c r="F19" s="222" t="n"/>
      <c r="G19" s="169" t="n"/>
      <c r="H19" s="306">
        <f>H20</f>
        <v/>
      </c>
    </row>
    <row r="20">
      <c r="A20" s="252" t="n">
        <v>8</v>
      </c>
      <c r="B20" s="223" t="n"/>
      <c r="C20" s="164" t="n">
        <v>2</v>
      </c>
      <c r="D20" s="165" t="inlineStr">
        <is>
          <t>Затраты труда машинистов</t>
        </is>
      </c>
      <c r="E20" s="252" t="inlineStr">
        <is>
          <t>чел.-ч</t>
        </is>
      </c>
      <c r="F20" s="307">
        <f>248.39+177.74</f>
        <v/>
      </c>
      <c r="G20" s="167" t="n"/>
      <c r="H20" s="309">
        <f>3021.24+2399.49</f>
        <v/>
      </c>
    </row>
    <row r="21" customFormat="1" s="126">
      <c r="A21" s="222" t="inlineStr">
        <is>
          <t>Машины и механизмы</t>
        </is>
      </c>
      <c r="B21" s="302" t="n"/>
      <c r="C21" s="302" t="n"/>
      <c r="D21" s="302" t="n"/>
      <c r="E21" s="303" t="n"/>
      <c r="F21" s="222" t="n"/>
      <c r="G21" s="169" t="n"/>
      <c r="H21" s="306">
        <f>SUM(H22:H38)</f>
        <v/>
      </c>
    </row>
    <row r="22">
      <c r="A22" s="252" t="n">
        <v>9</v>
      </c>
      <c r="B22" s="223" t="n"/>
      <c r="C22" s="164" t="inlineStr">
        <is>
          <t>91.14.03-002</t>
        </is>
      </c>
      <c r="D22" s="165" t="inlineStr">
        <is>
          <t>Автомобили-самосвалы, грузоподъемность до 10 т</t>
        </is>
      </c>
      <c r="E22" s="252" t="inlineStr">
        <is>
          <t>маш.-ч</t>
        </is>
      </c>
      <c r="F22" s="252" t="n">
        <v>177.74</v>
      </c>
      <c r="G22" s="172" t="n">
        <v>87.48999999999999</v>
      </c>
      <c r="H22" s="167">
        <f>ROUND(F22*G22,2)</f>
        <v/>
      </c>
      <c r="I22" s="128" t="n"/>
      <c r="J22" s="128" t="n"/>
      <c r="L22" s="128" t="n"/>
    </row>
    <row r="23">
      <c r="A23" s="252" t="n">
        <v>10</v>
      </c>
      <c r="B23" s="223" t="n"/>
      <c r="C23" s="164" t="inlineStr">
        <is>
          <t>91.14.02-001</t>
        </is>
      </c>
      <c r="D23" s="165" t="inlineStr">
        <is>
          <t>Автомобили бортовые, грузоподъемность до 5 т</t>
        </is>
      </c>
      <c r="E23" s="252" t="inlineStr">
        <is>
          <t>маш.-ч</t>
        </is>
      </c>
      <c r="F23" s="252" t="n">
        <v>172.65</v>
      </c>
      <c r="G23" s="172" t="n">
        <v>65.70999999999999</v>
      </c>
      <c r="H23" s="167">
        <f>ROUND(F23*G23,2)</f>
        <v/>
      </c>
      <c r="I23" s="128" t="n"/>
      <c r="J23" s="128" t="n"/>
      <c r="L23" s="128" t="n"/>
    </row>
    <row r="24" ht="25.5" customFormat="1" customHeight="1" s="126">
      <c r="A24" s="252" t="n">
        <v>11</v>
      </c>
      <c r="B24" s="223" t="n"/>
      <c r="C24" s="164" t="inlineStr">
        <is>
          <t>91.05.05-014</t>
        </is>
      </c>
      <c r="D24" s="165" t="inlineStr">
        <is>
          <t>Краны на автомобильном ходу, грузоподъемность 10 т</t>
        </is>
      </c>
      <c r="E24" s="252" t="inlineStr">
        <is>
          <t>маш.-ч</t>
        </is>
      </c>
      <c r="F24" s="252" t="n">
        <v>71.87</v>
      </c>
      <c r="G24" s="172" t="n">
        <v>111.99</v>
      </c>
      <c r="H24" s="167">
        <f>ROUND(F24*G24,2)</f>
        <v/>
      </c>
      <c r="I24" s="128" t="n"/>
      <c r="J24" s="128" t="n"/>
      <c r="K24" s="128" t="n"/>
      <c r="L24" s="128" t="n"/>
    </row>
    <row r="25" customFormat="1" s="126">
      <c r="A25" s="252" t="n">
        <v>12</v>
      </c>
      <c r="B25" s="223" t="n"/>
      <c r="C25" s="164" t="inlineStr">
        <is>
          <t>91.08.03-030</t>
        </is>
      </c>
      <c r="D25" s="165" t="inlineStr">
        <is>
          <t>Катки на пневмоколесном ходу, масса 30 т</t>
        </is>
      </c>
      <c r="E25" s="252" t="inlineStr">
        <is>
          <t>маш.час</t>
        </is>
      </c>
      <c r="F25" s="252" t="n">
        <v>0.86</v>
      </c>
      <c r="G25" s="172" t="n">
        <v>206.01</v>
      </c>
      <c r="H25" s="167">
        <f>ROUND(F25*G25,2)</f>
        <v/>
      </c>
      <c r="I25" s="128" t="n"/>
      <c r="J25" s="128" t="n"/>
      <c r="L25" s="128" t="n"/>
    </row>
    <row r="26" ht="38.25" customFormat="1" customHeight="1" s="126">
      <c r="A26" s="252" t="n">
        <v>13</v>
      </c>
      <c r="B26" s="223" t="n"/>
      <c r="C26" s="164" t="inlineStr">
        <is>
          <t>91.18.01-007</t>
        </is>
      </c>
      <c r="D26" s="16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52" t="inlineStr">
        <is>
          <t>маш.час</t>
        </is>
      </c>
      <c r="F26" s="252" t="n">
        <v>1.23</v>
      </c>
      <c r="G26" s="172" t="n">
        <v>90</v>
      </c>
      <c r="H26" s="167">
        <f>ROUND(F26*G26,2)</f>
        <v/>
      </c>
      <c r="I26" s="128" t="n"/>
      <c r="J26" s="128" t="n"/>
      <c r="L26" s="128" t="n"/>
    </row>
    <row r="27" customFormat="1" s="126">
      <c r="A27" s="252" t="n">
        <v>14</v>
      </c>
      <c r="B27" s="223" t="n"/>
      <c r="C27" s="164" t="inlineStr">
        <is>
          <t>91.08.03-018</t>
        </is>
      </c>
      <c r="D27" s="165" t="inlineStr">
        <is>
          <t>Катки дорожные самоходные гладкие, масса 13 т</t>
        </is>
      </c>
      <c r="E27" s="252" t="inlineStr">
        <is>
          <t>маш.час</t>
        </is>
      </c>
      <c r="F27" s="252" t="n">
        <v>0.54</v>
      </c>
      <c r="G27" s="172" t="n">
        <v>121</v>
      </c>
      <c r="H27" s="167">
        <f>ROUND(F27*G27,2)</f>
        <v/>
      </c>
      <c r="I27" s="128" t="n"/>
      <c r="J27" s="128" t="n"/>
      <c r="L27" s="128" t="n"/>
    </row>
    <row r="28" ht="25.5" customFormat="1" customHeight="1" s="126">
      <c r="A28" s="252" t="n">
        <v>15</v>
      </c>
      <c r="B28" s="223" t="n"/>
      <c r="C28" s="164" t="inlineStr">
        <is>
          <t>91.01.02-004</t>
        </is>
      </c>
      <c r="D28" s="165" t="inlineStr">
        <is>
          <t>Автогрейдеры: среднего типа, мощность 99 кВт (135 л.с.)</t>
        </is>
      </c>
      <c r="E28" s="252" t="inlineStr">
        <is>
          <t>маш.час</t>
        </is>
      </c>
      <c r="F28" s="252" t="n">
        <v>0.34</v>
      </c>
      <c r="G28" s="172" t="n">
        <v>123</v>
      </c>
      <c r="H28" s="167">
        <f>ROUND(F28*G28,2)</f>
        <v/>
      </c>
      <c r="I28" s="128" t="n"/>
      <c r="J28" s="128" t="n"/>
      <c r="L28" s="128" t="n"/>
    </row>
    <row r="29" ht="25.5" customFormat="1" customHeight="1" s="126">
      <c r="A29" s="252" t="n">
        <v>16</v>
      </c>
      <c r="B29" s="223" t="n"/>
      <c r="C29" s="164" t="inlineStr">
        <is>
          <t>91.21.01-012</t>
        </is>
      </c>
      <c r="D29" s="165" t="inlineStr">
        <is>
          <t>Агрегаты окрасочные высокого давления для окраски поверхностей конструкций, мощность 1 кВт</t>
        </is>
      </c>
      <c r="E29" s="252" t="inlineStr">
        <is>
          <t>маш.час</t>
        </is>
      </c>
      <c r="F29" s="252" t="n">
        <v>5.8</v>
      </c>
      <c r="G29" s="172" t="n">
        <v>6.82</v>
      </c>
      <c r="H29" s="167">
        <f>ROUND(F29*G29,2)</f>
        <v/>
      </c>
      <c r="I29" s="128" t="n"/>
      <c r="J29" s="128" t="n"/>
      <c r="L29" s="128" t="n"/>
    </row>
    <row r="30" customFormat="1" s="126">
      <c r="A30" s="252" t="n">
        <v>17</v>
      </c>
      <c r="B30" s="223" t="n"/>
      <c r="C30" s="164" t="inlineStr">
        <is>
          <t>91.08.01-021</t>
        </is>
      </c>
      <c r="D30" s="165" t="inlineStr">
        <is>
          <t>Укладчики асфальтобетона</t>
        </is>
      </c>
      <c r="E30" s="252" t="inlineStr">
        <is>
          <t>маш.час</t>
        </is>
      </c>
      <c r="F30" s="252" t="n">
        <v>0.15</v>
      </c>
      <c r="G30" s="172" t="n">
        <v>195.2</v>
      </c>
      <c r="H30" s="167">
        <f>ROUND(F30*G30,2)</f>
        <v/>
      </c>
      <c r="I30" s="128" t="n"/>
      <c r="J30" s="128" t="n"/>
      <c r="L30" s="128" t="n"/>
    </row>
    <row r="31" customFormat="1" s="126">
      <c r="A31" s="252" t="n">
        <v>18</v>
      </c>
      <c r="B31" s="223" t="n"/>
      <c r="C31" s="164" t="inlineStr">
        <is>
          <t>91.06.05-011</t>
        </is>
      </c>
      <c r="D31" s="165" t="inlineStr">
        <is>
          <t>Погрузчик, грузоподъемность 5 т</t>
        </is>
      </c>
      <c r="E31" s="252" t="inlineStr">
        <is>
          <t>маш.час</t>
        </is>
      </c>
      <c r="F31" s="252" t="n">
        <v>0.17</v>
      </c>
      <c r="G31" s="172" t="n">
        <v>89.98999999999999</v>
      </c>
      <c r="H31" s="167">
        <f>ROUND(F31*G31,2)</f>
        <v/>
      </c>
      <c r="I31" s="128" t="n"/>
      <c r="J31" s="128" t="n"/>
      <c r="L31" s="128" t="n"/>
    </row>
    <row r="32" customFormat="1" s="126">
      <c r="A32" s="252" t="n">
        <v>19</v>
      </c>
      <c r="B32" s="223" t="n"/>
      <c r="C32" s="164" t="inlineStr">
        <is>
          <t>91.01.01-035</t>
        </is>
      </c>
      <c r="D32" s="165" t="inlineStr">
        <is>
          <t>Бульдозеры, мощность 79 кВт (108 л.с.)</t>
        </is>
      </c>
      <c r="E32" s="252" t="inlineStr">
        <is>
          <t>маш.час</t>
        </is>
      </c>
      <c r="F32" s="252" t="n">
        <v>0.18</v>
      </c>
      <c r="G32" s="172" t="n">
        <v>79.06999999999999</v>
      </c>
      <c r="H32" s="167">
        <f>ROUND(F32*G32,2)</f>
        <v/>
      </c>
      <c r="I32" s="128" t="n"/>
      <c r="J32" s="128" t="n"/>
      <c r="L32" s="128" t="n"/>
    </row>
    <row r="33" customFormat="1" s="126">
      <c r="A33" s="252" t="n">
        <v>20</v>
      </c>
      <c r="B33" s="223" t="n"/>
      <c r="C33" s="164" t="inlineStr">
        <is>
          <t>91.08.03-016</t>
        </is>
      </c>
      <c r="D33" s="165" t="inlineStr">
        <is>
          <t>Катки дорожные самоходные гладкие, масса 8 т</t>
        </is>
      </c>
      <c r="E33" s="252" t="inlineStr">
        <is>
          <t>маш.час</t>
        </is>
      </c>
      <c r="F33" s="252" t="n">
        <v>0.18</v>
      </c>
      <c r="G33" s="172" t="n">
        <v>75</v>
      </c>
      <c r="H33" s="167">
        <f>ROUND(F33*G33,2)</f>
        <v/>
      </c>
      <c r="I33" s="128" t="n"/>
      <c r="J33" s="128" t="n"/>
      <c r="L33" s="128" t="n"/>
    </row>
    <row r="34" customFormat="1" s="126">
      <c r="A34" s="252" t="n">
        <v>21</v>
      </c>
      <c r="B34" s="223" t="n"/>
      <c r="C34" s="164" t="inlineStr">
        <is>
          <t>91.13.01-038</t>
        </is>
      </c>
      <c r="D34" s="165" t="inlineStr">
        <is>
          <t>Машины поливомоечные 6000 л</t>
        </is>
      </c>
      <c r="E34" s="252" t="inlineStr">
        <is>
          <t>маш.час</t>
        </is>
      </c>
      <c r="F34" s="252" t="n">
        <v>0.12</v>
      </c>
      <c r="G34" s="172" t="n">
        <v>110</v>
      </c>
      <c r="H34" s="167">
        <f>ROUND(F34*G34,2)</f>
        <v/>
      </c>
      <c r="I34" s="128" t="n"/>
      <c r="J34" s="128" t="n"/>
      <c r="L34" s="128" t="n"/>
    </row>
    <row r="35" ht="25.5" customFormat="1" customHeight="1" s="126">
      <c r="A35" s="252" t="n">
        <v>22</v>
      </c>
      <c r="B35" s="223" t="n"/>
      <c r="C35" s="164" t="inlineStr">
        <is>
          <t>91.15.02-023</t>
        </is>
      </c>
      <c r="D35" s="165" t="inlineStr">
        <is>
          <t>Тракторы на гусеничном ходу, мощность 59 кВт (80 л.с.)</t>
        </is>
      </c>
      <c r="E35" s="252" t="inlineStr">
        <is>
          <t>маш.час</t>
        </is>
      </c>
      <c r="F35" s="252" t="n">
        <v>0.1</v>
      </c>
      <c r="G35" s="172" t="n">
        <v>77.2</v>
      </c>
      <c r="H35" s="167">
        <f>ROUND(F35*G35,2)</f>
        <v/>
      </c>
      <c r="I35" s="128" t="n"/>
      <c r="J35" s="128" t="n"/>
      <c r="L35" s="128" t="n"/>
    </row>
    <row r="36" ht="25.5" customFormat="1" customHeight="1" s="126">
      <c r="A36" s="252" t="n">
        <v>23</v>
      </c>
      <c r="B36" s="223" t="n"/>
      <c r="C36" s="164" t="inlineStr">
        <is>
          <t>91.21.10-003</t>
        </is>
      </c>
      <c r="D36" s="165" t="inlineStr">
        <is>
          <t>Молотки при работе от передвижных компрессорных станций: отбойные пневматические</t>
        </is>
      </c>
      <c r="E36" s="252" t="inlineStr">
        <is>
          <t>маш.час</t>
        </is>
      </c>
      <c r="F36" s="252" t="n">
        <v>2.47</v>
      </c>
      <c r="G36" s="172" t="n">
        <v>1.53</v>
      </c>
      <c r="H36" s="167">
        <f>ROUND(F36*G36,2)</f>
        <v/>
      </c>
      <c r="I36" s="128" t="n"/>
      <c r="J36" s="128" t="n"/>
      <c r="L36" s="128" t="n"/>
    </row>
    <row r="37" customFormat="1" s="126">
      <c r="A37" s="252" t="n">
        <v>24</v>
      </c>
      <c r="B37" s="223" t="n"/>
      <c r="C37" s="164" t="inlineStr">
        <is>
          <t>91.08.02-011</t>
        </is>
      </c>
      <c r="D37" s="165" t="inlineStr">
        <is>
          <t>Гудронаторы ручные</t>
        </is>
      </c>
      <c r="E37" s="252" t="inlineStr">
        <is>
          <t>маш.час</t>
        </is>
      </c>
      <c r="F37" s="252" t="n">
        <v>0.1</v>
      </c>
      <c r="G37" s="172" t="n">
        <v>17.2</v>
      </c>
      <c r="H37" s="167">
        <f>ROUND(F37*G37,2)</f>
        <v/>
      </c>
      <c r="I37" s="128" t="n"/>
      <c r="J37" s="128" t="n"/>
      <c r="L37" s="128" t="n"/>
    </row>
    <row r="38" customFormat="1" s="126">
      <c r="A38" s="252" t="n">
        <v>25</v>
      </c>
      <c r="B38" s="223" t="n"/>
      <c r="C38" s="164" t="inlineStr">
        <is>
          <t>91.12.06-012</t>
        </is>
      </c>
      <c r="D38" s="165" t="inlineStr">
        <is>
          <t>Рыхлители прицепные (без трактора)</t>
        </is>
      </c>
      <c r="E38" s="252" t="inlineStr">
        <is>
          <t>маш.час</t>
        </is>
      </c>
      <c r="F38" s="252" t="n">
        <v>0.1</v>
      </c>
      <c r="G38" s="172" t="n">
        <v>8</v>
      </c>
      <c r="H38" s="167">
        <f>ROUND(F38*G38,2)</f>
        <v/>
      </c>
      <c r="I38" s="128" t="n"/>
      <c r="J38" s="128" t="n"/>
      <c r="L38" s="128" t="n"/>
    </row>
    <row r="39" ht="15" customHeight="1">
      <c r="A39" s="222" t="inlineStr">
        <is>
          <t>Оборудование</t>
        </is>
      </c>
      <c r="B39" s="302" t="n"/>
      <c r="C39" s="302" t="n"/>
      <c r="D39" s="302" t="n"/>
      <c r="E39" s="303" t="n"/>
      <c r="F39" s="10" t="n"/>
      <c r="G39" s="10" t="n"/>
      <c r="H39" s="306" t="n"/>
    </row>
    <row r="40">
      <c r="A40" s="222" t="inlineStr">
        <is>
          <t>Материалы</t>
        </is>
      </c>
      <c r="B40" s="302" t="n"/>
      <c r="C40" s="302" t="n"/>
      <c r="D40" s="302" t="n"/>
      <c r="E40" s="303" t="n"/>
      <c r="F40" s="222" t="n"/>
      <c r="G40" s="169" t="n"/>
      <c r="H40" s="306" t="n">
        <v>176770.5</v>
      </c>
    </row>
    <row r="41" ht="25.5" customHeight="1">
      <c r="A41" s="173" t="n">
        <v>26</v>
      </c>
      <c r="B41" s="223" t="n"/>
      <c r="C41" s="164" t="inlineStr">
        <is>
          <t>06.1.01.05-0021</t>
        </is>
      </c>
      <c r="D41" s="165" t="inlineStr">
        <is>
          <t>Кирпич керамический лицевой, размер 250x120x65 мм, марка 300</t>
        </is>
      </c>
      <c r="E41" s="252" t="inlineStr">
        <is>
          <t>1000 шт</t>
        </is>
      </c>
      <c r="F41" s="252" t="n">
        <v>38.672</v>
      </c>
      <c r="G41" s="167" t="n">
        <v>2271.3</v>
      </c>
      <c r="H41" s="167" t="n">
        <v>87835.71000000001</v>
      </c>
      <c r="I41" s="129" t="n"/>
      <c r="J41" s="128" t="n"/>
      <c r="K41" s="128" t="n"/>
    </row>
    <row r="42" ht="38.25" customHeight="1">
      <c r="A42" s="173" t="n">
        <v>27</v>
      </c>
      <c r="B42" s="223" t="n"/>
      <c r="C42" s="164" t="inlineStr">
        <is>
          <t>02.3.01.02-0016</t>
        </is>
      </c>
      <c r="D42" s="165" t="inlineStr">
        <is>
          <t>Песок природный для строительных: работ средний с крупностью зерен размером свыше 5 мм-до 5% по массе</t>
        </is>
      </c>
      <c r="E42" s="252" t="inlineStr">
        <is>
          <t>м3</t>
        </is>
      </c>
      <c r="F42" s="252" t="n">
        <v>1008</v>
      </c>
      <c r="G42" s="167" t="n">
        <v>55.26</v>
      </c>
      <c r="H42" s="167" t="n">
        <v>55702.08</v>
      </c>
      <c r="I42" s="129" t="n"/>
      <c r="J42" s="128" t="n"/>
      <c r="K42" s="128" t="n"/>
    </row>
    <row r="43" ht="25.5" customHeight="1">
      <c r="A43" s="173" t="n">
        <v>28</v>
      </c>
      <c r="B43" s="223" t="n"/>
      <c r="C43" s="164" t="inlineStr">
        <is>
          <t>24.2.05.01-0001</t>
        </is>
      </c>
      <c r="D43" s="165" t="inlineStr">
        <is>
          <t>Трубы хризотилцементные безнапорные, номинальный диаметр 100 мм</t>
        </is>
      </c>
      <c r="E43" s="252" t="inlineStr">
        <is>
          <t>м</t>
        </is>
      </c>
      <c r="F43" s="252" t="n">
        <v>675.2</v>
      </c>
      <c r="G43" s="167" t="n">
        <v>14.5</v>
      </c>
      <c r="H43" s="167" t="n">
        <v>9790.4</v>
      </c>
      <c r="I43" s="129" t="n"/>
      <c r="J43" s="128" t="n"/>
      <c r="K43" s="128" t="n"/>
    </row>
    <row r="44" ht="38.25" customHeight="1">
      <c r="A44" s="173" t="n">
        <v>29</v>
      </c>
      <c r="B44" s="223" t="n"/>
      <c r="C44" s="164" t="inlineStr">
        <is>
          <t>24.3.05.07-0556</t>
        </is>
      </c>
      <c r="D44" s="165" t="inlineStr">
        <is>
          <t>Муфта термоусаживающаяся полиэтиленовая для стыков, номинальный наружный диаметр 225 мм, длина 500 мм</t>
        </is>
      </c>
      <c r="E44" s="252" t="inlineStr">
        <is>
          <t>шт</t>
        </is>
      </c>
      <c r="F44" s="252" t="n">
        <v>64</v>
      </c>
      <c r="G44" s="167" t="n">
        <v>134.61</v>
      </c>
      <c r="H44" s="167" t="n">
        <v>8615.040000000001</v>
      </c>
      <c r="I44" s="129" t="n"/>
      <c r="J44" s="128" t="n"/>
      <c r="K44" s="128" t="n"/>
    </row>
    <row r="45" ht="38.25" customHeight="1">
      <c r="A45" s="173" t="n">
        <v>30</v>
      </c>
      <c r="B45" s="223" t="n"/>
      <c r="C45" s="164" t="inlineStr">
        <is>
          <t>24.3.05.07-0552</t>
        </is>
      </c>
      <c r="D45" s="165" t="inlineStr">
        <is>
          <t>Муфта термоусаживающаяся полиэтиленовая для стыков, номинальный наружный диаметр 140 мм, длина 500 мм</t>
        </is>
      </c>
      <c r="E45" s="252" t="inlineStr">
        <is>
          <t>шт</t>
        </is>
      </c>
      <c r="F45" s="252" t="n">
        <v>64</v>
      </c>
      <c r="G45" s="167" t="n">
        <v>84.39</v>
      </c>
      <c r="H45" s="167" t="n">
        <v>5400.96</v>
      </c>
      <c r="I45" s="129" t="n"/>
      <c r="J45" s="128" t="n"/>
      <c r="K45" s="128" t="n"/>
    </row>
    <row r="46">
      <c r="A46" s="173" t="n">
        <v>31</v>
      </c>
      <c r="B46" s="223" t="n"/>
      <c r="C46" s="164" t="inlineStr">
        <is>
          <t>01.7.06.08-0003</t>
        </is>
      </c>
      <c r="D46" s="165" t="inlineStr">
        <is>
          <t>Лента сигнальная</t>
        </is>
      </c>
      <c r="E46" s="252" t="inlineStr">
        <is>
          <t>100 м</t>
        </is>
      </c>
      <c r="F46" s="252" t="n">
        <v>27.05</v>
      </c>
      <c r="G46" s="167" t="n">
        <v>108</v>
      </c>
      <c r="H46" s="167" t="n">
        <v>2921.4</v>
      </c>
      <c r="I46" s="129" t="n"/>
      <c r="J46" s="128" t="n"/>
      <c r="K46" s="128" t="n"/>
    </row>
    <row r="47" ht="25.5" customHeight="1">
      <c r="A47" s="173" t="n">
        <v>32</v>
      </c>
      <c r="B47" s="223" t="n"/>
      <c r="C47" s="164" t="inlineStr">
        <is>
          <t>24.3.03.13-0501</t>
        </is>
      </c>
      <c r="D47" s="165" t="inlineStr">
        <is>
          <t>Трубы полиэтиленовые низкого давления (ПНД) с наружным диаметром 110 мм</t>
        </is>
      </c>
      <c r="E47" s="252" t="inlineStr">
        <is>
          <t>м</t>
        </is>
      </c>
      <c r="F47" s="252" t="n">
        <v>60</v>
      </c>
      <c r="G47" s="167" t="n">
        <v>31.53</v>
      </c>
      <c r="H47" s="167" t="n">
        <v>1891.8</v>
      </c>
      <c r="I47" s="129" t="n"/>
      <c r="J47" s="128" t="n"/>
      <c r="K47" s="128" t="n"/>
    </row>
    <row r="48">
      <c r="A48" s="173" t="n">
        <v>33</v>
      </c>
      <c r="B48" s="223" t="n"/>
      <c r="C48" s="164" t="inlineStr">
        <is>
          <t>01.7.07.29-0221</t>
        </is>
      </c>
      <c r="D48" s="165" t="inlineStr">
        <is>
          <t>Уплотнительный состав</t>
        </is>
      </c>
      <c r="E48" s="252" t="inlineStr">
        <is>
          <t>кг</t>
        </is>
      </c>
      <c r="F48" s="252" t="n">
        <v>92.16</v>
      </c>
      <c r="G48" s="167" t="n">
        <v>16.7</v>
      </c>
      <c r="H48" s="167" t="n">
        <v>1539.07</v>
      </c>
      <c r="I48" s="129" t="n"/>
      <c r="J48" s="128" t="n"/>
      <c r="K48" s="128" t="n"/>
    </row>
    <row r="49" ht="25.5" customHeight="1">
      <c r="A49" s="173" t="n">
        <v>34</v>
      </c>
      <c r="B49" s="223" t="n"/>
      <c r="C49" s="164" t="inlineStr">
        <is>
          <t>02.2.05.04-0042</t>
        </is>
      </c>
      <c r="D49" s="165" t="inlineStr">
        <is>
          <t>Щебень из гравия для строительных работ марка 400, фракция 10-20 мм</t>
        </is>
      </c>
      <c r="E49" s="252" t="inlineStr">
        <is>
          <t>м3</t>
        </is>
      </c>
      <c r="F49" s="252" t="n">
        <v>6.7</v>
      </c>
      <c r="G49" s="167" t="n">
        <v>117.93</v>
      </c>
      <c r="H49" s="167" t="n">
        <v>790.13</v>
      </c>
      <c r="I49" s="129" t="n"/>
      <c r="J49" s="128" t="n"/>
      <c r="K49" s="128" t="n"/>
    </row>
    <row r="50" ht="25.5" customHeight="1">
      <c r="A50" s="173" t="n">
        <v>35</v>
      </c>
      <c r="B50" s="223" t="n"/>
      <c r="C50" s="164" t="inlineStr">
        <is>
          <t>24.2.06.02-0001</t>
        </is>
      </c>
      <c r="D50" s="165" t="inlineStr">
        <is>
          <t>Манжеты стальные для стыка хризотилцементных труб М-100</t>
        </is>
      </c>
      <c r="E50" s="252" t="inlineStr">
        <is>
          <t>10 шт</t>
        </is>
      </c>
      <c r="F50" s="252" t="n">
        <v>21.82</v>
      </c>
      <c r="G50" s="167" t="n">
        <v>30</v>
      </c>
      <c r="H50" s="167" t="n">
        <v>654.6</v>
      </c>
      <c r="I50" s="129" t="n"/>
      <c r="J50" s="128" t="n"/>
      <c r="K50" s="128" t="n"/>
    </row>
    <row r="51" ht="25.5" customHeight="1">
      <c r="A51" s="173" t="n">
        <v>36</v>
      </c>
      <c r="B51" s="223" t="n"/>
      <c r="C51" s="164" t="inlineStr">
        <is>
          <t>Прайс из СД ОП</t>
        </is>
      </c>
      <c r="D51" s="165" t="inlineStr">
        <is>
          <t>Комплект заземления для кабелей с медным ленточным экраном КМЛЭ №4</t>
        </is>
      </c>
      <c r="E51" s="252" t="inlineStr">
        <is>
          <t>шт</t>
        </is>
      </c>
      <c r="F51" s="252" t="n">
        <v>8</v>
      </c>
      <c r="G51" s="167" t="n">
        <v>80.09999999999999</v>
      </c>
      <c r="H51" s="167" t="n">
        <v>640.8</v>
      </c>
      <c r="I51" s="129" t="n"/>
      <c r="J51" s="128" t="n"/>
      <c r="K51" s="128" t="n"/>
    </row>
    <row r="52" ht="25.5" customHeight="1">
      <c r="A52" s="173" t="n">
        <v>37</v>
      </c>
      <c r="B52" s="223" t="n"/>
      <c r="C52" s="164" t="inlineStr">
        <is>
          <t>Прайс из СД ОП</t>
        </is>
      </c>
      <c r="D52" s="165" t="inlineStr">
        <is>
          <t>Комплект заземления для кабелей с медным ленточным экраном КМЛЭ №2</t>
        </is>
      </c>
      <c r="E52" s="252" t="inlineStr">
        <is>
          <t>шт</t>
        </is>
      </c>
      <c r="F52" s="252" t="n">
        <v>2</v>
      </c>
      <c r="G52" s="167" t="n">
        <v>136.43</v>
      </c>
      <c r="H52" s="167" t="n">
        <v>272.86</v>
      </c>
      <c r="I52" s="129" t="n"/>
      <c r="J52" s="128" t="n"/>
      <c r="K52" s="128" t="n"/>
    </row>
    <row r="53" ht="25.5" customHeight="1">
      <c r="A53" s="173" t="n">
        <v>38</v>
      </c>
      <c r="B53" s="223" t="n"/>
      <c r="C53" s="164" t="inlineStr">
        <is>
          <t>01.1.01.09-0024</t>
        </is>
      </c>
      <c r="D53" s="165" t="inlineStr">
        <is>
          <t>Шнур асбестовый общего назначения марки: ШАОН диаметром 3-5 мм</t>
        </is>
      </c>
      <c r="E53" s="252" t="inlineStr">
        <is>
          <t>т</t>
        </is>
      </c>
      <c r="F53" s="252" t="n">
        <v>0.0077</v>
      </c>
      <c r="G53" s="167" t="n">
        <v>26950</v>
      </c>
      <c r="H53" s="167" t="n">
        <v>207.52</v>
      </c>
      <c r="I53" s="129" t="n"/>
      <c r="J53" s="128" t="n"/>
      <c r="K53" s="128" t="n"/>
    </row>
    <row r="54">
      <c r="A54" s="173" t="n">
        <v>39</v>
      </c>
      <c r="B54" s="223" t="n"/>
      <c r="C54" s="164" t="inlineStr">
        <is>
          <t>01.7.07.29-0111</t>
        </is>
      </c>
      <c r="D54" s="165" t="inlineStr">
        <is>
          <t>Пакля пропитанная</t>
        </is>
      </c>
      <c r="E54" s="252" t="inlineStr">
        <is>
          <t>кг</t>
        </is>
      </c>
      <c r="F54" s="252" t="n">
        <v>19.2</v>
      </c>
      <c r="G54" s="167" t="n">
        <v>9.039999999999999</v>
      </c>
      <c r="H54" s="167" t="n">
        <v>173.57</v>
      </c>
      <c r="I54" s="129" t="n"/>
      <c r="J54" s="128" t="n"/>
      <c r="K54" s="128" t="n"/>
    </row>
    <row r="55">
      <c r="A55" s="173" t="n">
        <v>40</v>
      </c>
      <c r="B55" s="223" t="n"/>
      <c r="C55" s="164" t="inlineStr">
        <is>
          <t>04.3.01.09-0012</t>
        </is>
      </c>
      <c r="D55" s="165" t="inlineStr">
        <is>
          <t>Раствор готовый кладочный цементный марки: 50</t>
        </is>
      </c>
      <c r="E55" s="252" t="inlineStr">
        <is>
          <t>м3</t>
        </is>
      </c>
      <c r="F55" s="252" t="n">
        <v>0.2046</v>
      </c>
      <c r="G55" s="167" t="n">
        <v>485.9</v>
      </c>
      <c r="H55" s="167" t="n">
        <v>99.42</v>
      </c>
      <c r="I55" s="129" t="n"/>
      <c r="J55" s="128" t="n"/>
      <c r="K55" s="128" t="n"/>
    </row>
    <row r="56">
      <c r="A56" s="173" t="n">
        <v>41</v>
      </c>
      <c r="B56" s="223" t="n"/>
      <c r="C56" s="164" t="inlineStr">
        <is>
          <t>12.1.02.01-0001</t>
        </is>
      </c>
      <c r="D56" s="165" t="inlineStr">
        <is>
          <t>Гидроизол</t>
        </is>
      </c>
      <c r="E56" s="252" t="inlineStr">
        <is>
          <t>м2</t>
        </is>
      </c>
      <c r="F56" s="252" t="n">
        <v>10.23</v>
      </c>
      <c r="G56" s="167" t="n">
        <v>7.83</v>
      </c>
      <c r="H56" s="167" t="n">
        <v>80.09999999999999</v>
      </c>
      <c r="I56" s="129" t="n"/>
      <c r="J56" s="128" t="n"/>
      <c r="K56" s="128" t="n"/>
    </row>
    <row r="57" ht="25.5" customHeight="1">
      <c r="A57" s="173" t="n">
        <v>42</v>
      </c>
      <c r="B57" s="223" t="n"/>
      <c r="C57" s="164" t="inlineStr">
        <is>
          <t>999-9950</t>
        </is>
      </c>
      <c r="D57" s="165" t="inlineStr">
        <is>
          <t>Вспомогательные ненормируемые ресурсы (2% от Оплаты труда рабочих)</t>
        </is>
      </c>
      <c r="E57" s="252" t="inlineStr">
        <is>
          <t>руб.</t>
        </is>
      </c>
      <c r="F57" s="252" t="n">
        <v>74.3262</v>
      </c>
      <c r="G57" s="167" t="n">
        <v>1</v>
      </c>
      <c r="H57" s="167" t="n">
        <v>74.33</v>
      </c>
      <c r="I57" s="129" t="n"/>
      <c r="J57" s="128" t="n"/>
      <c r="K57" s="128" t="n"/>
    </row>
    <row r="58" ht="25.5" customHeight="1">
      <c r="A58" s="173" t="n">
        <v>43</v>
      </c>
      <c r="B58" s="223" t="n"/>
      <c r="C58" s="164" t="inlineStr">
        <is>
          <t>11.1.03.03-0003</t>
        </is>
      </c>
      <c r="D58" s="165" t="inlineStr">
        <is>
          <t>Брусья необрезные хвойных пород длиной: 2-3,75 м, все ширины, толщиной 100-125 мм, III сорта</t>
        </is>
      </c>
      <c r="E58" s="252" t="inlineStr">
        <is>
          <t>м3</t>
        </is>
      </c>
      <c r="F58" s="252" t="n">
        <v>0.0594</v>
      </c>
      <c r="G58" s="167" t="n">
        <v>802.46</v>
      </c>
      <c r="H58" s="167" t="n">
        <v>47.67</v>
      </c>
      <c r="I58" s="129" t="n"/>
      <c r="J58" s="128" t="n"/>
      <c r="K58" s="128" t="n"/>
    </row>
    <row r="59">
      <c r="A59" s="173" t="n">
        <v>44</v>
      </c>
      <c r="B59" s="223" t="n"/>
      <c r="C59" s="164" t="inlineStr">
        <is>
          <t>01.7.07.08-0003</t>
        </is>
      </c>
      <c r="D59" s="165" t="inlineStr">
        <is>
          <t>Мыло твердое хозяйственное 72%</t>
        </is>
      </c>
      <c r="E59" s="252" t="inlineStr">
        <is>
          <t>шт</t>
        </is>
      </c>
      <c r="F59" s="252" t="n">
        <v>2</v>
      </c>
      <c r="G59" s="167" t="n">
        <v>4.5</v>
      </c>
      <c r="H59" s="167" t="n">
        <v>9</v>
      </c>
      <c r="I59" s="129" t="n"/>
      <c r="J59" s="128" t="n"/>
      <c r="K59" s="128" t="n"/>
    </row>
    <row r="60" ht="25.5" customHeight="1">
      <c r="A60" s="173" t="n">
        <v>45</v>
      </c>
      <c r="B60" s="223" t="n"/>
      <c r="C60" s="164" t="inlineStr">
        <is>
          <t>11.1.03.01-0079</t>
        </is>
      </c>
      <c r="D60" s="165" t="inlineStr">
        <is>
          <t>Бруски обрезные хвойных пород длиной: 4-6,5 м, шириной 75-150 мм, толщиной 40-75 мм, III сорта</t>
        </is>
      </c>
      <c r="E60" s="252" t="inlineStr">
        <is>
          <t>м3</t>
        </is>
      </c>
      <c r="F60" s="252" t="n">
        <v>0.0061</v>
      </c>
      <c r="G60" s="167" t="n">
        <v>1287</v>
      </c>
      <c r="H60" s="167" t="n">
        <v>7.85</v>
      </c>
      <c r="I60" s="129" t="n"/>
      <c r="J60" s="128" t="n"/>
      <c r="K60" s="128" t="n"/>
    </row>
    <row r="61">
      <c r="A61" s="173" t="n">
        <v>46</v>
      </c>
      <c r="B61" s="223" t="n"/>
      <c r="C61" s="164" t="inlineStr">
        <is>
          <t>01.3.01.01-0001</t>
        </is>
      </c>
      <c r="D61" s="165" t="inlineStr">
        <is>
          <t>Бензин авиационный Б-70</t>
        </is>
      </c>
      <c r="E61" s="252" t="inlineStr">
        <is>
          <t>т</t>
        </is>
      </c>
      <c r="F61" s="252" t="n">
        <v>0.0016</v>
      </c>
      <c r="G61" s="167" t="n">
        <v>4488.4</v>
      </c>
      <c r="H61" s="167" t="n">
        <v>7.18</v>
      </c>
      <c r="I61" s="129" t="n"/>
      <c r="J61" s="128" t="n"/>
      <c r="K61" s="128" t="n"/>
    </row>
    <row r="62">
      <c r="A62" s="173" t="n">
        <v>47</v>
      </c>
      <c r="B62" s="223" t="n"/>
      <c r="C62" s="164" t="inlineStr">
        <is>
          <t>01.7.20.08-0051</t>
        </is>
      </c>
      <c r="D62" s="165" t="inlineStr">
        <is>
          <t>Ветошь</t>
        </is>
      </c>
      <c r="E62" s="252" t="inlineStr">
        <is>
          <t>кг</t>
        </is>
      </c>
      <c r="F62" s="252" t="n">
        <v>2</v>
      </c>
      <c r="G62" s="167" t="n">
        <v>1.82</v>
      </c>
      <c r="H62" s="167" t="n">
        <v>3.64</v>
      </c>
      <c r="I62" s="129" t="n"/>
      <c r="J62" s="128" t="n"/>
      <c r="K62" s="128" t="n"/>
    </row>
    <row r="63">
      <c r="A63" s="173" t="n">
        <v>48</v>
      </c>
      <c r="B63" s="223" t="n"/>
      <c r="C63" s="164" t="inlineStr">
        <is>
          <t>01.3.02.09-0022</t>
        </is>
      </c>
      <c r="D63" s="165" t="inlineStr">
        <is>
          <t>Пропан-бутан, смесь техническая</t>
        </is>
      </c>
      <c r="E63" s="252" t="inlineStr">
        <is>
          <t>кг</t>
        </is>
      </c>
      <c r="F63" s="252" t="n">
        <v>0.3</v>
      </c>
      <c r="G63" s="167" t="n">
        <v>6.09</v>
      </c>
      <c r="H63" s="167" t="n">
        <v>1.83</v>
      </c>
      <c r="I63" s="129" t="n"/>
      <c r="J63" s="128" t="n"/>
      <c r="K63" s="128" t="n"/>
    </row>
    <row r="64">
      <c r="A64" s="173" t="n">
        <v>49</v>
      </c>
      <c r="B64" s="223" t="n"/>
      <c r="C64" s="164" t="inlineStr">
        <is>
          <t>08.1.02.11-0001</t>
        </is>
      </c>
      <c r="D64" s="165" t="inlineStr">
        <is>
          <t>Поковки из квадратных заготовок, масса: 1,8 кг</t>
        </is>
      </c>
      <c r="E64" s="252" t="inlineStr">
        <is>
          <t>т</t>
        </is>
      </c>
      <c r="F64" s="252" t="n">
        <v>0.0003</v>
      </c>
      <c r="G64" s="167" t="n">
        <v>5989</v>
      </c>
      <c r="H64" s="167" t="n">
        <v>1.8</v>
      </c>
      <c r="I64" s="129" t="n"/>
      <c r="J64" s="128" t="n"/>
      <c r="K64" s="128" t="n"/>
    </row>
    <row r="65">
      <c r="A65" s="173" t="n">
        <v>50</v>
      </c>
      <c r="B65" s="223" t="n"/>
      <c r="C65" s="164" t="inlineStr">
        <is>
          <t>01.7.03.01-0001</t>
        </is>
      </c>
      <c r="D65" s="165" t="inlineStr">
        <is>
          <t>Вода</t>
        </is>
      </c>
      <c r="E65" s="252" t="inlineStr">
        <is>
          <t>м3</t>
        </is>
      </c>
      <c r="F65" s="252" t="n">
        <v>0.4764</v>
      </c>
      <c r="G65" s="167" t="n">
        <v>2.44</v>
      </c>
      <c r="H65" s="167" t="n">
        <v>1.16</v>
      </c>
      <c r="I65" s="129" t="n"/>
      <c r="J65" s="128" t="n"/>
      <c r="K65" s="128" t="n"/>
    </row>
    <row r="66">
      <c r="A66" s="173" t="n">
        <v>51</v>
      </c>
      <c r="B66" s="223" t="n"/>
      <c r="C66" s="164" t="inlineStr">
        <is>
          <t>01.7.06.07-0001</t>
        </is>
      </c>
      <c r="D66" s="165" t="inlineStr">
        <is>
          <t>Лента К226</t>
        </is>
      </c>
      <c r="E66" s="252" t="inlineStr">
        <is>
          <t>100 м</t>
        </is>
      </c>
      <c r="F66" s="252" t="n">
        <v>0.0048</v>
      </c>
      <c r="G66" s="167" t="n">
        <v>120</v>
      </c>
      <c r="H66" s="167" t="n">
        <v>0.58</v>
      </c>
      <c r="I66" s="129" t="n"/>
      <c r="J66" s="128" t="n"/>
      <c r="K66" s="128" t="n"/>
    </row>
    <row r="69">
      <c r="B69" s="123" t="inlineStr">
        <is>
          <t>Составил ______________________     Д.Ю. Нефедова</t>
        </is>
      </c>
    </row>
    <row r="70">
      <c r="B70" s="124" t="inlineStr">
        <is>
          <t xml:space="preserve">                         (подпись, инициалы, фамилия)</t>
        </is>
      </c>
    </row>
    <row r="72">
      <c r="B72" s="123" t="inlineStr">
        <is>
          <t>Проверил ______________________        А.В. Костянецкая</t>
        </is>
      </c>
    </row>
    <row r="73">
      <c r="B73" s="124" t="inlineStr">
        <is>
          <t xml:space="preserve">                        (подпись, инициалы, фамилия)</t>
        </is>
      </c>
    </row>
  </sheetData>
  <mergeCells count="16">
    <mergeCell ref="A21:E21"/>
    <mergeCell ref="A39:E39"/>
    <mergeCell ref="A3:H3"/>
    <mergeCell ref="A8:A9"/>
    <mergeCell ref="E8:E9"/>
    <mergeCell ref="C8:C9"/>
    <mergeCell ref="F8:F9"/>
    <mergeCell ref="A2:H2"/>
    <mergeCell ref="A19:E19"/>
    <mergeCell ref="A11:E11"/>
    <mergeCell ref="D8:D9"/>
    <mergeCell ref="B8:B9"/>
    <mergeCell ref="C4:H4"/>
    <mergeCell ref="G8:H8"/>
    <mergeCell ref="A40:E40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43" t="n"/>
      <c r="C6" s="4" t="n"/>
      <c r="D6" s="4" t="n"/>
      <c r="E6" s="4" t="n"/>
    </row>
    <row r="7" ht="38.25" customHeight="1">
      <c r="B7" s="212" t="inlineStr">
        <is>
          <t>Наименование разрабатываемого показателя УНЦ — Устройство траншеи КЛ (две цепи) и восстановление благоустройства по трассе без учета восстановления газонов (все регионы) напряжение 6-15 кВ</t>
        </is>
      </c>
    </row>
    <row r="8">
      <c r="B8" s="227" t="inlineStr">
        <is>
          <t>Единица измерения  — 1 км.</t>
        </is>
      </c>
    </row>
    <row r="9">
      <c r="B9" s="143" t="n"/>
      <c r="C9" s="4" t="n"/>
      <c r="D9" s="4" t="n"/>
      <c r="E9" s="4" t="n"/>
    </row>
    <row r="10" ht="51" customHeight="1">
      <c r="B10" s="231" t="inlineStr">
        <is>
          <t>Наименование</t>
        </is>
      </c>
      <c r="C10" s="231" t="inlineStr">
        <is>
          <t>Сметная стоимость в ценах на 01.01.2023
 (руб.)</t>
        </is>
      </c>
      <c r="D10" s="231" t="inlineStr">
        <is>
          <t>Удельный вес, 
(в СМР)</t>
        </is>
      </c>
      <c r="E10" s="23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4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4">
        <f>'Прил.5 Расчет СМР и ОБ'!J38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4">
        <f>'Прил.5 Расчет СМР и ОБ'!J51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4">
        <f>'Прил.5 Расчет СМР и ОБ'!J75</f>
        <v/>
      </c>
      <c r="D17" s="27">
        <f>C17/$C$24</f>
        <v/>
      </c>
      <c r="E17" s="27">
        <f>C17/$C$40</f>
        <v/>
      </c>
      <c r="G17" s="310" t="n"/>
    </row>
    <row r="18">
      <c r="B18" s="25" t="inlineStr">
        <is>
          <t>МАТЕРИАЛЫ, ВСЕГО:</t>
        </is>
      </c>
      <c r="C18" s="14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ОБ'!D78</f>
        <v/>
      </c>
      <c r="D23" s="27" t="n"/>
      <c r="E23" s="25" t="n"/>
    </row>
    <row r="24">
      <c r="B24" s="25" t="inlineStr">
        <is>
          <t>ВСЕГО СМР с НР и СП</t>
        </is>
      </c>
      <c r="C24" s="14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4">
        <f>'Прил.5 Расчет СМР и ОБ'!J44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4">
        <f>'Прил.5 Расчет СМР и ОБ'!J45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46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46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29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4">
        <f>C40/'Прил.5 Расчет СМР и ОБ'!E82</f>
        <v/>
      </c>
      <c r="D41" s="25" t="n"/>
      <c r="E41" s="25" t="n"/>
      <c r="G41" s="146" t="n"/>
    </row>
    <row r="42">
      <c r="B42" s="134" t="n"/>
      <c r="C42" s="4" t="n"/>
      <c r="D42" s="4" t="n"/>
      <c r="E42" s="4" t="n"/>
      <c r="G42" s="146" t="n"/>
    </row>
    <row r="43">
      <c r="B43" s="134" t="inlineStr">
        <is>
          <t>Составил ____________________________ Д.Ю. Нефедова</t>
        </is>
      </c>
      <c r="C43" s="4" t="n"/>
      <c r="D43" s="4" t="n"/>
      <c r="E43" s="4" t="n"/>
      <c r="G43" s="129" t="n"/>
    </row>
    <row r="44">
      <c r="B44" s="13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4" t="n"/>
      <c r="C45" s="4" t="n"/>
      <c r="D45" s="4" t="n"/>
      <c r="E45" s="4" t="n"/>
    </row>
    <row r="46">
      <c r="B46" s="13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0"/>
  <sheetViews>
    <sheetView view="pageBreakPreview" zoomScale="85" zoomScaleSheetLayoutView="85" workbookViewId="0">
      <selection activeCell="F10" sqref="A10:XFD1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2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54" t="n"/>
      <c r="D5" s="203" t="n"/>
      <c r="E5" s="203" t="n"/>
      <c r="F5" s="203" t="n"/>
      <c r="G5" s="203" t="n"/>
      <c r="H5" s="203" t="n"/>
      <c r="I5" s="203" t="n"/>
      <c r="J5" s="203" t="n"/>
    </row>
    <row r="6" ht="27.75" customFormat="1" customHeight="1" s="4">
      <c r="A6" s="158" t="inlineStr">
        <is>
          <t>Наименование разрабатываемого показателя УНЦ</t>
        </is>
      </c>
      <c r="B6" s="159" t="n"/>
      <c r="C6" s="159" t="n"/>
      <c r="D6" s="234" t="inlineStr">
        <is>
          <t>Устройство траншеи КЛ (две цепи) и восстановление благоустройства по трассе без учета восстановления газонов (все регионы) напряжение 6-15 кВ</t>
        </is>
      </c>
    </row>
    <row r="7" ht="12.75" customFormat="1" customHeight="1" s="4">
      <c r="A7" s="206" t="inlineStr">
        <is>
          <t>Единица измерения  — 1 км.</t>
        </is>
      </c>
      <c r="I7" s="212" t="n"/>
      <c r="J7" s="212" t="n"/>
    </row>
    <row r="8" ht="13.5" customFormat="1" customHeight="1" s="4">
      <c r="A8" s="206" t="n"/>
    </row>
    <row r="9" ht="13.15" customFormat="1" customHeight="1" s="4"/>
    <row r="10" ht="27" customHeight="1">
      <c r="A10" s="231" t="inlineStr">
        <is>
          <t>№ пп.</t>
        </is>
      </c>
      <c r="B10" s="231" t="inlineStr">
        <is>
          <t>Код ресурса</t>
        </is>
      </c>
      <c r="C10" s="231" t="inlineStr">
        <is>
          <t>Наименование</t>
        </is>
      </c>
      <c r="D10" s="231" t="inlineStr">
        <is>
          <t>Ед. изм.</t>
        </is>
      </c>
      <c r="E10" s="231" t="inlineStr">
        <is>
          <t>Кол-во единиц по проектным данным</t>
        </is>
      </c>
      <c r="F10" s="231" t="inlineStr">
        <is>
          <t>Сметная стоимость в ценах на 01.01.2000 (руб.)</t>
        </is>
      </c>
      <c r="G10" s="303" t="n"/>
      <c r="H10" s="231" t="inlineStr">
        <is>
          <t>Удельный вес, %</t>
        </is>
      </c>
      <c r="I10" s="231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31" t="inlineStr">
        <is>
          <t>на ед. изм.</t>
        </is>
      </c>
      <c r="G11" s="231" t="inlineStr">
        <is>
          <t>общая</t>
        </is>
      </c>
      <c r="H11" s="305" t="n"/>
      <c r="I11" s="231" t="inlineStr">
        <is>
          <t>на ед. изм.</t>
        </is>
      </c>
      <c r="J11" s="231" t="inlineStr">
        <is>
          <t>общая</t>
        </is>
      </c>
      <c r="M11" s="12" t="n"/>
      <c r="N11" s="12" t="n"/>
    </row>
    <row r="12">
      <c r="A12" s="231" t="n">
        <v>1</v>
      </c>
      <c r="B12" s="231" t="n">
        <v>2</v>
      </c>
      <c r="C12" s="231" t="n">
        <v>3</v>
      </c>
      <c r="D12" s="231" t="n">
        <v>4</v>
      </c>
      <c r="E12" s="231" t="n">
        <v>5</v>
      </c>
      <c r="F12" s="231" t="n">
        <v>6</v>
      </c>
      <c r="G12" s="231" t="n">
        <v>7</v>
      </c>
      <c r="H12" s="231" t="n">
        <v>8</v>
      </c>
      <c r="I12" s="232" t="n">
        <v>9</v>
      </c>
      <c r="J12" s="232" t="n">
        <v>10</v>
      </c>
      <c r="M12" s="12" t="n"/>
      <c r="N12" s="12" t="n"/>
    </row>
    <row r="13">
      <c r="A13" s="231" t="n"/>
      <c r="B13" s="221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17" t="n"/>
      <c r="J13" s="117" t="n"/>
    </row>
    <row r="14" ht="25.5" customHeight="1">
      <c r="A14" s="231" t="n">
        <v>1</v>
      </c>
      <c r="B14" s="174" t="inlineStr">
        <is>
          <t>1-1-9</t>
        </is>
      </c>
      <c r="C14" s="239" t="inlineStr">
        <is>
          <t>Затраты труда рабочих-строителей среднего разряда (1,9)</t>
        </is>
      </c>
      <c r="D14" s="231" t="inlineStr">
        <is>
          <t>чел.-ч.</t>
        </is>
      </c>
      <c r="E14" s="311">
        <f>G14/F14</f>
        <v/>
      </c>
      <c r="F14" s="32" t="n">
        <v>7.74</v>
      </c>
      <c r="G14" s="32">
        <f>Прил.3!H11</f>
        <v/>
      </c>
      <c r="H14" s="119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1" t="n"/>
      <c r="B15" s="231" t="n"/>
      <c r="C15" s="221" t="inlineStr">
        <is>
          <t>Итого по разделу "Затраты труда рабочих-строителей"</t>
        </is>
      </c>
      <c r="D15" s="231" t="inlineStr">
        <is>
          <t>чел.-ч.</t>
        </is>
      </c>
      <c r="E15" s="311">
        <f>SUM(E14)</f>
        <v/>
      </c>
      <c r="F15" s="32" t="n"/>
      <c r="G15" s="32">
        <f>SUM(G14:G14)</f>
        <v/>
      </c>
      <c r="H15" s="242" t="n">
        <v>1</v>
      </c>
      <c r="I15" s="117" t="n"/>
      <c r="J15" s="32">
        <f>SUM(J14:J14)</f>
        <v/>
      </c>
    </row>
    <row r="16" ht="14.25" customFormat="1" customHeight="1" s="12">
      <c r="A16" s="231" t="n"/>
      <c r="B16" s="239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17" t="n"/>
      <c r="J16" s="117" t="n"/>
    </row>
    <row r="17" ht="14.25" customFormat="1" customHeight="1" s="12">
      <c r="A17" s="231" t="n">
        <v>2</v>
      </c>
      <c r="B17" s="231" t="n">
        <v>2</v>
      </c>
      <c r="C17" s="239" t="inlineStr">
        <is>
          <t>Затраты труда машинистов</t>
        </is>
      </c>
      <c r="D17" s="231" t="inlineStr">
        <is>
          <t>чел.-ч.</t>
        </is>
      </c>
      <c r="E17" s="311">
        <f>248.39+177.74</f>
        <v/>
      </c>
      <c r="F17" s="32">
        <f>G17/E17</f>
        <v/>
      </c>
      <c r="G17" s="32">
        <f>Прил.3!H19</f>
        <v/>
      </c>
      <c r="H17" s="242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1" t="n"/>
      <c r="B18" s="221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17" t="n"/>
      <c r="J18" s="117" t="n"/>
    </row>
    <row r="19" ht="14.25" customFormat="1" customHeight="1" s="12">
      <c r="A19" s="231" t="n"/>
      <c r="B19" s="239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17" t="n"/>
      <c r="J19" s="117" t="n"/>
    </row>
    <row r="20" ht="25.5" customFormat="1" customHeight="1" s="12">
      <c r="A20" s="231" t="n">
        <v>3</v>
      </c>
      <c r="B20" s="174" t="inlineStr">
        <is>
          <t>91.14.03-002</t>
        </is>
      </c>
      <c r="C20" s="239" t="inlineStr">
        <is>
          <t>Автомобили-самосвалы, грузоподъемность до 10 т</t>
        </is>
      </c>
      <c r="D20" s="231" t="inlineStr">
        <is>
          <t>маш.-ч</t>
        </is>
      </c>
      <c r="E20" s="311" t="n">
        <v>177.74</v>
      </c>
      <c r="F20" s="241" t="n">
        <v>87.48999999999999</v>
      </c>
      <c r="G20" s="32">
        <f>ROUND(E20*F20,2)</f>
        <v/>
      </c>
      <c r="H20" s="119">
        <f>G20/$G$39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1" t="n">
        <v>4</v>
      </c>
      <c r="B21" s="174" t="inlineStr">
        <is>
          <t>91.14.02-001</t>
        </is>
      </c>
      <c r="C21" s="239" t="inlineStr">
        <is>
          <t>Автомобили бортовые, грузоподъемность до 5 т</t>
        </is>
      </c>
      <c r="D21" s="231" t="inlineStr">
        <is>
          <t>маш.-ч</t>
        </is>
      </c>
      <c r="E21" s="311" t="n">
        <v>172.65</v>
      </c>
      <c r="F21" s="241" t="n">
        <v>65.70999999999999</v>
      </c>
      <c r="G21" s="32">
        <f>ROUND(E21*F21,2)</f>
        <v/>
      </c>
      <c r="H21" s="119">
        <f>G21/$G$39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31" t="n">
        <v>5</v>
      </c>
      <c r="B22" s="174" t="inlineStr">
        <is>
          <t>91.05.05-014</t>
        </is>
      </c>
      <c r="C22" s="239" t="inlineStr">
        <is>
          <t>Краны на автомобильном ходу, грузоподъемность 10 т</t>
        </is>
      </c>
      <c r="D22" s="231" t="inlineStr">
        <is>
          <t>маш.-ч</t>
        </is>
      </c>
      <c r="E22" s="311" t="n">
        <v>71.87</v>
      </c>
      <c r="F22" s="241" t="n">
        <v>111.99</v>
      </c>
      <c r="G22" s="32">
        <f>ROUND(E22*F22,2)</f>
        <v/>
      </c>
      <c r="H22" s="119">
        <f>G22/$G$39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2">
      <c r="A23" s="231" t="n"/>
      <c r="B23" s="231" t="n"/>
      <c r="C23" s="239" t="inlineStr">
        <is>
          <t>Итого основные машины и механизмы</t>
        </is>
      </c>
      <c r="D23" s="231" t="n"/>
      <c r="E23" s="311" t="n"/>
      <c r="F23" s="32" t="n"/>
      <c r="G23" s="32">
        <f>SUM(G20:G22)</f>
        <v/>
      </c>
      <c r="H23" s="242">
        <f>G23/G39</f>
        <v/>
      </c>
      <c r="I23" s="118" t="n"/>
      <c r="J23" s="32">
        <f>SUM(J20:J22)</f>
        <v/>
      </c>
    </row>
    <row r="24" hidden="1" outlineLevel="1" ht="25.5" customFormat="1" customHeight="1" s="12">
      <c r="A24" s="231" t="n">
        <v>6</v>
      </c>
      <c r="B24" s="174" t="inlineStr">
        <is>
          <t>91.08.03-030</t>
        </is>
      </c>
      <c r="C24" s="239" t="inlineStr">
        <is>
          <t>Катки на пневмоколесном ходу, масса 30 т</t>
        </is>
      </c>
      <c r="D24" s="231" t="inlineStr">
        <is>
          <t>маш.час</t>
        </is>
      </c>
      <c r="E24" s="311" t="n">
        <v>0.86</v>
      </c>
      <c r="F24" s="241" t="n">
        <v>206.01</v>
      </c>
      <c r="G24" s="32">
        <f>ROUND(E24*F24,2)</f>
        <v/>
      </c>
      <c r="H24" s="119">
        <f>G24/$G$39</f>
        <v/>
      </c>
      <c r="I24" s="32">
        <f>ROUND(F24*Прил.10!$D$12,2)</f>
        <v/>
      </c>
      <c r="J24" s="32">
        <f>ROUND(I24*E24,2)</f>
        <v/>
      </c>
    </row>
    <row r="25" hidden="1" outlineLevel="1" ht="51" customFormat="1" customHeight="1" s="12">
      <c r="A25" s="231" t="n">
        <v>7</v>
      </c>
      <c r="B25" s="174" t="inlineStr">
        <is>
          <t>91.18.01-007</t>
        </is>
      </c>
      <c r="C25" s="23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5" s="231" t="inlineStr">
        <is>
          <t>маш.час</t>
        </is>
      </c>
      <c r="E25" s="311" t="n">
        <v>1.23</v>
      </c>
      <c r="F25" s="241" t="n">
        <v>90</v>
      </c>
      <c r="G25" s="32">
        <f>ROUND(E25*F25,2)</f>
        <v/>
      </c>
      <c r="H25" s="119">
        <f>G25/$G$39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2">
      <c r="A26" s="231" t="n">
        <v>8</v>
      </c>
      <c r="B26" s="174" t="inlineStr">
        <is>
          <t>91.08.03-018</t>
        </is>
      </c>
      <c r="C26" s="239" t="inlineStr">
        <is>
          <t>Катки дорожные самоходные гладкие, масса 13 т</t>
        </is>
      </c>
      <c r="D26" s="231" t="inlineStr">
        <is>
          <t>маш.час</t>
        </is>
      </c>
      <c r="E26" s="311" t="n">
        <v>0.54</v>
      </c>
      <c r="F26" s="241" t="n">
        <v>121</v>
      </c>
      <c r="G26" s="32">
        <f>ROUND(E26*F26,2)</f>
        <v/>
      </c>
      <c r="H26" s="119">
        <f>G26/$G$39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1" t="n">
        <v>9</v>
      </c>
      <c r="B27" s="174" t="inlineStr">
        <is>
          <t>91.01.02-004</t>
        </is>
      </c>
      <c r="C27" s="239" t="inlineStr">
        <is>
          <t>Автогрейдеры: среднего типа, мощность 99 кВт (135 л.с.)</t>
        </is>
      </c>
      <c r="D27" s="231" t="inlineStr">
        <is>
          <t>маш.час</t>
        </is>
      </c>
      <c r="E27" s="311" t="n">
        <v>0.34</v>
      </c>
      <c r="F27" s="241" t="n">
        <v>123</v>
      </c>
      <c r="G27" s="32">
        <f>ROUND(E27*F27,2)</f>
        <v/>
      </c>
      <c r="H27" s="119">
        <f>G27/$G$39</f>
        <v/>
      </c>
      <c r="I27" s="32">
        <f>ROUND(F27*Прил.10!$D$12,2)</f>
        <v/>
      </c>
      <c r="J27" s="32">
        <f>ROUND(I27*E27,2)</f>
        <v/>
      </c>
    </row>
    <row r="28" hidden="1" outlineLevel="1" ht="38.25" customFormat="1" customHeight="1" s="12">
      <c r="A28" s="231" t="n">
        <v>10</v>
      </c>
      <c r="B28" s="174" t="inlineStr">
        <is>
          <t>91.21.01-012</t>
        </is>
      </c>
      <c r="C28" s="239" t="inlineStr">
        <is>
          <t>Агрегаты окрасочные высокого давления для окраски поверхностей конструкций, мощность 1 кВт</t>
        </is>
      </c>
      <c r="D28" s="231" t="inlineStr">
        <is>
          <t>маш.час</t>
        </is>
      </c>
      <c r="E28" s="311" t="n">
        <v>5.8</v>
      </c>
      <c r="F28" s="241" t="n">
        <v>6.82</v>
      </c>
      <c r="G28" s="32">
        <f>ROUND(E28*F28,2)</f>
        <v/>
      </c>
      <c r="H28" s="119">
        <f>G28/$G$39</f>
        <v/>
      </c>
      <c r="I28" s="32">
        <f>ROUND(F28*Прил.10!$D$12,2)</f>
        <v/>
      </c>
      <c r="J28" s="32">
        <f>ROUND(I28*E28,2)</f>
        <v/>
      </c>
    </row>
    <row r="29" hidden="1" outlineLevel="1" ht="14.25" customFormat="1" customHeight="1" s="12">
      <c r="A29" s="231" t="n">
        <v>11</v>
      </c>
      <c r="B29" s="174" t="inlineStr">
        <is>
          <t>91.08.01-021</t>
        </is>
      </c>
      <c r="C29" s="239" t="inlineStr">
        <is>
          <t>Укладчики асфальтобетона</t>
        </is>
      </c>
      <c r="D29" s="231" t="inlineStr">
        <is>
          <t>маш.час</t>
        </is>
      </c>
      <c r="E29" s="311" t="n">
        <v>0.15</v>
      </c>
      <c r="F29" s="241" t="n">
        <v>195.2</v>
      </c>
      <c r="G29" s="32">
        <f>ROUND(E29*F29,2)</f>
        <v/>
      </c>
      <c r="H29" s="119">
        <f>G29/$G$39</f>
        <v/>
      </c>
      <c r="I29" s="32">
        <f>ROUND(F29*Прил.10!$D$12,2)</f>
        <v/>
      </c>
      <c r="J29" s="32">
        <f>ROUND(I29*E29,2)</f>
        <v/>
      </c>
    </row>
    <row r="30" hidden="1" outlineLevel="1" ht="14.25" customFormat="1" customHeight="1" s="12">
      <c r="A30" s="231" t="n">
        <v>12</v>
      </c>
      <c r="B30" s="174" t="inlineStr">
        <is>
          <t>91.06.05-011</t>
        </is>
      </c>
      <c r="C30" s="239" t="inlineStr">
        <is>
          <t>Погрузчик, грузоподъемность 5 т</t>
        </is>
      </c>
      <c r="D30" s="231" t="inlineStr">
        <is>
          <t>маш.час</t>
        </is>
      </c>
      <c r="E30" s="311" t="n">
        <v>0.17</v>
      </c>
      <c r="F30" s="241" t="n">
        <v>89.98999999999999</v>
      </c>
      <c r="G30" s="32">
        <f>ROUND(E30*F30,2)</f>
        <v/>
      </c>
      <c r="H30" s="119">
        <f>G30/$G$39</f>
        <v/>
      </c>
      <c r="I30" s="32">
        <f>ROUND(F30*Прил.10!$D$12,2)</f>
        <v/>
      </c>
      <c r="J30" s="32">
        <f>ROUND(I30*E30,2)</f>
        <v/>
      </c>
    </row>
    <row r="31" hidden="1" outlineLevel="1" ht="14.25" customFormat="1" customHeight="1" s="12">
      <c r="A31" s="231" t="n">
        <v>13</v>
      </c>
      <c r="B31" s="174" t="inlineStr">
        <is>
          <t>91.01.01-035</t>
        </is>
      </c>
      <c r="C31" s="239" t="inlineStr">
        <is>
          <t>Бульдозеры, мощность 79 кВт (108 л.с.)</t>
        </is>
      </c>
      <c r="D31" s="231" t="inlineStr">
        <is>
          <t>маш.час</t>
        </is>
      </c>
      <c r="E31" s="311" t="n">
        <v>0.18</v>
      </c>
      <c r="F31" s="241" t="n">
        <v>79.06999999999999</v>
      </c>
      <c r="G31" s="32">
        <f>ROUND(E31*F31,2)</f>
        <v/>
      </c>
      <c r="H31" s="119">
        <f>G31/$G$39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1" t="n">
        <v>14</v>
      </c>
      <c r="B32" s="174" t="inlineStr">
        <is>
          <t>91.08.03-016</t>
        </is>
      </c>
      <c r="C32" s="239" t="inlineStr">
        <is>
          <t>Катки дорожные самоходные гладкие, масса 8 т</t>
        </is>
      </c>
      <c r="D32" s="231" t="inlineStr">
        <is>
          <t>маш.час</t>
        </is>
      </c>
      <c r="E32" s="311" t="n">
        <v>0.18</v>
      </c>
      <c r="F32" s="241" t="n">
        <v>75</v>
      </c>
      <c r="G32" s="32">
        <f>ROUND(E32*F32,2)</f>
        <v/>
      </c>
      <c r="H32" s="119">
        <f>G32/$G$39</f>
        <v/>
      </c>
      <c r="I32" s="32">
        <f>ROUND(F32*Прил.10!$D$12,2)</f>
        <v/>
      </c>
      <c r="J32" s="32">
        <f>ROUND(I32*E32,2)</f>
        <v/>
      </c>
    </row>
    <row r="33" hidden="1" outlineLevel="1" ht="14.25" customFormat="1" customHeight="1" s="12">
      <c r="A33" s="231" t="n">
        <v>15</v>
      </c>
      <c r="B33" s="174" t="inlineStr">
        <is>
          <t>91.13.01-038</t>
        </is>
      </c>
      <c r="C33" s="239" t="inlineStr">
        <is>
          <t>Машины поливомоечные 6000 л</t>
        </is>
      </c>
      <c r="D33" s="231" t="inlineStr">
        <is>
          <t>маш.час</t>
        </is>
      </c>
      <c r="E33" s="311" t="n">
        <v>0.12</v>
      </c>
      <c r="F33" s="241" t="n">
        <v>110</v>
      </c>
      <c r="G33" s="32">
        <f>ROUND(E33*F33,2)</f>
        <v/>
      </c>
      <c r="H33" s="119">
        <f>G33/$G$39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31" t="n">
        <v>16</v>
      </c>
      <c r="B34" s="174" t="inlineStr">
        <is>
          <t>91.15.02-023</t>
        </is>
      </c>
      <c r="C34" s="239" t="inlineStr">
        <is>
          <t>Тракторы на гусеничном ходу, мощность 59 кВт (80 л.с.)</t>
        </is>
      </c>
      <c r="D34" s="231" t="inlineStr">
        <is>
          <t>маш.час</t>
        </is>
      </c>
      <c r="E34" s="311" t="n">
        <v>0.1</v>
      </c>
      <c r="F34" s="241" t="n">
        <v>77.2</v>
      </c>
      <c r="G34" s="32">
        <f>ROUND(E34*F34,2)</f>
        <v/>
      </c>
      <c r="H34" s="119">
        <f>G34/$G$39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12">
      <c r="A35" s="231" t="n">
        <v>17</v>
      </c>
      <c r="B35" s="174" t="inlineStr">
        <is>
          <t>91.21.10-003</t>
        </is>
      </c>
      <c r="C35" s="239" t="inlineStr">
        <is>
          <t>Молотки при работе от передвижных компрессорных станций: отбойные пневматические</t>
        </is>
      </c>
      <c r="D35" s="231" t="inlineStr">
        <is>
          <t>маш.час</t>
        </is>
      </c>
      <c r="E35" s="311" t="n">
        <v>2.47</v>
      </c>
      <c r="F35" s="241" t="n">
        <v>1.53</v>
      </c>
      <c r="G35" s="32">
        <f>ROUND(E35*F35,2)</f>
        <v/>
      </c>
      <c r="H35" s="119">
        <f>G35/$G$39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2">
      <c r="A36" s="231" t="n">
        <v>18</v>
      </c>
      <c r="B36" s="174" t="inlineStr">
        <is>
          <t>91.08.02-011</t>
        </is>
      </c>
      <c r="C36" s="239" t="inlineStr">
        <is>
          <t>Гудронаторы ручные</t>
        </is>
      </c>
      <c r="D36" s="231" t="inlineStr">
        <is>
          <t>маш.час</t>
        </is>
      </c>
      <c r="E36" s="311" t="n">
        <v>0.1</v>
      </c>
      <c r="F36" s="241" t="n">
        <v>17.2</v>
      </c>
      <c r="G36" s="32">
        <f>ROUND(E36*F36,2)</f>
        <v/>
      </c>
      <c r="H36" s="119">
        <f>G36/$G$39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12">
      <c r="A37" s="231" t="n">
        <v>19</v>
      </c>
      <c r="B37" s="174" t="inlineStr">
        <is>
          <t>91.12.06-012</t>
        </is>
      </c>
      <c r="C37" s="239" t="inlineStr">
        <is>
          <t>Рыхлители прицепные (без трактора)</t>
        </is>
      </c>
      <c r="D37" s="231" t="inlineStr">
        <is>
          <t>маш.час</t>
        </is>
      </c>
      <c r="E37" s="311" t="n">
        <v>0.1</v>
      </c>
      <c r="F37" s="241" t="n">
        <v>8</v>
      </c>
      <c r="G37" s="32">
        <f>ROUND(E37*F37,2)</f>
        <v/>
      </c>
      <c r="H37" s="119">
        <f>G37/$G$39</f>
        <v/>
      </c>
      <c r="I37" s="32">
        <f>ROUND(F37*Прил.10!$D$12,2)</f>
        <v/>
      </c>
      <c r="J37" s="32">
        <f>ROUND(I37*E37,2)</f>
        <v/>
      </c>
    </row>
    <row r="38" collapsed="1" ht="14.25" customFormat="1" customHeight="1" s="12">
      <c r="A38" s="231" t="n"/>
      <c r="B38" s="231" t="n"/>
      <c r="C38" s="239" t="inlineStr">
        <is>
          <t>Итого прочие машины и механизмы</t>
        </is>
      </c>
      <c r="D38" s="231" t="n"/>
      <c r="E38" s="240" t="n"/>
      <c r="F38" s="32" t="n"/>
      <c r="G38" s="118">
        <f>SUM(G24:G37)</f>
        <v/>
      </c>
      <c r="H38" s="119">
        <f>G38/G39</f>
        <v/>
      </c>
      <c r="I38" s="32" t="n"/>
      <c r="J38" s="32">
        <f>SUM(J24:J37)</f>
        <v/>
      </c>
    </row>
    <row r="39" ht="25.5" customFormat="1" customHeight="1" s="12">
      <c r="A39" s="231" t="n"/>
      <c r="B39" s="231" t="n"/>
      <c r="C39" s="221" t="inlineStr">
        <is>
          <t>Итого по разделу «Машины и механизмы»</t>
        </is>
      </c>
      <c r="D39" s="231" t="n"/>
      <c r="E39" s="240" t="n"/>
      <c r="F39" s="32" t="n"/>
      <c r="G39" s="32">
        <f>G38+G23</f>
        <v/>
      </c>
      <c r="H39" s="175" t="n">
        <v>1</v>
      </c>
      <c r="I39" s="176" t="n"/>
      <c r="J39" s="121">
        <f>J38+J23</f>
        <v/>
      </c>
    </row>
    <row r="40" ht="14.25" customFormat="1" customHeight="1" s="12">
      <c r="A40" s="231" t="n"/>
      <c r="B40" s="221" t="inlineStr">
        <is>
          <t>Оборудование</t>
        </is>
      </c>
      <c r="C40" s="302" t="n"/>
      <c r="D40" s="302" t="n"/>
      <c r="E40" s="302" t="n"/>
      <c r="F40" s="302" t="n"/>
      <c r="G40" s="302" t="n"/>
      <c r="H40" s="303" t="n"/>
      <c r="I40" s="117" t="n"/>
      <c r="J40" s="117" t="n"/>
    </row>
    <row r="41">
      <c r="A41" s="231" t="n"/>
      <c r="B41" s="239" t="inlineStr">
        <is>
          <t>Основное оборудование</t>
        </is>
      </c>
      <c r="C41" s="302" t="n"/>
      <c r="D41" s="302" t="n"/>
      <c r="E41" s="302" t="n"/>
      <c r="F41" s="302" t="n"/>
      <c r="G41" s="302" t="n"/>
      <c r="H41" s="303" t="n"/>
      <c r="I41" s="117" t="n"/>
      <c r="J41" s="117" t="n"/>
    </row>
    <row r="42">
      <c r="A42" s="231" t="n"/>
      <c r="B42" s="231" t="n"/>
      <c r="C42" s="239" t="inlineStr">
        <is>
          <t>Итого основное оборудование</t>
        </is>
      </c>
      <c r="D42" s="231" t="n"/>
      <c r="E42" s="312" t="n"/>
      <c r="F42" s="241" t="n"/>
      <c r="G42" s="32" t="n">
        <v>0</v>
      </c>
      <c r="H42" s="119" t="n">
        <v>0</v>
      </c>
      <c r="I42" s="118" t="n"/>
      <c r="J42" s="32" t="n">
        <v>0</v>
      </c>
    </row>
    <row r="43">
      <c r="A43" s="231" t="n"/>
      <c r="B43" s="231" t="n"/>
      <c r="C43" s="239" t="inlineStr">
        <is>
          <t>Итого прочее оборудование</t>
        </is>
      </c>
      <c r="D43" s="231" t="n"/>
      <c r="E43" s="311" t="n"/>
      <c r="F43" s="241" t="n"/>
      <c r="G43" s="32" t="n">
        <v>0</v>
      </c>
      <c r="H43" s="119" t="n">
        <v>0</v>
      </c>
      <c r="I43" s="118" t="n"/>
      <c r="J43" s="32" t="n">
        <v>0</v>
      </c>
    </row>
    <row r="44">
      <c r="A44" s="231" t="n"/>
      <c r="B44" s="231" t="n"/>
      <c r="C44" s="221" t="inlineStr">
        <is>
          <t>Итого по разделу «Оборудование»</t>
        </is>
      </c>
      <c r="D44" s="231" t="n"/>
      <c r="E44" s="240" t="n"/>
      <c r="F44" s="241" t="n"/>
      <c r="G44" s="32">
        <f>G42+G43</f>
        <v/>
      </c>
      <c r="H44" s="119" t="n">
        <v>0</v>
      </c>
      <c r="I44" s="118" t="n"/>
      <c r="J44" s="32">
        <f>J43+J42</f>
        <v/>
      </c>
    </row>
    <row r="45" ht="25.5" customHeight="1">
      <c r="A45" s="231" t="n"/>
      <c r="B45" s="231" t="n"/>
      <c r="C45" s="239" t="inlineStr">
        <is>
          <t>в том числе технологическое оборудование</t>
        </is>
      </c>
      <c r="D45" s="231" t="n"/>
      <c r="E45" s="312" t="n"/>
      <c r="F45" s="241" t="n"/>
      <c r="G45" s="32">
        <f>'Прил.6 Расчет ОБ'!G12</f>
        <v/>
      </c>
      <c r="H45" s="242" t="n"/>
      <c r="I45" s="118" t="n"/>
      <c r="J45" s="32">
        <f>J44</f>
        <v/>
      </c>
    </row>
    <row r="46" ht="14.25" customFormat="1" customHeight="1" s="12">
      <c r="A46" s="231" t="n"/>
      <c r="B46" s="221" t="inlineStr">
        <is>
          <t>Материалы</t>
        </is>
      </c>
      <c r="C46" s="302" t="n"/>
      <c r="D46" s="302" t="n"/>
      <c r="E46" s="302" t="n"/>
      <c r="F46" s="302" t="n"/>
      <c r="G46" s="302" t="n"/>
      <c r="H46" s="303" t="n"/>
      <c r="I46" s="117" t="n"/>
      <c r="J46" s="117" t="n"/>
    </row>
    <row r="47" ht="14.25" customFormat="1" customHeight="1" s="12">
      <c r="A47" s="232" t="n"/>
      <c r="B47" s="235" t="inlineStr">
        <is>
          <t>Основные материалы</t>
        </is>
      </c>
      <c r="C47" s="313" t="n"/>
      <c r="D47" s="313" t="n"/>
      <c r="E47" s="313" t="n"/>
      <c r="F47" s="313" t="n"/>
      <c r="G47" s="313" t="n"/>
      <c r="H47" s="314" t="n"/>
      <c r="I47" s="120" t="n"/>
      <c r="J47" s="120" t="n"/>
    </row>
    <row r="48" ht="25.5" customFormat="1" customHeight="1" s="12">
      <c r="A48" s="231" t="n">
        <v>20</v>
      </c>
      <c r="B48" s="231" t="inlineStr">
        <is>
          <t>06.1.01.05-0021</t>
        </is>
      </c>
      <c r="C48" s="239" t="inlineStr">
        <is>
          <t>Кирпич керамический лицевой, размер 250x120x65 мм, марка 300</t>
        </is>
      </c>
      <c r="D48" s="231" t="inlineStr">
        <is>
          <t>1000 шт</t>
        </is>
      </c>
      <c r="E48" s="312">
        <f>9.668*4</f>
        <v/>
      </c>
      <c r="F48" s="241" t="n">
        <v>2271.3</v>
      </c>
      <c r="G48" s="32">
        <f>ROUND(E48*F48,2)</f>
        <v/>
      </c>
      <c r="H48" s="119">
        <f>G48/$G$76</f>
        <v/>
      </c>
      <c r="I48" s="32">
        <f>ROUND(F48*Прил.10!$D$13,2)</f>
        <v/>
      </c>
      <c r="J48" s="32">
        <f>ROUND(I48*E48,2)</f>
        <v/>
      </c>
    </row>
    <row r="49" ht="38.25" customFormat="1" customHeight="1" s="12">
      <c r="A49" s="231" t="n">
        <v>21</v>
      </c>
      <c r="B49" s="231" t="inlineStr">
        <is>
          <t>02.3.01.02-0016</t>
        </is>
      </c>
      <c r="C49" s="239" t="inlineStr">
        <is>
          <t>Песок природный для строительных: работ средний с крупностью зерен размером свыше 5 мм-до 5% по массе</t>
        </is>
      </c>
      <c r="D49" s="231" t="inlineStr">
        <is>
          <t>м3</t>
        </is>
      </c>
      <c r="E49" s="312" t="n">
        <v>1008</v>
      </c>
      <c r="F49" s="241" t="n">
        <v>55.26</v>
      </c>
      <c r="G49" s="32">
        <f>ROUND(E49*F49,2)</f>
        <v/>
      </c>
      <c r="H49" s="119">
        <f>G49/$G$76</f>
        <v/>
      </c>
      <c r="I49" s="32">
        <f>ROUND(F49*Прил.10!$D$13,2)</f>
        <v/>
      </c>
      <c r="J49" s="32">
        <f>ROUND(I49*E49,2)</f>
        <v/>
      </c>
    </row>
    <row r="50" ht="25.5" customFormat="1" customHeight="1" s="12">
      <c r="A50" s="231" t="n">
        <v>22</v>
      </c>
      <c r="B50" s="231" t="inlineStr">
        <is>
          <t>24.2.05.01-0001</t>
        </is>
      </c>
      <c r="C50" s="239" t="inlineStr">
        <is>
          <t>Трубы хризотилцементные безнапорные, номинальный диаметр 100 мм</t>
        </is>
      </c>
      <c r="D50" s="231" t="inlineStr">
        <is>
          <t>м</t>
        </is>
      </c>
      <c r="E50" s="312" t="n">
        <v>675.2</v>
      </c>
      <c r="F50" s="241" t="n">
        <v>14.5</v>
      </c>
      <c r="G50" s="32">
        <f>ROUND(E50*F50,2)</f>
        <v/>
      </c>
      <c r="H50" s="119">
        <f>G50/$G$76</f>
        <v/>
      </c>
      <c r="I50" s="32">
        <f>ROUND(F50*Прил.10!$D$13,2)</f>
        <v/>
      </c>
      <c r="J50" s="32">
        <f>ROUND(I50*E50,2)</f>
        <v/>
      </c>
    </row>
    <row r="51" ht="14.25" customFormat="1" customHeight="1" s="12">
      <c r="A51" s="233" t="n"/>
      <c r="B51" s="179" t="n"/>
      <c r="C51" s="180" t="inlineStr">
        <is>
          <t>Итого основные материалы</t>
        </is>
      </c>
      <c r="D51" s="233" t="n"/>
      <c r="E51" s="315" t="n"/>
      <c r="F51" s="121" t="n"/>
      <c r="G51" s="121">
        <f>SUM(G48:G50)</f>
        <v/>
      </c>
      <c r="H51" s="119">
        <f>G51/$G$76</f>
        <v/>
      </c>
      <c r="I51" s="32" t="n"/>
      <c r="J51" s="121">
        <f>SUM(J48:J50)</f>
        <v/>
      </c>
    </row>
    <row r="52" hidden="1" outlineLevel="1" ht="38.25" customFormat="1" customHeight="1" s="12">
      <c r="A52" s="231" t="n">
        <v>23</v>
      </c>
      <c r="B52" s="231" t="inlineStr">
        <is>
          <t>24.3.05.07-0556</t>
        </is>
      </c>
      <c r="C52" s="239" t="inlineStr">
        <is>
          <t>Муфта термоусаживающаяся полиэтиленовая для стыков, номинальный наружный диаметр 225 мм, длина 500 мм</t>
        </is>
      </c>
      <c r="D52" s="231" t="inlineStr">
        <is>
          <t>шт</t>
        </is>
      </c>
      <c r="E52" s="312" t="n">
        <v>64</v>
      </c>
      <c r="F52" s="241" t="n">
        <v>134.61</v>
      </c>
      <c r="G52" s="32">
        <f>ROUND(E52*F52,2)</f>
        <v/>
      </c>
      <c r="H52" s="119">
        <f>G52/$G$76</f>
        <v/>
      </c>
      <c r="I52" s="32">
        <f>ROUND(F52*Прил.10!$D$13,2)</f>
        <v/>
      </c>
      <c r="J52" s="32">
        <f>ROUND(I52*E52,2)</f>
        <v/>
      </c>
    </row>
    <row r="53" hidden="1" outlineLevel="1" ht="38.25" customFormat="1" customHeight="1" s="12">
      <c r="A53" s="231" t="n">
        <v>24</v>
      </c>
      <c r="B53" s="231" t="inlineStr">
        <is>
          <t>24.3.05.07-0552</t>
        </is>
      </c>
      <c r="C53" s="239" t="inlineStr">
        <is>
          <t>Муфта термоусаживающаяся полиэтиленовая для стыков, номинальный наружный диаметр 140 мм, длина 500 мм</t>
        </is>
      </c>
      <c r="D53" s="231" t="inlineStr">
        <is>
          <t>шт</t>
        </is>
      </c>
      <c r="E53" s="312" t="n">
        <v>64</v>
      </c>
      <c r="F53" s="241" t="n">
        <v>84.39</v>
      </c>
      <c r="G53" s="32">
        <f>ROUND(E53*F53,2)</f>
        <v/>
      </c>
      <c r="H53" s="119">
        <f>G53/$G$76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12">
      <c r="A54" s="231" t="n">
        <v>25</v>
      </c>
      <c r="B54" s="231" t="inlineStr">
        <is>
          <t>01.7.06.08-0003</t>
        </is>
      </c>
      <c r="C54" s="239" t="inlineStr">
        <is>
          <t>Лента сигнальная</t>
        </is>
      </c>
      <c r="D54" s="231" t="inlineStr">
        <is>
          <t>100 м</t>
        </is>
      </c>
      <c r="E54" s="312" t="n">
        <v>27.05</v>
      </c>
      <c r="F54" s="241" t="n">
        <v>108</v>
      </c>
      <c r="G54" s="32">
        <f>ROUND(E54*F54,2)</f>
        <v/>
      </c>
      <c r="H54" s="119">
        <f>G54/$G$76</f>
        <v/>
      </c>
      <c r="I54" s="32">
        <f>ROUND(F54*Прил.10!$D$13,2)</f>
        <v/>
      </c>
      <c r="J54" s="32">
        <f>ROUND(I54*E54,2)</f>
        <v/>
      </c>
    </row>
    <row r="55" hidden="1" outlineLevel="1" ht="25.5" customFormat="1" customHeight="1" s="12">
      <c r="A55" s="231" t="n">
        <v>26</v>
      </c>
      <c r="B55" s="231" t="inlineStr">
        <is>
          <t>24.3.03.13-0501</t>
        </is>
      </c>
      <c r="C55" s="239" t="inlineStr">
        <is>
          <t>Трубы полиэтиленовые низкого давления (ПНД) с наружным диаметром 110 мм</t>
        </is>
      </c>
      <c r="D55" s="231" t="inlineStr">
        <is>
          <t>м</t>
        </is>
      </c>
      <c r="E55" s="312" t="n">
        <v>60</v>
      </c>
      <c r="F55" s="241" t="n">
        <v>31.53</v>
      </c>
      <c r="G55" s="32">
        <f>ROUND(E55*F55,2)</f>
        <v/>
      </c>
      <c r="H55" s="119">
        <f>G55/$G$76</f>
        <v/>
      </c>
      <c r="I55" s="32">
        <f>ROUND(F55*Прил.10!$D$13,2)</f>
        <v/>
      </c>
      <c r="J55" s="32">
        <f>ROUND(I55*E55,2)</f>
        <v/>
      </c>
    </row>
    <row r="56" hidden="1" outlineLevel="1" ht="14.25" customFormat="1" customHeight="1" s="12">
      <c r="A56" s="231" t="n">
        <v>27</v>
      </c>
      <c r="B56" s="231" t="inlineStr">
        <is>
          <t>01.7.07.29-0221</t>
        </is>
      </c>
      <c r="C56" s="239" t="inlineStr">
        <is>
          <t>Уплотнительный состав</t>
        </is>
      </c>
      <c r="D56" s="231" t="inlineStr">
        <is>
          <t>кг</t>
        </is>
      </c>
      <c r="E56" s="312" t="n">
        <v>92.16</v>
      </c>
      <c r="F56" s="241" t="n">
        <v>16.7</v>
      </c>
      <c r="G56" s="32">
        <f>ROUND(E56*F56,2)</f>
        <v/>
      </c>
      <c r="H56" s="119">
        <f>G56/$G$76</f>
        <v/>
      </c>
      <c r="I56" s="32">
        <f>ROUND(F56*Прил.10!$D$13,2)</f>
        <v/>
      </c>
      <c r="J56" s="32">
        <f>ROUND(I56*E56,2)</f>
        <v/>
      </c>
    </row>
    <row r="57" hidden="1" outlineLevel="1" ht="25.5" customFormat="1" customHeight="1" s="12">
      <c r="A57" s="231" t="n">
        <v>28</v>
      </c>
      <c r="B57" s="231" t="inlineStr">
        <is>
          <t>02.2.05.04-0042</t>
        </is>
      </c>
      <c r="C57" s="239" t="inlineStr">
        <is>
          <t>Щебень из гравия для строительных работ марка 400, фракция 10-20 мм</t>
        </is>
      </c>
      <c r="D57" s="231" t="inlineStr">
        <is>
          <t>м3</t>
        </is>
      </c>
      <c r="E57" s="312" t="n">
        <v>6.7</v>
      </c>
      <c r="F57" s="241" t="n">
        <v>117.93</v>
      </c>
      <c r="G57" s="32">
        <f>ROUND(E57*F57,2)</f>
        <v/>
      </c>
      <c r="H57" s="119">
        <f>G57/$G$76</f>
        <v/>
      </c>
      <c r="I57" s="32">
        <f>ROUND(F57*Прил.10!$D$13,2)</f>
        <v/>
      </c>
      <c r="J57" s="32">
        <f>ROUND(I57*E57,2)</f>
        <v/>
      </c>
    </row>
    <row r="58" hidden="1" outlineLevel="1" ht="25.5" customFormat="1" customHeight="1" s="12">
      <c r="A58" s="231" t="n">
        <v>29</v>
      </c>
      <c r="B58" s="231" t="inlineStr">
        <is>
          <t>24.2.06.02-0001</t>
        </is>
      </c>
      <c r="C58" s="239" t="inlineStr">
        <is>
          <t>Манжеты стальные для стыка хризотилцементных труб М-100</t>
        </is>
      </c>
      <c r="D58" s="231" t="inlineStr">
        <is>
          <t>10 шт</t>
        </is>
      </c>
      <c r="E58" s="312" t="n">
        <v>21.82</v>
      </c>
      <c r="F58" s="241" t="n">
        <v>30</v>
      </c>
      <c r="G58" s="32">
        <f>ROUND(E58*F58,2)</f>
        <v/>
      </c>
      <c r="H58" s="119">
        <f>G58/$G$76</f>
        <v/>
      </c>
      <c r="I58" s="32">
        <f>ROUND(F58*Прил.10!$D$13,2)</f>
        <v/>
      </c>
      <c r="J58" s="32">
        <f>ROUND(I58*E58,2)</f>
        <v/>
      </c>
    </row>
    <row r="59" hidden="1" outlineLevel="1" ht="25.5" customFormat="1" customHeight="1" s="12">
      <c r="A59" s="231" t="n">
        <v>30</v>
      </c>
      <c r="B59" s="231" t="inlineStr">
        <is>
          <t>Прайс из СД ОП</t>
        </is>
      </c>
      <c r="C59" s="239" t="inlineStr">
        <is>
          <t>Комплект заземления для кабелей с медным ленточным экраном КМЛЭ №4</t>
        </is>
      </c>
      <c r="D59" s="231" t="inlineStr">
        <is>
          <t>шт</t>
        </is>
      </c>
      <c r="E59" s="312" t="n">
        <v>8</v>
      </c>
      <c r="F59" s="241" t="n">
        <v>80.09999999999999</v>
      </c>
      <c r="G59" s="32">
        <f>ROUND(E59*F59,2)</f>
        <v/>
      </c>
      <c r="H59" s="119">
        <f>G59/$G$76</f>
        <v/>
      </c>
      <c r="I59" s="32">
        <f>ROUND(F59*Прил.10!$D$13,2)</f>
        <v/>
      </c>
      <c r="J59" s="32">
        <f>ROUND(I59*E59,2)</f>
        <v/>
      </c>
    </row>
    <row r="60" hidden="1" outlineLevel="1" ht="25.5" customFormat="1" customHeight="1" s="12">
      <c r="A60" s="231" t="n">
        <v>31</v>
      </c>
      <c r="B60" s="231" t="inlineStr">
        <is>
          <t>Прайс из СД ОП</t>
        </is>
      </c>
      <c r="C60" s="239" t="inlineStr">
        <is>
          <t>Комплект заземления для кабелей с медным ленточным экраном КМЛЭ №2</t>
        </is>
      </c>
      <c r="D60" s="231" t="inlineStr">
        <is>
          <t>шт</t>
        </is>
      </c>
      <c r="E60" s="312" t="n">
        <v>2</v>
      </c>
      <c r="F60" s="241" t="n">
        <v>136.43</v>
      </c>
      <c r="G60" s="32">
        <f>ROUND(E60*F60,2)</f>
        <v/>
      </c>
      <c r="H60" s="119">
        <f>G60/$G$76</f>
        <v/>
      </c>
      <c r="I60" s="32">
        <f>ROUND(F60*Прил.10!$D$13,2)</f>
        <v/>
      </c>
      <c r="J60" s="32">
        <f>ROUND(I60*E60,2)</f>
        <v/>
      </c>
    </row>
    <row r="61" hidden="1" outlineLevel="1" ht="25.5" customFormat="1" customHeight="1" s="12">
      <c r="A61" s="231" t="n">
        <v>32</v>
      </c>
      <c r="B61" s="231" t="inlineStr">
        <is>
          <t>01.1.01.09-0024</t>
        </is>
      </c>
      <c r="C61" s="239" t="inlineStr">
        <is>
          <t>Шнур асбестовый общего назначения марки: ШАОН диаметром 3-5 мм</t>
        </is>
      </c>
      <c r="D61" s="231" t="inlineStr">
        <is>
          <t>т</t>
        </is>
      </c>
      <c r="E61" s="312" t="n">
        <v>0.0077</v>
      </c>
      <c r="F61" s="241" t="n">
        <v>26950</v>
      </c>
      <c r="G61" s="32">
        <f>ROUND(E61*F61,2)</f>
        <v/>
      </c>
      <c r="H61" s="119">
        <f>G61/$G$76</f>
        <v/>
      </c>
      <c r="I61" s="32">
        <f>ROUND(F61*Прил.10!$D$13,2)</f>
        <v/>
      </c>
      <c r="J61" s="32">
        <f>ROUND(I61*E61,2)</f>
        <v/>
      </c>
    </row>
    <row r="62" hidden="1" outlineLevel="1" ht="14.25" customFormat="1" customHeight="1" s="12">
      <c r="A62" s="231" t="n">
        <v>33</v>
      </c>
      <c r="B62" s="231" t="inlineStr">
        <is>
          <t>01.7.07.29-0111</t>
        </is>
      </c>
      <c r="C62" s="239" t="inlineStr">
        <is>
          <t>Пакля пропитанная</t>
        </is>
      </c>
      <c r="D62" s="231" t="inlineStr">
        <is>
          <t>кг</t>
        </is>
      </c>
      <c r="E62" s="312" t="n">
        <v>19.2</v>
      </c>
      <c r="F62" s="241" t="n">
        <v>9.039999999999999</v>
      </c>
      <c r="G62" s="32">
        <f>ROUND(E62*F62,2)</f>
        <v/>
      </c>
      <c r="H62" s="119">
        <f>G62/$G$76</f>
        <v/>
      </c>
      <c r="I62" s="32">
        <f>ROUND(F62*Прил.10!$D$13,2)</f>
        <v/>
      </c>
      <c r="J62" s="32">
        <f>ROUND(I62*E62,2)</f>
        <v/>
      </c>
    </row>
    <row r="63" hidden="1" outlineLevel="1" ht="25.5" customFormat="1" customHeight="1" s="12">
      <c r="A63" s="231" t="n">
        <v>34</v>
      </c>
      <c r="B63" s="231" t="inlineStr">
        <is>
          <t>04.3.01.09-0012</t>
        </is>
      </c>
      <c r="C63" s="239" t="inlineStr">
        <is>
          <t>Раствор готовый кладочный цементный марки: 50</t>
        </is>
      </c>
      <c r="D63" s="231" t="inlineStr">
        <is>
          <t>м3</t>
        </is>
      </c>
      <c r="E63" s="312" t="n">
        <v>0.2046</v>
      </c>
      <c r="F63" s="241" t="n">
        <v>485.9</v>
      </c>
      <c r="G63" s="32">
        <f>ROUND(E63*F63,2)</f>
        <v/>
      </c>
      <c r="H63" s="119">
        <f>G63/$G$76</f>
        <v/>
      </c>
      <c r="I63" s="32">
        <f>ROUND(F63*Прил.10!$D$13,2)</f>
        <v/>
      </c>
      <c r="J63" s="32">
        <f>ROUND(I63*E63,2)</f>
        <v/>
      </c>
    </row>
    <row r="64" hidden="1" outlineLevel="1" ht="14.25" customFormat="1" customHeight="1" s="12">
      <c r="A64" s="231" t="n">
        <v>35</v>
      </c>
      <c r="B64" s="231" t="inlineStr">
        <is>
          <t>12.1.02.01-0001</t>
        </is>
      </c>
      <c r="C64" s="239" t="inlineStr">
        <is>
          <t>Гидроизол</t>
        </is>
      </c>
      <c r="D64" s="231" t="inlineStr">
        <is>
          <t>м2</t>
        </is>
      </c>
      <c r="E64" s="312" t="n">
        <v>10.23</v>
      </c>
      <c r="F64" s="241" t="n">
        <v>7.83</v>
      </c>
      <c r="G64" s="32">
        <f>ROUND(E64*F64,2)</f>
        <v/>
      </c>
      <c r="H64" s="119">
        <f>G64/$G$76</f>
        <v/>
      </c>
      <c r="I64" s="32">
        <f>ROUND(F64*Прил.10!$D$13,2)</f>
        <v/>
      </c>
      <c r="J64" s="32">
        <f>ROUND(I64*E64,2)</f>
        <v/>
      </c>
    </row>
    <row r="65" hidden="1" outlineLevel="1" ht="25.5" customFormat="1" customHeight="1" s="12">
      <c r="A65" s="231" t="n">
        <v>36</v>
      </c>
      <c r="B65" s="231" t="inlineStr">
        <is>
          <t>999-9950</t>
        </is>
      </c>
      <c r="C65" s="239" t="inlineStr">
        <is>
          <t>Вспомогательные ненормируемые ресурсы (2% от Оплаты труда рабочих)</t>
        </is>
      </c>
      <c r="D65" s="231" t="inlineStr">
        <is>
          <t>руб.</t>
        </is>
      </c>
      <c r="E65" s="312" t="n">
        <v>74.3262</v>
      </c>
      <c r="F65" s="241" t="n">
        <v>1</v>
      </c>
      <c r="G65" s="32">
        <f>ROUND(E65*F65,2)</f>
        <v/>
      </c>
      <c r="H65" s="119">
        <f>G65/$G$76</f>
        <v/>
      </c>
      <c r="I65" s="32">
        <f>ROUND(F65*Прил.10!$D$13,2)</f>
        <v/>
      </c>
      <c r="J65" s="32">
        <f>ROUND(I65*E65,2)</f>
        <v/>
      </c>
    </row>
    <row r="66" hidden="1" outlineLevel="1" ht="38.25" customFormat="1" customHeight="1" s="12">
      <c r="A66" s="231" t="n">
        <v>37</v>
      </c>
      <c r="B66" s="231" t="inlineStr">
        <is>
          <t>11.1.03.03-0003</t>
        </is>
      </c>
      <c r="C66" s="239" t="inlineStr">
        <is>
          <t>Брусья необрезные хвойных пород длиной: 2-3,75 м, все ширины, толщиной 100-125 мм, III сорта</t>
        </is>
      </c>
      <c r="D66" s="231" t="inlineStr">
        <is>
          <t>м3</t>
        </is>
      </c>
      <c r="E66" s="312" t="n">
        <v>0.0594</v>
      </c>
      <c r="F66" s="241" t="n">
        <v>802.46</v>
      </c>
      <c r="G66" s="32">
        <f>ROUND(E66*F66,2)</f>
        <v/>
      </c>
      <c r="H66" s="119">
        <f>G66/$G$76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12">
      <c r="A67" s="231" t="n">
        <v>38</v>
      </c>
      <c r="B67" s="231" t="inlineStr">
        <is>
          <t>01.7.07.08-0003</t>
        </is>
      </c>
      <c r="C67" s="239" t="inlineStr">
        <is>
          <t>Мыло твердое хозяйственное 72%</t>
        </is>
      </c>
      <c r="D67" s="231" t="inlineStr">
        <is>
          <t>шт</t>
        </is>
      </c>
      <c r="E67" s="312" t="n">
        <v>2</v>
      </c>
      <c r="F67" s="241" t="n">
        <v>4.5</v>
      </c>
      <c r="G67" s="32">
        <f>ROUND(E67*F67,2)</f>
        <v/>
      </c>
      <c r="H67" s="119">
        <f>G67/$G$76</f>
        <v/>
      </c>
      <c r="I67" s="32">
        <f>ROUND(F67*Прил.10!$D$13,2)</f>
        <v/>
      </c>
      <c r="J67" s="32">
        <f>ROUND(I67*E67,2)</f>
        <v/>
      </c>
    </row>
    <row r="68" hidden="1" outlineLevel="1" ht="38.25" customFormat="1" customHeight="1" s="12">
      <c r="A68" s="231" t="n">
        <v>39</v>
      </c>
      <c r="B68" s="231" t="inlineStr">
        <is>
          <t>11.1.03.01-0079</t>
        </is>
      </c>
      <c r="C68" s="239" t="inlineStr">
        <is>
          <t>Бруски обрезные хвойных пород длиной: 4-6,5 м, шириной 75-150 мм, толщиной 40-75 мм, III сорта</t>
        </is>
      </c>
      <c r="D68" s="231" t="inlineStr">
        <is>
          <t>м3</t>
        </is>
      </c>
      <c r="E68" s="312" t="n">
        <v>0.0061</v>
      </c>
      <c r="F68" s="241" t="n">
        <v>1287</v>
      </c>
      <c r="G68" s="32">
        <f>ROUND(E68*F68,2)</f>
        <v/>
      </c>
      <c r="H68" s="119">
        <f>G68/$G$76</f>
        <v/>
      </c>
      <c r="I68" s="32">
        <f>ROUND(F68*Прил.10!$D$13,2)</f>
        <v/>
      </c>
      <c r="J68" s="32">
        <f>ROUND(I68*E68,2)</f>
        <v/>
      </c>
    </row>
    <row r="69" hidden="1" outlineLevel="1" ht="14.25" customFormat="1" customHeight="1" s="12">
      <c r="A69" s="231" t="n">
        <v>40</v>
      </c>
      <c r="B69" s="231" t="inlineStr">
        <is>
          <t>01.3.01.01-0001</t>
        </is>
      </c>
      <c r="C69" s="239" t="inlineStr">
        <is>
          <t>Бензин авиационный Б-70</t>
        </is>
      </c>
      <c r="D69" s="231" t="inlineStr">
        <is>
          <t>т</t>
        </is>
      </c>
      <c r="E69" s="312" t="n">
        <v>0.0016</v>
      </c>
      <c r="F69" s="241" t="n">
        <v>4488.4</v>
      </c>
      <c r="G69" s="32">
        <f>ROUND(E69*F69,2)</f>
        <v/>
      </c>
      <c r="H69" s="119">
        <f>G69/$G$76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12">
      <c r="A70" s="231" t="n">
        <v>41</v>
      </c>
      <c r="B70" s="231" t="inlineStr">
        <is>
          <t>01.7.20.08-0051</t>
        </is>
      </c>
      <c r="C70" s="239" t="inlineStr">
        <is>
          <t>Ветошь</t>
        </is>
      </c>
      <c r="D70" s="231" t="inlineStr">
        <is>
          <t>кг</t>
        </is>
      </c>
      <c r="E70" s="312" t="n">
        <v>2</v>
      </c>
      <c r="F70" s="241" t="n">
        <v>1.82</v>
      </c>
      <c r="G70" s="32">
        <f>ROUND(E70*F70,2)</f>
        <v/>
      </c>
      <c r="H70" s="119">
        <f>G70/$G$76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12">
      <c r="A71" s="231" t="n">
        <v>42</v>
      </c>
      <c r="B71" s="231" t="inlineStr">
        <is>
          <t>01.3.02.09-0022</t>
        </is>
      </c>
      <c r="C71" s="239" t="inlineStr">
        <is>
          <t>Пропан-бутан, смесь техническая</t>
        </is>
      </c>
      <c r="D71" s="231" t="inlineStr">
        <is>
          <t>кг</t>
        </is>
      </c>
      <c r="E71" s="312" t="n">
        <v>0.3</v>
      </c>
      <c r="F71" s="241" t="n">
        <v>6.09</v>
      </c>
      <c r="G71" s="32">
        <f>ROUND(E71*F71,2)</f>
        <v/>
      </c>
      <c r="H71" s="119">
        <f>G71/$G$76</f>
        <v/>
      </c>
      <c r="I71" s="32">
        <f>ROUND(F71*Прил.10!$D$13,2)</f>
        <v/>
      </c>
      <c r="J71" s="32">
        <f>ROUND(I71*E71,2)</f>
        <v/>
      </c>
    </row>
    <row r="72" hidden="1" outlineLevel="1" ht="25.5" customFormat="1" customHeight="1" s="12">
      <c r="A72" s="231" t="n">
        <v>43</v>
      </c>
      <c r="B72" s="231" t="inlineStr">
        <is>
          <t>08.1.02.11-0001</t>
        </is>
      </c>
      <c r="C72" s="239" t="inlineStr">
        <is>
          <t>Поковки из квадратных заготовок, масса: 1,8 кг</t>
        </is>
      </c>
      <c r="D72" s="231" t="inlineStr">
        <is>
          <t>т</t>
        </is>
      </c>
      <c r="E72" s="312" t="n">
        <v>0.0003</v>
      </c>
      <c r="F72" s="241" t="n">
        <v>5989</v>
      </c>
      <c r="G72" s="32">
        <f>ROUND(E72*F72,2)</f>
        <v/>
      </c>
      <c r="H72" s="119">
        <f>G72/$G$76</f>
        <v/>
      </c>
      <c r="I72" s="32">
        <f>ROUND(F72*Прил.10!$D$13,2)</f>
        <v/>
      </c>
      <c r="J72" s="32">
        <f>ROUND(I72*E72,2)</f>
        <v/>
      </c>
    </row>
    <row r="73" hidden="1" outlineLevel="1" ht="14.25" customFormat="1" customHeight="1" s="12">
      <c r="A73" s="231" t="n">
        <v>44</v>
      </c>
      <c r="B73" s="231" t="inlineStr">
        <is>
          <t>01.7.03.01-0001</t>
        </is>
      </c>
      <c r="C73" s="239" t="inlineStr">
        <is>
          <t>Вода</t>
        </is>
      </c>
      <c r="D73" s="231" t="inlineStr">
        <is>
          <t>м3</t>
        </is>
      </c>
      <c r="E73" s="312" t="n">
        <v>0.4764</v>
      </c>
      <c r="F73" s="241" t="n">
        <v>2.44</v>
      </c>
      <c r="G73" s="32">
        <f>ROUND(E73*F73,2)</f>
        <v/>
      </c>
      <c r="H73" s="119">
        <f>G73/$G$76</f>
        <v/>
      </c>
      <c r="I73" s="32">
        <f>ROUND(F73*Прил.10!$D$13,2)</f>
        <v/>
      </c>
      <c r="J73" s="32">
        <f>ROUND(I73*E73,2)</f>
        <v/>
      </c>
    </row>
    <row r="74" hidden="1" outlineLevel="1" ht="14.25" customFormat="1" customHeight="1" s="12">
      <c r="A74" s="231" t="n">
        <v>45</v>
      </c>
      <c r="B74" s="231" t="inlineStr">
        <is>
          <t>01.7.06.07-0001</t>
        </is>
      </c>
      <c r="C74" s="239" t="inlineStr">
        <is>
          <t>Лента К226</t>
        </is>
      </c>
      <c r="D74" s="231" t="inlineStr">
        <is>
          <t>100 м</t>
        </is>
      </c>
      <c r="E74" s="312" t="n">
        <v>0.0048</v>
      </c>
      <c r="F74" s="241" t="n">
        <v>120</v>
      </c>
      <c r="G74" s="32">
        <f>ROUND(E74*F74,2)</f>
        <v/>
      </c>
      <c r="H74" s="119">
        <f>G74/$G$76</f>
        <v/>
      </c>
      <c r="I74" s="32">
        <f>ROUND(F74*Прил.10!$D$13,2)</f>
        <v/>
      </c>
      <c r="J74" s="32">
        <f>ROUND(I74*E74,2)</f>
        <v/>
      </c>
    </row>
    <row r="75" collapsed="1" ht="14.25" customFormat="1" customHeight="1" s="12">
      <c r="A75" s="231" t="n"/>
      <c r="B75" s="231" t="n"/>
      <c r="C75" s="239" t="inlineStr">
        <is>
          <t>Итого прочие материалы</t>
        </is>
      </c>
      <c r="D75" s="231" t="n"/>
      <c r="E75" s="240" t="n"/>
      <c r="F75" s="241" t="n"/>
      <c r="G75" s="32">
        <f>SUM(G52:G74)</f>
        <v/>
      </c>
      <c r="H75" s="119">
        <f>G75/$G$76</f>
        <v/>
      </c>
      <c r="I75" s="32" t="n"/>
      <c r="J75" s="32">
        <f>SUM(J52:J74)</f>
        <v/>
      </c>
    </row>
    <row r="76" ht="14.25" customFormat="1" customHeight="1" s="12">
      <c r="A76" s="231" t="n"/>
      <c r="B76" s="231" t="n"/>
      <c r="C76" s="221" t="inlineStr">
        <is>
          <t>Итого по разделу «Материалы»</t>
        </is>
      </c>
      <c r="D76" s="231" t="n"/>
      <c r="E76" s="240" t="n"/>
      <c r="F76" s="241" t="n"/>
      <c r="G76" s="32">
        <f>G51+G75</f>
        <v/>
      </c>
      <c r="H76" s="242">
        <f>G76/$G$76</f>
        <v/>
      </c>
      <c r="I76" s="32" t="n"/>
      <c r="J76" s="32">
        <f>J51+J75</f>
        <v/>
      </c>
    </row>
    <row r="77" ht="14.25" customFormat="1" customHeight="1" s="12">
      <c r="A77" s="231" t="n"/>
      <c r="B77" s="231" t="n"/>
      <c r="C77" s="239" t="inlineStr">
        <is>
          <t>ИТОГО ПО РМ</t>
        </is>
      </c>
      <c r="D77" s="231" t="n"/>
      <c r="E77" s="240" t="n"/>
      <c r="F77" s="241" t="n"/>
      <c r="G77" s="32">
        <f>G15+G39+G76</f>
        <v/>
      </c>
      <c r="H77" s="242" t="n"/>
      <c r="I77" s="32" t="n"/>
      <c r="J77" s="32">
        <f>J15+J39+J76</f>
        <v/>
      </c>
    </row>
    <row r="78" ht="14.25" customFormat="1" customHeight="1" s="12">
      <c r="A78" s="231" t="n"/>
      <c r="B78" s="231" t="n"/>
      <c r="C78" s="239" t="inlineStr">
        <is>
          <t>Накладные расходы</t>
        </is>
      </c>
      <c r="D78" s="138">
        <f>ROUND(G78/(G$17+$G$15),2)</f>
        <v/>
      </c>
      <c r="E78" s="240" t="n"/>
      <c r="F78" s="241" t="n"/>
      <c r="G78" s="32">
        <f>132562+6038.01</f>
        <v/>
      </c>
      <c r="H78" s="242" t="n"/>
      <c r="I78" s="32" t="n"/>
      <c r="J78" s="32">
        <f>ROUND(D78*(J15+J17),2)</f>
        <v/>
      </c>
    </row>
    <row r="79" ht="14.25" customFormat="1" customHeight="1" s="12">
      <c r="A79" s="231" t="n"/>
      <c r="B79" s="231" t="n"/>
      <c r="C79" s="239" t="inlineStr">
        <is>
          <t>Сметная прибыль</t>
        </is>
      </c>
      <c r="D79" s="138">
        <f>ROUND(G79/(G$15+G$17),2)</f>
        <v/>
      </c>
      <c r="E79" s="240" t="n"/>
      <c r="F79" s="241" t="n"/>
      <c r="G79" s="32">
        <f>69069+3163.69</f>
        <v/>
      </c>
      <c r="H79" s="242" t="n"/>
      <c r="I79" s="32" t="n"/>
      <c r="J79" s="32">
        <f>ROUND(D79*(J15+J17),2)</f>
        <v/>
      </c>
    </row>
    <row r="80" ht="14.25" customFormat="1" customHeight="1" s="12">
      <c r="A80" s="231" t="n"/>
      <c r="B80" s="231" t="n"/>
      <c r="C80" s="239" t="inlineStr">
        <is>
          <t>Итого СМР (с НР и СП)</t>
        </is>
      </c>
      <c r="D80" s="231" t="n"/>
      <c r="E80" s="240" t="n"/>
      <c r="F80" s="241" t="n"/>
      <c r="G80" s="32">
        <f>G15+G39+G76+G78+G79</f>
        <v/>
      </c>
      <c r="H80" s="242" t="n"/>
      <c r="I80" s="32" t="n"/>
      <c r="J80" s="32">
        <f>J15+J39+J76+J78+J79</f>
        <v/>
      </c>
    </row>
    <row r="81" ht="14.25" customFormat="1" customHeight="1" s="12">
      <c r="A81" s="231" t="n"/>
      <c r="B81" s="231" t="n"/>
      <c r="C81" s="239" t="inlineStr">
        <is>
          <t>ВСЕГО СМР + ОБОРУДОВАНИЕ</t>
        </is>
      </c>
      <c r="D81" s="231" t="n"/>
      <c r="E81" s="240" t="n"/>
      <c r="F81" s="241" t="n"/>
      <c r="G81" s="32">
        <f>G80+G44</f>
        <v/>
      </c>
      <c r="H81" s="242" t="n"/>
      <c r="I81" s="32" t="n"/>
      <c r="J81" s="32">
        <f>J80+J44</f>
        <v/>
      </c>
    </row>
    <row r="82" ht="14.25" customFormat="1" customHeight="1" s="12">
      <c r="A82" s="231" t="n"/>
      <c r="B82" s="231" t="n"/>
      <c r="C82" s="239" t="inlineStr">
        <is>
          <t>ИТОГО ПОКАЗАТЕЛЬ НА ЕД. ИЗМ.</t>
        </is>
      </c>
      <c r="D82" s="231" t="inlineStr">
        <is>
          <t>1 км.</t>
        </is>
      </c>
      <c r="E82" s="316" t="n">
        <v>6.3</v>
      </c>
      <c r="F82" s="241" t="n"/>
      <c r="G82" s="32">
        <f>G81/E82</f>
        <v/>
      </c>
      <c r="H82" s="242" t="n"/>
      <c r="I82" s="32" t="n"/>
      <c r="J82" s="32">
        <f>J81/E82</f>
        <v/>
      </c>
    </row>
    <row r="84" ht="14.25" customFormat="1" customHeight="1" s="12">
      <c r="A84" s="4" t="inlineStr">
        <is>
          <t>Составил ______________________    Д.Ю. Нефедова</t>
        </is>
      </c>
    </row>
    <row r="85" ht="14.25" customFormat="1" customHeight="1" s="12">
      <c r="A85" s="33" t="inlineStr">
        <is>
          <t xml:space="preserve">                         (подпись, инициалы, фамилия)</t>
        </is>
      </c>
    </row>
    <row r="86" ht="14.25" customFormat="1" customHeight="1" s="12">
      <c r="A86" s="4" t="n"/>
    </row>
    <row r="87" ht="14.25" customFormat="1" customHeight="1" s="12">
      <c r="A87" s="4" t="inlineStr">
        <is>
          <t>Проверил ______________________        А.В. Костянецкая</t>
        </is>
      </c>
    </row>
    <row r="88" ht="14.25" customFormat="1" customHeight="1" s="12">
      <c r="A88" s="33" t="inlineStr">
        <is>
          <t xml:space="preserve">                        (подпись, инициалы, фамилия)</t>
        </is>
      </c>
    </row>
    <row r="90">
      <c r="G90" s="317" t="n"/>
      <c r="H90" s="317" t="n"/>
      <c r="I90" s="317" t="n"/>
      <c r="J90" s="317" t="n"/>
    </row>
  </sheetData>
  <mergeCells count="21">
    <mergeCell ref="B40:H40"/>
    <mergeCell ref="F10:G10"/>
    <mergeCell ref="A4:J4"/>
    <mergeCell ref="C10:C11"/>
    <mergeCell ref="H2:J2"/>
    <mergeCell ref="E10:E11"/>
    <mergeCell ref="B41:H41"/>
    <mergeCell ref="A7:H7"/>
    <mergeCell ref="B47:H47"/>
    <mergeCell ref="B16:H16"/>
    <mergeCell ref="B10:B11"/>
    <mergeCell ref="B46:H46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7" t="inlineStr">
        <is>
          <t>Приложение №6</t>
        </is>
      </c>
    </row>
    <row r="2" ht="21.75" customHeight="1">
      <c r="A2" s="247" t="n"/>
      <c r="B2" s="247" t="n"/>
      <c r="C2" s="247" t="n"/>
      <c r="D2" s="247" t="n"/>
      <c r="E2" s="247" t="n"/>
      <c r="F2" s="247" t="n"/>
      <c r="G2" s="247" t="n"/>
    </row>
    <row r="3">
      <c r="A3" s="203" t="inlineStr">
        <is>
          <t>Расчет стоимости оборудования</t>
        </is>
      </c>
    </row>
    <row r="4" ht="27" customHeight="1">
      <c r="A4" s="206" t="inlineStr">
        <is>
          <t>Наименование разрабатываемого показателя УНЦ — Устройство траншеи КЛ (две цепи) и восстановление благоустройства по трассе без учета восстановления газонов (все регионы) напряжение 6-15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31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31" t="inlineStr">
        <is>
          <t>на ед. изм.</t>
        </is>
      </c>
      <c r="G7" s="231" t="inlineStr">
        <is>
          <t>общая</t>
        </is>
      </c>
    </row>
    <row r="8">
      <c r="A8" s="231" t="n">
        <v>1</v>
      </c>
      <c r="B8" s="231" t="n">
        <v>2</v>
      </c>
      <c r="C8" s="231" t="n">
        <v>3</v>
      </c>
      <c r="D8" s="231" t="n">
        <v>4</v>
      </c>
      <c r="E8" s="231" t="n">
        <v>5</v>
      </c>
      <c r="F8" s="231" t="n">
        <v>6</v>
      </c>
      <c r="G8" s="231" t="n">
        <v>7</v>
      </c>
    </row>
    <row r="9" ht="15" customHeight="1">
      <c r="A9" s="25" t="n"/>
      <c r="B9" s="239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31" t="n"/>
      <c r="B10" s="221" t="n"/>
      <c r="C10" s="239" t="inlineStr">
        <is>
          <t>ИТОГО ИНЖЕНЕРНОЕ ОБОРУДОВАНИЕ</t>
        </is>
      </c>
      <c r="D10" s="221" t="n"/>
      <c r="E10" s="135" t="n"/>
      <c r="F10" s="241" t="n"/>
      <c r="G10" s="241" t="n">
        <v>0</v>
      </c>
    </row>
    <row r="11">
      <c r="A11" s="231" t="n"/>
      <c r="B11" s="239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31" t="n"/>
      <c r="B12" s="239" t="n"/>
      <c r="C12" s="239" t="inlineStr">
        <is>
          <t>ИТОГО ТЕХНОЛОГИЧЕСКОЕ ОБОРУДОВАНИЕ</t>
        </is>
      </c>
      <c r="D12" s="239" t="n"/>
      <c r="E12" s="251" t="n"/>
      <c r="F12" s="241" t="n"/>
      <c r="G12" s="32" t="n">
        <v>0</v>
      </c>
    </row>
    <row r="13" ht="19.5" customHeight="1">
      <c r="A13" s="231" t="n"/>
      <c r="B13" s="239" t="n"/>
      <c r="C13" s="239" t="inlineStr">
        <is>
          <t>Всего по разделу «Оборудование»</t>
        </is>
      </c>
      <c r="D13" s="239" t="n"/>
      <c r="E13" s="251" t="n"/>
      <c r="F13" s="241" t="n"/>
      <c r="G13" s="32">
        <f>G10+G12</f>
        <v/>
      </c>
    </row>
    <row r="14">
      <c r="A14" s="30" t="n"/>
      <c r="B14" s="13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3" sqref="D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7" t="inlineStr">
        <is>
          <t>Приложение №7</t>
        </is>
      </c>
    </row>
    <row r="2">
      <c r="A2" s="247" t="n"/>
      <c r="B2" s="247" t="n"/>
      <c r="C2" s="247" t="n"/>
      <c r="D2" s="247" t="n"/>
    </row>
    <row r="3" ht="24.75" customHeight="1">
      <c r="A3" s="203" t="inlineStr">
        <is>
          <t>Расчет показателя УНЦ</t>
        </is>
      </c>
    </row>
    <row r="4" ht="24.75" customHeight="1">
      <c r="A4" s="203" t="n"/>
      <c r="B4" s="203" t="n"/>
      <c r="C4" s="203" t="n"/>
      <c r="D4" s="203" t="n"/>
    </row>
    <row r="5" ht="89.25" customHeight="1">
      <c r="A5" s="206" t="inlineStr">
        <is>
          <t xml:space="preserve">Наименование разрабатываемого показателя УНЦ - </t>
        </is>
      </c>
      <c r="D5" s="206">
        <f>'Прил.5 Расчет СМР и ОБ'!D6:J6</f>
        <v/>
      </c>
    </row>
    <row r="6" ht="19.9" customHeight="1">
      <c r="A6" s="206" t="inlineStr">
        <is>
          <t>Единица измерения  — 1 км</t>
        </is>
      </c>
      <c r="D6" s="206" t="n"/>
    </row>
    <row r="7">
      <c r="A7" s="4" t="n"/>
      <c r="B7" s="4" t="n"/>
      <c r="C7" s="4" t="n"/>
      <c r="D7" s="4" t="n"/>
    </row>
    <row r="8" ht="14.45" customHeight="1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 ht="15" customHeight="1">
      <c r="A9" s="305" t="n"/>
      <c r="B9" s="305" t="n"/>
      <c r="C9" s="305" t="n"/>
      <c r="D9" s="305" t="n"/>
    </row>
    <row r="10">
      <c r="A10" s="231" t="n">
        <v>1</v>
      </c>
      <c r="B10" s="231" t="n">
        <v>2</v>
      </c>
      <c r="C10" s="231" t="n">
        <v>3</v>
      </c>
      <c r="D10" s="231" t="n">
        <v>4</v>
      </c>
    </row>
    <row r="11" ht="51" customHeight="1">
      <c r="A11" s="231" t="inlineStr">
        <is>
          <t>Б2-02-2</t>
        </is>
      </c>
      <c r="B11" s="231" t="inlineStr">
        <is>
          <t xml:space="preserve">УНЦ на устройство траншеи КЛ и восстановление благоустройства по трассе </t>
        </is>
      </c>
      <c r="C11" s="144">
        <f>D5</f>
        <v/>
      </c>
      <c r="D11" s="3">
        <f>'Прил.4 РМ'!C41/1000</f>
        <v/>
      </c>
      <c r="E11" s="134" t="n"/>
    </row>
    <row r="12">
      <c r="A12" s="30" t="n"/>
      <c r="B12" s="136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5" sqref="D25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3" t="inlineStr">
        <is>
          <t>Приложение № 10</t>
        </is>
      </c>
    </row>
    <row r="5" ht="18.75" customHeight="1">
      <c r="B5" s="139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53" t="n"/>
    </row>
    <row r="8">
      <c r="B8" s="253" t="n"/>
      <c r="C8" s="253" t="n"/>
      <c r="D8" s="253" t="n"/>
      <c r="E8" s="253" t="n"/>
    </row>
    <row r="9" ht="47.25" customHeight="1">
      <c r="B9" s="218" t="inlineStr">
        <is>
          <t>Наименование индекса / норм сопутствующих затрат</t>
        </is>
      </c>
      <c r="C9" s="218" t="inlineStr">
        <is>
          <t>Дата применения и обоснование индекса / норм сопутствующих затрат</t>
        </is>
      </c>
      <c r="D9" s="218" t="inlineStr">
        <is>
          <t>Размер индекса / норма сопутствующих затрат</t>
        </is>
      </c>
    </row>
    <row r="10" ht="15.75" customHeight="1">
      <c r="B10" s="218" t="n">
        <v>1</v>
      </c>
      <c r="C10" s="218" t="n">
        <v>2</v>
      </c>
      <c r="D10" s="218" t="n">
        <v>3</v>
      </c>
    </row>
    <row r="11" ht="45" customHeight="1">
      <c r="B11" s="218" t="inlineStr">
        <is>
          <t xml:space="preserve">Индекс изменения сметной стоимости на 1 квартал 2023 года. ОЗП </t>
        </is>
      </c>
      <c r="C11" s="218" t="inlineStr">
        <is>
          <t>Письмо Минстроя России от 30.03.2023г. №17106-ИФ/09  прил.1</t>
        </is>
      </c>
      <c r="D11" s="218" t="n">
        <v>44.29</v>
      </c>
    </row>
    <row r="12" ht="31.5" customHeight="1">
      <c r="B12" s="218" t="inlineStr">
        <is>
          <t>Индекс изменения сметной стоимости на 1 квартал 2023 года. ЭМ</t>
        </is>
      </c>
      <c r="C12" s="218" t="inlineStr">
        <is>
          <t>Письмо Минстроя России от 30.03.2023г. №17106-ИФ/09  прил.1</t>
        </is>
      </c>
      <c r="D12" s="218" t="n">
        <v>10.77</v>
      </c>
    </row>
    <row r="13" ht="31.5" customHeight="1">
      <c r="B13" s="218" t="inlineStr">
        <is>
          <t>Индекс изменения сметной стоимости на 1 квартал 2023 года. МАТ</t>
        </is>
      </c>
      <c r="C13" s="218" t="inlineStr">
        <is>
          <t>Письмо Минстроя России от 30.03.2023г. №17106-ИФ/09  прил.1</t>
        </is>
      </c>
      <c r="D13" s="218" t="n">
        <v>4.39</v>
      </c>
    </row>
    <row r="14" ht="31.5" customHeight="1">
      <c r="B14" s="218" t="inlineStr">
        <is>
          <t>Индекс изменения сметной стоимости на 1 квартал 2023 года. ОБ</t>
        </is>
      </c>
      <c r="C14" s="141" t="inlineStr">
        <is>
          <t>Письмо Минстроя России от 23.02.2023г. №9791-ИФ/09 прил.6</t>
        </is>
      </c>
      <c r="D14" s="218" t="n">
        <v>6.26</v>
      </c>
    </row>
    <row r="15" ht="89.25" customHeight="1">
      <c r="B15" s="218" t="inlineStr">
        <is>
          <t>Временные здания и сооружения</t>
        </is>
      </c>
      <c r="C15" s="218" t="inlineStr">
        <is>
          <t xml:space="preserve">п.39,2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42" t="n">
        <v>0.025</v>
      </c>
    </row>
    <row r="16" ht="78.75" customHeight="1">
      <c r="B16" s="218" t="inlineStr">
        <is>
          <t>Дополнительные затраты при производстве строительно-монтажных работ в зимнее время</t>
        </is>
      </c>
      <c r="C16" s="21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42" t="n">
        <v>0.021</v>
      </c>
    </row>
    <row r="17" ht="31.5" customHeight="1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142" t="n">
        <v>0.0214</v>
      </c>
    </row>
    <row r="18" ht="31.5" customHeight="1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142" t="n">
        <v>0.002</v>
      </c>
    </row>
    <row r="19" ht="24" customHeight="1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142" t="n">
        <v>0.03</v>
      </c>
    </row>
    <row r="20" ht="18.75" customHeight="1">
      <c r="B20" s="133" t="n"/>
    </row>
    <row r="21" ht="18.75" customHeight="1">
      <c r="B21" s="133" t="n"/>
    </row>
    <row r="22" ht="18.75" customHeight="1">
      <c r="B22" s="133" t="n"/>
    </row>
    <row r="23" ht="18.75" customHeight="1">
      <c r="B23" s="133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6" sqref="C1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5.85546875" customWidth="1" min="6" max="6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23" t="n"/>
      <c r="C4" s="123" t="n"/>
      <c r="D4" s="123" t="n"/>
      <c r="E4" s="123" t="n"/>
      <c r="F4" s="123" t="n"/>
      <c r="G4" s="123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23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23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8" t="inlineStr">
        <is>
          <t>С1ср</t>
        </is>
      </c>
      <c r="D7" s="218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3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18" t="inlineStr">
        <is>
          <t>tср</t>
        </is>
      </c>
      <c r="D8" s="218" t="inlineStr">
        <is>
          <t>1973ч/12мес.</t>
        </is>
      </c>
      <c r="E8" s="197">
        <f>1973/12</f>
        <v/>
      </c>
      <c r="F8" s="196" t="inlineStr">
        <is>
          <t>Производственный календарь 2023 год
(40-часов.неделя)</t>
        </is>
      </c>
      <c r="G8" s="198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18" t="inlineStr">
        <is>
          <t>Кув</t>
        </is>
      </c>
      <c r="D9" s="218" t="inlineStr">
        <is>
          <t>-</t>
        </is>
      </c>
      <c r="E9" s="197" t="n">
        <v>1</v>
      </c>
      <c r="F9" s="196" t="n"/>
      <c r="G9" s="198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18" t="n"/>
      <c r="D10" s="218" t="n"/>
      <c r="E10" s="318" t="n">
        <v>1.9</v>
      </c>
      <c r="F10" s="196" t="inlineStr">
        <is>
          <t>РТМ</t>
        </is>
      </c>
      <c r="G10" s="198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18" t="inlineStr">
        <is>
          <t>КТ</t>
        </is>
      </c>
      <c r="D11" s="218" t="inlineStr">
        <is>
          <t>-</t>
        </is>
      </c>
      <c r="E11" s="319" t="n">
        <v>1.076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3" t="n"/>
    </row>
    <row r="12" ht="78.75" customHeight="1">
      <c r="A12" s="195" t="inlineStr">
        <is>
          <t>1.6</t>
        </is>
      </c>
      <c r="B12" s="149" t="inlineStr">
        <is>
          <t>Коэффициент инфляции, определяемый поквартально</t>
        </is>
      </c>
      <c r="C12" s="218" t="inlineStr">
        <is>
          <t>Кинф</t>
        </is>
      </c>
      <c r="D12" s="218" t="inlineStr">
        <is>
          <t>-</t>
        </is>
      </c>
      <c r="E12" s="320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7" t="inlineStr">
        <is>
          <t>1.7</t>
        </is>
      </c>
      <c r="B13" s="298" t="inlineStr">
        <is>
          <t>Размер средств на оплату труда рабочих-строителей в текущем уровне цен (ФОТр.тек.), руб/чел.-ч</t>
        </is>
      </c>
      <c r="C13" s="299" t="inlineStr">
        <is>
          <t>ФОТр.тек.</t>
        </is>
      </c>
      <c r="D13" s="299" t="inlineStr">
        <is>
          <t>(С1ср/tср*КТ*Т*Кув)*Кинф</t>
        </is>
      </c>
      <c r="E13" s="300">
        <f>((E7*E9/E8)*E11)*E12</f>
        <v/>
      </c>
      <c r="F13" s="3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2025-01-24T11:53:50Z</dcterms:modified>
  <cp:lastModifiedBy>112</cp:lastModifiedBy>
  <cp:lastPrinted>2023-11-27T07:31:52Z</cp:lastPrinted>
</cp:coreProperties>
</file>