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'Прил.3'!$8:$10</definedName>
    <definedName name="_xlnm.Print_Area" localSheetId="2">'Прил.3'!$A$1:$H$83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ОБ'!$A$1:$J$97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_-* #,##0.0\ _₽_-;\-* #,##0.0\ _₽_-;_-* &quot;-&quot;??\ _₽_-;_-@_-"/>
    <numFmt numFmtId="167" formatCode="0.0000"/>
    <numFmt numFmtId="168" formatCode="0.000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10" fontId="16" fillId="0" borderId="0" pivotButton="0" quotePrefix="0" xfId="0"/>
    <xf numFmtId="0" fontId="20" fillId="0" borderId="0" applyAlignment="1" pivotButton="0" quotePrefix="0" xfId="0">
      <alignment horizontal="center" vertical="center"/>
    </xf>
    <xf numFmtId="166" fontId="16" fillId="0" borderId="0" pivotButton="0" quotePrefix="0" xfId="0"/>
    <xf numFmtId="167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10" fontId="2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4" fontId="19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49" fontId="16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9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70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7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19" fillId="0" borderId="10" applyAlignment="1" pivotButton="0" quotePrefix="0" xfId="0">
      <alignment vertical="center" wrapText="1"/>
    </xf>
    <xf numFmtId="4" fontId="19" fillId="0" borderId="10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166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7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169" fontId="16" fillId="0" borderId="10" applyAlignment="1" pivotButton="0" quotePrefix="0" xfId="0">
      <alignment horizontal="center" vertical="center"/>
    </xf>
    <xf numFmtId="170" fontId="16" fillId="0" borderId="10" applyAlignment="1" pivotButton="0" quotePrefix="0" xfId="0">
      <alignment horizontal="center" vertical="center"/>
    </xf>
    <xf numFmtId="167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2" zoomScale="85" zoomScaleNormal="55" workbookViewId="0">
      <selection activeCell="D28" sqref="D28"/>
    </sheetView>
  </sheetViews>
  <sheetFormatPr baseColWidth="8" defaultColWidth="9.140625" defaultRowHeight="15.75"/>
  <cols>
    <col width="9.140625" customWidth="1" style="130" min="1" max="2"/>
    <col width="51.7109375" customWidth="1" style="130" min="3" max="3"/>
    <col width="47" customWidth="1" style="130" min="4" max="4"/>
    <col width="37.42578125" customWidth="1" style="130" min="5" max="5"/>
    <col width="9.140625" customWidth="1" style="130" min="6" max="6"/>
  </cols>
  <sheetData>
    <row r="3">
      <c r="B3" s="200" t="inlineStr">
        <is>
          <t>Приложение № 1</t>
        </is>
      </c>
    </row>
    <row r="4">
      <c r="B4" s="201" t="inlineStr">
        <is>
          <t>Сравнительная таблица отбора объекта-представителя</t>
        </is>
      </c>
    </row>
    <row r="5" ht="84" customHeight="1">
      <c r="B5" s="20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55" t="n"/>
      <c r="C6" s="155" t="n"/>
      <c r="D6" s="155" t="n"/>
    </row>
    <row r="7" ht="64.5" customHeight="1">
      <c r="B7" s="202" t="inlineStr">
        <is>
          <t>Наименование разрабатываемого показателя УНЦ - Устройство траншеи КЛ (две цепи) и восстановление благоустройства по трассе без учета восстановления газонов (все регионы) напряжение 20-35 кВ</t>
        </is>
      </c>
    </row>
    <row r="8" ht="31.5" customHeight="1">
      <c r="B8" s="131" t="inlineStr">
        <is>
          <t xml:space="preserve">Сопоставимый уровень цен: </t>
        </is>
      </c>
      <c r="C8" s="131" t="n"/>
      <c r="D8" s="183">
        <f>D22</f>
        <v/>
      </c>
    </row>
    <row r="9" ht="15.75" customHeight="1">
      <c r="B9" s="202" t="inlineStr">
        <is>
          <t>Единица измерения  — 1 км</t>
        </is>
      </c>
    </row>
    <row r="10">
      <c r="B10" s="202" t="n"/>
    </row>
    <row r="11">
      <c r="B11" s="205" t="inlineStr">
        <is>
          <t>№ п/п</t>
        </is>
      </c>
      <c r="C11" s="205" t="inlineStr">
        <is>
          <t>Параметр</t>
        </is>
      </c>
      <c r="D11" s="205" t="inlineStr">
        <is>
          <t xml:space="preserve">Объект-представитель </t>
        </is>
      </c>
      <c r="E11" s="139" t="n"/>
    </row>
    <row r="12" ht="31.5" customHeight="1">
      <c r="B12" s="205" t="n">
        <v>1</v>
      </c>
      <c r="C12" s="134" t="inlineStr">
        <is>
          <t>Наименование объекта-представителя</t>
        </is>
      </c>
      <c r="D12" s="205" t="inlineStr">
        <is>
          <t>Комплексное техническое перевооружение  и реконструкция  ПС 220 кВ «Нелидово»</t>
        </is>
      </c>
    </row>
    <row r="13">
      <c r="B13" s="205" t="n">
        <v>2</v>
      </c>
      <c r="C13" s="134" t="inlineStr">
        <is>
          <t>Наименование субъекта Российской Федерации</t>
        </is>
      </c>
      <c r="D13" s="205" t="inlineStr">
        <is>
          <t>Тверская область</t>
        </is>
      </c>
    </row>
    <row r="14">
      <c r="B14" s="205" t="n">
        <v>3</v>
      </c>
      <c r="C14" s="134" t="inlineStr">
        <is>
          <t>Климатический район и подрайон</t>
        </is>
      </c>
      <c r="D14" s="205" t="inlineStr">
        <is>
          <t>IIВ</t>
        </is>
      </c>
    </row>
    <row r="15">
      <c r="B15" s="205" t="n">
        <v>4</v>
      </c>
      <c r="C15" s="134" t="inlineStr">
        <is>
          <t>Мощность объекта</t>
        </is>
      </c>
      <c r="D15" s="205" t="n">
        <v>0.475</v>
      </c>
    </row>
    <row r="16" ht="63" customHeight="1">
      <c r="B16" s="205" t="n">
        <v>5</v>
      </c>
      <c r="C16" s="10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5" t="inlineStr">
        <is>
          <t>Плита П4-15, трубы напорные из полиэтилена ПНД</t>
        </is>
      </c>
    </row>
    <row r="17" ht="63" customHeight="1">
      <c r="B17" s="205" t="n">
        <v>6</v>
      </c>
      <c r="C17" s="10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4">
        <f>D18+D19+D20+D21</f>
        <v/>
      </c>
      <c r="E17" s="154" t="n"/>
    </row>
    <row r="18">
      <c r="B18" s="138" t="inlineStr">
        <is>
          <t>6.1</t>
        </is>
      </c>
      <c r="C18" s="134" t="inlineStr">
        <is>
          <t>строительно-монтажные работы</t>
        </is>
      </c>
      <c r="D18" s="184">
        <f>'Прил.2 Расч стоим'!F15+'Прил.2 Расч стоим'!G15</f>
        <v/>
      </c>
    </row>
    <row r="19">
      <c r="B19" s="138" t="inlineStr">
        <is>
          <t>6.2</t>
        </is>
      </c>
      <c r="C19" s="134" t="inlineStr">
        <is>
          <t>оборудование и инвентарь</t>
        </is>
      </c>
      <c r="D19" s="184" t="n"/>
    </row>
    <row r="20">
      <c r="B20" s="138" t="inlineStr">
        <is>
          <t>6.3</t>
        </is>
      </c>
      <c r="C20" s="134" t="inlineStr">
        <is>
          <t>пусконаладочные работы</t>
        </is>
      </c>
      <c r="D20" s="184" t="n"/>
    </row>
    <row r="21">
      <c r="B21" s="138" t="inlineStr">
        <is>
          <t>6.4</t>
        </is>
      </c>
      <c r="C21" s="137" t="inlineStr">
        <is>
          <t>прочие и лимитированные затраты</t>
        </is>
      </c>
      <c r="D21" s="184">
        <f>D18*0.039*0.8+(D18*0.039*0.8+D18)*0.021</f>
        <v/>
      </c>
    </row>
    <row r="22">
      <c r="B22" s="205" t="n">
        <v>7</v>
      </c>
      <c r="C22" s="137" t="inlineStr">
        <is>
          <t>Сопоставимый уровень цен</t>
        </is>
      </c>
      <c r="D22" s="185" t="inlineStr">
        <is>
          <t>3 квартал 2015г</t>
        </is>
      </c>
      <c r="E22" s="135" t="n"/>
    </row>
    <row r="23" ht="78.75" customHeight="1">
      <c r="B23" s="205" t="n">
        <v>8</v>
      </c>
      <c r="C23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4">
        <f>D17</f>
        <v/>
      </c>
      <c r="E23" s="154" t="n"/>
    </row>
    <row r="24" ht="31.5" customHeight="1">
      <c r="B24" s="205" t="n">
        <v>9</v>
      </c>
      <c r="C24" s="106" t="inlineStr">
        <is>
          <t>Приведенная сметная стоимость на единицу мощности, тыс. руб. (строка 8/строку 4)</t>
        </is>
      </c>
      <c r="D24" s="184">
        <f>D23/D15</f>
        <v/>
      </c>
      <c r="E24" s="135" t="n"/>
    </row>
    <row r="25">
      <c r="B25" s="205" t="n">
        <v>10</v>
      </c>
      <c r="C25" s="134" t="inlineStr">
        <is>
          <t>Примечание</t>
        </is>
      </c>
      <c r="D25" s="205" t="n"/>
    </row>
    <row r="26">
      <c r="B26" s="133" t="n"/>
      <c r="C26" s="132" t="n"/>
      <c r="D26" s="132" t="n"/>
    </row>
    <row r="27" ht="37.5" customHeight="1">
      <c r="B27" s="131" t="n"/>
    </row>
    <row r="28">
      <c r="B28" s="130" t="inlineStr">
        <is>
          <t>Составил ______________________    Д.Ю. Нефедова</t>
        </is>
      </c>
    </row>
    <row r="29">
      <c r="B29" s="131" t="inlineStr">
        <is>
          <t xml:space="preserve">                         (подпись, инициалы, фамилия)</t>
        </is>
      </c>
    </row>
    <row r="31">
      <c r="B31" s="130" t="inlineStr">
        <is>
          <t>Проверил ______________________        А.В. Костянецкая</t>
        </is>
      </c>
    </row>
    <row r="32">
      <c r="B32" s="13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4"/>
  <sheetViews>
    <sheetView view="pageBreakPreview" topLeftCell="A4" zoomScaleNormal="70" workbookViewId="0">
      <selection activeCell="E20" sqref="E20"/>
    </sheetView>
  </sheetViews>
  <sheetFormatPr baseColWidth="8" defaultColWidth="9.140625" defaultRowHeight="15.75"/>
  <cols>
    <col width="5.5703125" customWidth="1" style="130" min="1" max="1"/>
    <col width="9.140625" customWidth="1" style="130" min="2" max="2"/>
    <col width="35.28515625" customWidth="1" style="130" min="3" max="3"/>
    <col width="13.85546875" customWidth="1" style="130" min="4" max="4"/>
    <col width="24.85546875" customWidth="1" style="130" min="5" max="5"/>
    <col width="15.5703125" customWidth="1" style="130" min="6" max="6"/>
    <col width="14.85546875" customWidth="1" style="130" min="7" max="7"/>
    <col width="16.7109375" customWidth="1" style="130" min="8" max="8"/>
    <col width="13" customWidth="1" style="130" min="9" max="10"/>
    <col width="9.140625" customWidth="1" style="130" min="11" max="11"/>
  </cols>
  <sheetData>
    <row r="3">
      <c r="B3" s="200" t="inlineStr">
        <is>
          <t>Приложение № 2</t>
        </is>
      </c>
    </row>
    <row r="4">
      <c r="B4" s="201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>
      <c r="B6" s="202">
        <f>'Прил.1 Сравнит табл'!B7:D7</f>
        <v/>
      </c>
    </row>
    <row r="7">
      <c r="B7" s="202">
        <f>'Прил.1 Сравнит табл'!B9:D9</f>
        <v/>
      </c>
    </row>
    <row r="8" ht="18.75" customHeight="1">
      <c r="B8" s="108" t="n"/>
    </row>
    <row r="9" ht="15.75" customHeight="1">
      <c r="B9" s="205" t="inlineStr">
        <is>
          <t>№ п/п</t>
        </is>
      </c>
      <c r="C9" s="20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5" t="inlineStr">
        <is>
          <t>Объект-представитель 1</t>
        </is>
      </c>
      <c r="E9" s="303" t="n"/>
      <c r="F9" s="303" t="n"/>
      <c r="G9" s="303" t="n"/>
      <c r="H9" s="303" t="n"/>
      <c r="I9" s="303" t="n"/>
      <c r="J9" s="304" t="n"/>
    </row>
    <row r="10" ht="15.75" customHeight="1">
      <c r="B10" s="305" t="n"/>
      <c r="C10" s="305" t="n"/>
      <c r="D10" s="205" t="inlineStr">
        <is>
          <t>Номер сметы</t>
        </is>
      </c>
      <c r="E10" s="205" t="inlineStr">
        <is>
          <t>Наименование сметы</t>
        </is>
      </c>
      <c r="F10" s="205" t="inlineStr">
        <is>
          <t>Сметная стоимость в уровне цен 3 квартал 2015г , тыс. руб.</t>
        </is>
      </c>
      <c r="G10" s="303" t="n"/>
      <c r="H10" s="303" t="n"/>
      <c r="I10" s="303" t="n"/>
      <c r="J10" s="304" t="n"/>
    </row>
    <row r="11" ht="31.5" customHeight="1">
      <c r="B11" s="306" t="n"/>
      <c r="C11" s="306" t="n"/>
      <c r="D11" s="306" t="n"/>
      <c r="E11" s="306" t="n"/>
      <c r="F11" s="205" t="inlineStr">
        <is>
          <t>Строительные работы</t>
        </is>
      </c>
      <c r="G11" s="205" t="inlineStr">
        <is>
          <t>Монтажные работы</t>
        </is>
      </c>
      <c r="H11" s="205" t="inlineStr">
        <is>
          <t>Оборудование</t>
        </is>
      </c>
      <c r="I11" s="205" t="inlineStr">
        <is>
          <t>Прочее</t>
        </is>
      </c>
      <c r="J11" s="205" t="inlineStr">
        <is>
          <t>Всего</t>
        </is>
      </c>
    </row>
    <row r="12" ht="31.5" customHeight="1">
      <c r="B12" s="186" t="n">
        <v>1</v>
      </c>
      <c r="C12" s="205">
        <f>'Прил.1 Сравнит табл'!D16</f>
        <v/>
      </c>
      <c r="D12" s="187" t="inlineStr">
        <is>
          <t>02-17-07</t>
        </is>
      </c>
      <c r="E12" s="134" t="inlineStr">
        <is>
          <t>Общестроительные работы на КЛ 35 кВ</t>
        </is>
      </c>
      <c r="F12" s="188" t="n">
        <v>636.00798</v>
      </c>
      <c r="G12" s="188" t="n"/>
      <c r="H12" s="188" t="n"/>
      <c r="I12" s="188" t="n"/>
      <c r="J12" s="189">
        <f>SUM(F12:I12)</f>
        <v/>
      </c>
    </row>
    <row r="13" ht="47.25" customHeight="1">
      <c r="B13" s="186" t="n">
        <v>2</v>
      </c>
      <c r="C13" s="305" t="n"/>
      <c r="D13" s="187" t="inlineStr">
        <is>
          <t>02-17-08</t>
        </is>
      </c>
      <c r="E13" s="134" t="inlineStr">
        <is>
          <t>КЛ 35 кВ от оп.№ 1к типа У35-1т+5 до портала</t>
        </is>
      </c>
      <c r="F13" s="188" t="n">
        <v>14.92957512</v>
      </c>
      <c r="G13" s="188" t="n">
        <v>772.19264348</v>
      </c>
      <c r="H13" s="188" t="n"/>
      <c r="I13" s="188" t="n"/>
      <c r="J13" s="189">
        <f>SUM(F13:I13)</f>
        <v/>
      </c>
    </row>
    <row r="14" ht="31.5" customHeight="1">
      <c r="B14" s="186" t="n">
        <v>3</v>
      </c>
      <c r="C14" s="306" t="n"/>
      <c r="D14" s="187" t="inlineStr">
        <is>
          <t>07-04-01</t>
        </is>
      </c>
      <c r="E14" s="134" t="inlineStr">
        <is>
          <t>Общестроительные работы</t>
        </is>
      </c>
      <c r="F14" s="188" t="n">
        <v>1569.58305</v>
      </c>
      <c r="G14" s="188" t="n"/>
      <c r="H14" s="188" t="n"/>
      <c r="I14" s="188" t="n"/>
      <c r="J14" s="189">
        <f>SUM(F14:I14)</f>
        <v/>
      </c>
    </row>
    <row r="15" ht="15.75" customHeight="1">
      <c r="B15" s="204" t="inlineStr">
        <is>
          <t>Всего по объекту:</t>
        </is>
      </c>
      <c r="C15" s="303" t="n"/>
      <c r="D15" s="303" t="n"/>
      <c r="E15" s="304" t="n"/>
      <c r="F15" s="190">
        <f>SUM(F12:F14)</f>
        <v/>
      </c>
      <c r="G15" s="190">
        <f>SUM(G12:G14)</f>
        <v/>
      </c>
      <c r="H15" s="190">
        <f>SUM(H12:H14)</f>
        <v/>
      </c>
      <c r="I15" s="190" t="n"/>
      <c r="J15" s="190">
        <f>SUM(F15:I15)</f>
        <v/>
      </c>
    </row>
    <row r="16" ht="15.75" customHeight="1">
      <c r="B16" s="204" t="inlineStr">
        <is>
          <t>Всего по объекту в сопоставимом уровне цен 3 квартал 2015г :</t>
        </is>
      </c>
      <c r="C16" s="303" t="n"/>
      <c r="D16" s="303" t="n"/>
      <c r="E16" s="304" t="n"/>
      <c r="F16" s="190">
        <f>F15</f>
        <v/>
      </c>
      <c r="G16" s="190">
        <f>G15</f>
        <v/>
      </c>
      <c r="H16" s="190">
        <f>H15</f>
        <v/>
      </c>
      <c r="I16" s="190">
        <f>'Прил.1 Сравнит табл'!D21</f>
        <v/>
      </c>
      <c r="J16" s="190">
        <f>SUM(F16:I16)</f>
        <v/>
      </c>
    </row>
    <row r="17" ht="15" customHeight="1"/>
    <row r="18" ht="15" customHeight="1"/>
    <row r="19" ht="15" customHeight="1"/>
    <row r="20" ht="15" customHeight="1">
      <c r="C20" s="4" t="inlineStr">
        <is>
          <t>Составил ______________________     Д.Ю. Нефедова</t>
        </is>
      </c>
      <c r="D20" s="12" t="n"/>
      <c r="E20" s="12" t="n"/>
    </row>
    <row r="21" ht="15" customHeight="1">
      <c r="C21" s="27" t="inlineStr">
        <is>
          <t xml:space="preserve">                         (подпись, инициалы, фамилия)</t>
        </is>
      </c>
      <c r="D21" s="12" t="n"/>
      <c r="E21" s="12" t="n"/>
    </row>
    <row r="22" ht="15" customHeight="1">
      <c r="C22" s="4" t="n"/>
      <c r="D22" s="12" t="n"/>
      <c r="E22" s="12" t="n"/>
    </row>
    <row r="23" ht="15" customHeight="1">
      <c r="C23" s="4" t="inlineStr">
        <is>
          <t>Проверил ______________________        А.В. Костянецкая</t>
        </is>
      </c>
      <c r="D23" s="12" t="n"/>
      <c r="E23" s="12" t="n"/>
    </row>
    <row r="24" ht="15" customHeight="1">
      <c r="C24" s="27" t="inlineStr">
        <is>
          <t xml:space="preserve">                        (подпись, инициалы, фамилия)</t>
        </is>
      </c>
      <c r="D24" s="12" t="n"/>
      <c r="E24" s="12" t="n"/>
    </row>
    <row r="25" ht="15" customHeight="1"/>
    <row r="26" ht="15" customHeight="1"/>
    <row r="27" ht="15" customHeight="1"/>
    <row r="28" ht="15" customHeight="1"/>
    <row r="29" ht="15" customHeight="1"/>
    <row r="30" ht="15" customHeight="1"/>
  </sheetData>
  <mergeCells count="13">
    <mergeCell ref="B7:J7"/>
    <mergeCell ref="B3:J3"/>
    <mergeCell ref="D10:D11"/>
    <mergeCell ref="C12:C14"/>
    <mergeCell ref="D9:J9"/>
    <mergeCell ref="F10:J10"/>
    <mergeCell ref="B16:E16"/>
    <mergeCell ref="B15:E15"/>
    <mergeCell ref="B9:B11"/>
    <mergeCell ref="C9:C11"/>
    <mergeCell ref="B4:J4"/>
    <mergeCell ref="E10:E11"/>
    <mergeCell ref="B6:J6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82"/>
  <sheetViews>
    <sheetView view="pageBreakPreview" topLeftCell="A66" zoomScale="115" zoomScaleSheetLayoutView="115" workbookViewId="0">
      <selection activeCell="D77" sqref="D77"/>
    </sheetView>
  </sheetViews>
  <sheetFormatPr baseColWidth="8" defaultColWidth="9.140625" defaultRowHeight="15.75"/>
  <cols>
    <col width="9.140625" customWidth="1" style="130" min="1" max="1"/>
    <col width="12.5703125" customWidth="1" style="130" min="2" max="2"/>
    <col width="22.42578125" customWidth="1" style="130" min="3" max="3"/>
    <col width="49.7109375" customWidth="1" style="130" min="4" max="4"/>
    <col width="10.140625" customWidth="1" style="130" min="5" max="5"/>
    <col width="20.7109375" customWidth="1" style="130" min="6" max="6"/>
    <col width="20" customWidth="1" style="130" min="7" max="7"/>
    <col width="16.7109375" customWidth="1" style="130" min="8" max="8"/>
    <col width="9.140625" customWidth="1" style="130" min="9" max="10"/>
    <col width="15" customWidth="1" style="130" min="11" max="11"/>
    <col width="9.140625" customWidth="1" style="130" min="12" max="12"/>
  </cols>
  <sheetData>
    <row r="2">
      <c r="A2" s="200" t="inlineStr">
        <is>
          <t xml:space="preserve">Приложение № 3 </t>
        </is>
      </c>
    </row>
    <row r="3">
      <c r="A3" s="201" t="inlineStr">
        <is>
          <t>Объектная ресурсная ведомость</t>
        </is>
      </c>
    </row>
    <row r="4" ht="18.75" customHeight="1">
      <c r="A4" s="157" t="n"/>
      <c r="B4" s="157" t="n"/>
      <c r="C4" s="217" t="n"/>
    </row>
    <row r="5">
      <c r="A5" s="202" t="n"/>
    </row>
    <row r="6" ht="33.75" customHeight="1">
      <c r="A6" s="216" t="inlineStr">
        <is>
          <t>Наименование разрабатываемого показателя УНЦ -  Устройство траншеи КЛ (две цепи) и восстановление благоустройства по трассе без учета восстановления газонов (все регионы) напряжение 20-35 кВ</t>
        </is>
      </c>
    </row>
    <row r="7">
      <c r="A7" s="140" t="n"/>
      <c r="B7" s="140" t="n"/>
      <c r="C7" s="140" t="n"/>
      <c r="D7" s="140" t="n"/>
      <c r="E7" s="140" t="n"/>
      <c r="F7" s="140" t="n"/>
      <c r="G7" s="140" t="n"/>
      <c r="H7" s="140" t="n"/>
    </row>
    <row r="8" ht="38.25" customHeight="1">
      <c r="A8" s="205" t="inlineStr">
        <is>
          <t>п/п</t>
        </is>
      </c>
      <c r="B8" s="205" t="inlineStr">
        <is>
          <t>№ЛСР</t>
        </is>
      </c>
      <c r="C8" s="205" t="inlineStr">
        <is>
          <t>Код ресурса</t>
        </is>
      </c>
      <c r="D8" s="205" t="inlineStr">
        <is>
          <t>Наименование ресурса</t>
        </is>
      </c>
      <c r="E8" s="205" t="inlineStr">
        <is>
          <t>Ед. изм.</t>
        </is>
      </c>
      <c r="F8" s="205" t="inlineStr">
        <is>
          <t>Кол-во единиц по данным объекта-представителя</t>
        </is>
      </c>
      <c r="G8" s="205" t="inlineStr">
        <is>
          <t>Сметная стоимость в ценах на 01.01.2000 (руб.)</t>
        </is>
      </c>
      <c r="H8" s="304" t="n"/>
    </row>
    <row r="9" ht="40.5" customHeight="1">
      <c r="A9" s="306" t="n"/>
      <c r="B9" s="306" t="n"/>
      <c r="C9" s="306" t="n"/>
      <c r="D9" s="306" t="n"/>
      <c r="E9" s="306" t="n"/>
      <c r="F9" s="306" t="n"/>
      <c r="G9" s="205" t="inlineStr">
        <is>
          <t>на ед.изм.</t>
        </is>
      </c>
      <c r="H9" s="205" t="inlineStr">
        <is>
          <t>общая</t>
        </is>
      </c>
    </row>
    <row r="10">
      <c r="A10" s="206" t="n">
        <v>1</v>
      </c>
      <c r="B10" s="206" t="n"/>
      <c r="C10" s="206" t="n">
        <v>2</v>
      </c>
      <c r="D10" s="206" t="inlineStr">
        <is>
          <t>З</t>
        </is>
      </c>
      <c r="E10" s="206" t="n">
        <v>4</v>
      </c>
      <c r="F10" s="206" t="n">
        <v>5</v>
      </c>
      <c r="G10" s="206" t="n">
        <v>6</v>
      </c>
      <c r="H10" s="206" t="n">
        <v>7</v>
      </c>
    </row>
    <row r="11" customFormat="1" s="142">
      <c r="A11" s="210" t="inlineStr">
        <is>
          <t>Затраты труда рабочих</t>
        </is>
      </c>
      <c r="B11" s="303" t="n"/>
      <c r="C11" s="303" t="n"/>
      <c r="D11" s="303" t="n"/>
      <c r="E11" s="304" t="n"/>
      <c r="F11" s="307">
        <f>SUM(F12:F19)</f>
        <v/>
      </c>
      <c r="G11" s="10" t="n"/>
      <c r="H11" s="307">
        <f>SUM(H12:H19)</f>
        <v/>
      </c>
    </row>
    <row r="12">
      <c r="A12" s="244" t="n">
        <v>1</v>
      </c>
      <c r="B12" s="171" t="n"/>
      <c r="C12" s="166" t="inlineStr">
        <is>
          <t>1-1-5</t>
        </is>
      </c>
      <c r="D12" s="167" t="inlineStr">
        <is>
          <t>Затраты труда рабочих (средний разряд работы 1,5)</t>
        </is>
      </c>
      <c r="E12" s="244" t="inlineStr">
        <is>
          <t>чел.-ч</t>
        </is>
      </c>
      <c r="F12" s="308">
        <f>83.2+1462.0070422</f>
        <v/>
      </c>
      <c r="G12" s="169" t="n">
        <v>7.5</v>
      </c>
      <c r="H12" s="169">
        <f>ROUND(F12*G12,2)</f>
        <v/>
      </c>
      <c r="M12" s="309" t="n"/>
    </row>
    <row r="13">
      <c r="A13" s="244" t="n">
        <v>2</v>
      </c>
      <c r="B13" s="171" t="n"/>
      <c r="C13" s="166" t="inlineStr">
        <is>
          <t>1-3-5</t>
        </is>
      </c>
      <c r="D13" s="167" t="inlineStr">
        <is>
          <t>Затраты труда рабочих (средний разряд работы 3,5)</t>
        </is>
      </c>
      <c r="E13" s="244" t="inlineStr">
        <is>
          <t>чел.-ч</t>
        </is>
      </c>
      <c r="F13" s="308" t="n">
        <v>383.16</v>
      </c>
      <c r="G13" s="169" t="n">
        <v>9.07</v>
      </c>
      <c r="H13" s="169">
        <f>ROUND(F13*G13,2)</f>
        <v/>
      </c>
      <c r="M13" s="309" t="n"/>
    </row>
    <row r="14">
      <c r="A14" s="244" t="n">
        <v>3</v>
      </c>
      <c r="B14" s="171" t="n"/>
      <c r="C14" s="166" t="inlineStr">
        <is>
          <t>1-3-0</t>
        </is>
      </c>
      <c r="D14" s="167" t="inlineStr">
        <is>
          <t>Затраты труда рабочих (средний разряд работы 3,0)</t>
        </is>
      </c>
      <c r="E14" s="244" t="inlineStr">
        <is>
          <t>чел.-ч</t>
        </is>
      </c>
      <c r="F14" s="308" t="n">
        <v>259.94</v>
      </c>
      <c r="G14" s="169" t="n">
        <v>8.529999999999999</v>
      </c>
      <c r="H14" s="169">
        <f>ROUND(F14*G14,2)</f>
        <v/>
      </c>
    </row>
    <row r="15">
      <c r="A15" s="244" t="n">
        <v>4</v>
      </c>
      <c r="B15" s="171" t="n"/>
      <c r="C15" s="166" t="inlineStr">
        <is>
          <t>1-2-0</t>
        </is>
      </c>
      <c r="D15" s="167" t="inlineStr">
        <is>
          <t>Затраты труда рабочих (средний разряд работы 2,0)</t>
        </is>
      </c>
      <c r="E15" s="244" t="inlineStr">
        <is>
          <t>чел.-ч</t>
        </is>
      </c>
      <c r="F15" s="308" t="n">
        <v>217.81</v>
      </c>
      <c r="G15" s="169" t="n">
        <v>7.8</v>
      </c>
      <c r="H15" s="169">
        <f>ROUND(F15*G15,2)</f>
        <v/>
      </c>
    </row>
    <row r="16">
      <c r="A16" s="244" t="n">
        <v>5</v>
      </c>
      <c r="B16" s="171" t="n"/>
      <c r="C16" s="166" t="inlineStr">
        <is>
          <t>1-4-0</t>
        </is>
      </c>
      <c r="D16" s="167" t="inlineStr">
        <is>
          <t>Затраты труда рабочих (средний разряд работы 4,0)</t>
        </is>
      </c>
      <c r="E16" s="244" t="inlineStr">
        <is>
          <t>чел.-ч</t>
        </is>
      </c>
      <c r="F16" s="308" t="n">
        <v>158.54</v>
      </c>
      <c r="G16" s="169" t="n">
        <v>9.619999999999999</v>
      </c>
      <c r="H16" s="169">
        <f>ROUND(F16*G16,2)</f>
        <v/>
      </c>
    </row>
    <row r="17">
      <c r="A17" s="244" t="n">
        <v>6</v>
      </c>
      <c r="B17" s="171" t="n"/>
      <c r="C17" s="166" t="inlineStr">
        <is>
          <t>1-2-9</t>
        </is>
      </c>
      <c r="D17" s="167" t="inlineStr">
        <is>
          <t>Затраты труда рабочих (средний разряд работы 2,9)</t>
        </is>
      </c>
      <c r="E17" s="244" t="inlineStr">
        <is>
          <t>чел.-ч</t>
        </is>
      </c>
      <c r="F17" s="308" t="n">
        <v>39.2</v>
      </c>
      <c r="G17" s="169" t="n">
        <v>8.460000000000001</v>
      </c>
      <c r="H17" s="169">
        <f>ROUND(F17*G17,2)</f>
        <v/>
      </c>
    </row>
    <row r="18">
      <c r="A18" s="244" t="n">
        <v>7</v>
      </c>
      <c r="B18" s="171" t="n"/>
      <c r="C18" s="166" t="inlineStr">
        <is>
          <t>1-3-8</t>
        </is>
      </c>
      <c r="D18" s="167" t="inlineStr">
        <is>
          <t>Затраты труда рабочих (средний разряд работы 3,8)</t>
        </is>
      </c>
      <c r="E18" s="244" t="inlineStr">
        <is>
          <t>чел.-ч</t>
        </is>
      </c>
      <c r="F18" s="308" t="n">
        <v>4.81</v>
      </c>
      <c r="G18" s="169" t="n">
        <v>9.4</v>
      </c>
      <c r="H18" s="169">
        <f>ROUND(F18*G18,2)</f>
        <v/>
      </c>
    </row>
    <row r="19">
      <c r="A19" s="244" t="n">
        <v>8</v>
      </c>
      <c r="B19" s="171" t="n"/>
      <c r="C19" s="166" t="inlineStr">
        <is>
          <t>1-4-6</t>
        </is>
      </c>
      <c r="D19" s="167" t="inlineStr">
        <is>
          <t>Затраты труда рабочих (средний разряд работы 4,6)</t>
        </is>
      </c>
      <c r="E19" s="244" t="inlineStr">
        <is>
          <t>чел.-ч</t>
        </is>
      </c>
      <c r="F19" s="308" t="n">
        <v>2.57</v>
      </c>
      <c r="G19" s="169" t="n">
        <v>10.5</v>
      </c>
      <c r="H19" s="169">
        <f>ROUND(F19*G19,2)</f>
        <v/>
      </c>
    </row>
    <row r="20">
      <c r="A20" s="209" t="inlineStr">
        <is>
          <t>Затраты труда машинистов</t>
        </is>
      </c>
      <c r="B20" s="303" t="n"/>
      <c r="C20" s="303" t="n"/>
      <c r="D20" s="303" t="n"/>
      <c r="E20" s="304" t="n"/>
      <c r="F20" s="210" t="n"/>
      <c r="G20" s="173" t="n"/>
      <c r="H20" s="307">
        <f>H21</f>
        <v/>
      </c>
    </row>
    <row r="21">
      <c r="A21" s="244" t="n">
        <v>9</v>
      </c>
      <c r="B21" s="211" t="n"/>
      <c r="C21" s="166" t="n">
        <v>2</v>
      </c>
      <c r="D21" s="167" t="inlineStr">
        <is>
          <t>Затраты труда машинистов</t>
        </is>
      </c>
      <c r="E21" s="244" t="inlineStr">
        <is>
          <t>чел.-ч</t>
        </is>
      </c>
      <c r="F21" s="308">
        <f>310.31+301.12</f>
        <v/>
      </c>
      <c r="G21" s="169" t="n"/>
      <c r="H21" s="310">
        <f>3856.96+4065.12</f>
        <v/>
      </c>
    </row>
    <row r="22" customFormat="1" s="142">
      <c r="A22" s="210" t="inlineStr">
        <is>
          <t>Машины и механизмы</t>
        </is>
      </c>
      <c r="B22" s="303" t="n"/>
      <c r="C22" s="303" t="n"/>
      <c r="D22" s="303" t="n"/>
      <c r="E22" s="304" t="n"/>
      <c r="F22" s="210" t="n"/>
      <c r="G22" s="173" t="n"/>
      <c r="H22" s="307">
        <f>SUM(H23:H37)</f>
        <v/>
      </c>
    </row>
    <row r="23">
      <c r="A23" s="244" t="n">
        <v>10</v>
      </c>
      <c r="B23" s="211" t="n"/>
      <c r="C23" s="166" t="inlineStr">
        <is>
          <t>91.14.03-002</t>
        </is>
      </c>
      <c r="D23" s="167" t="inlineStr">
        <is>
          <t>Автомобили-самосвалы, грузоподъемность до 10 т</t>
        </is>
      </c>
      <c r="E23" s="244" t="inlineStr">
        <is>
          <t>маш.-ч</t>
        </is>
      </c>
      <c r="F23" s="244" t="n">
        <v>301.12</v>
      </c>
      <c r="G23" s="175" t="n">
        <v>87.48999999999999</v>
      </c>
      <c r="H23" s="169">
        <f>ROUND(F23*G23,2)</f>
        <v/>
      </c>
      <c r="I23" s="156" t="n"/>
      <c r="J23" s="156" t="n"/>
      <c r="L23" s="156" t="n"/>
    </row>
    <row r="24" ht="25.5" customHeight="1">
      <c r="A24" s="244" t="n">
        <v>11</v>
      </c>
      <c r="B24" s="211" t="n"/>
      <c r="C24" s="166" t="inlineStr">
        <is>
          <t>91.01.05-085</t>
        </is>
      </c>
      <c r="D24" s="167" t="inlineStr">
        <is>
          <t>Экскаваторы одноковшовые дизельные на гусеничном ходу, емкость ковша 0,5 м3</t>
        </is>
      </c>
      <c r="E24" s="244" t="inlineStr">
        <is>
          <t>маш.-ч</t>
        </is>
      </c>
      <c r="F24" s="244" t="n">
        <v>137.56</v>
      </c>
      <c r="G24" s="175" t="n">
        <v>100</v>
      </c>
      <c r="H24" s="169">
        <f>ROUND(F24*G24,2)</f>
        <v/>
      </c>
      <c r="I24" s="156" t="n"/>
      <c r="J24" s="156" t="n"/>
      <c r="L24" s="156" t="n"/>
    </row>
    <row r="25" ht="38.25" customFormat="1" customHeight="1" s="142">
      <c r="A25" s="244" t="n">
        <v>12</v>
      </c>
      <c r="B25" s="211" t="n"/>
      <c r="C25" s="166" t="inlineStr">
        <is>
          <t>91.18.01-007</t>
        </is>
      </c>
      <c r="D25" s="16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5" s="244" t="inlineStr">
        <is>
          <t>маш.-ч</t>
        </is>
      </c>
      <c r="F25" s="244" t="n">
        <v>63.07</v>
      </c>
      <c r="G25" s="175" t="n">
        <v>90</v>
      </c>
      <c r="H25" s="169">
        <f>ROUND(F25*G25,2)</f>
        <v/>
      </c>
      <c r="I25" s="156" t="n"/>
      <c r="J25" s="156" t="n"/>
      <c r="L25" s="156" t="n"/>
    </row>
    <row r="26" ht="38.25" customFormat="1" customHeight="1" s="142">
      <c r="A26" s="244" t="n">
        <v>13</v>
      </c>
      <c r="B26" s="211" t="n"/>
      <c r="C26" s="166" t="inlineStr">
        <is>
          <t>91.18.01-012</t>
        </is>
      </c>
      <c r="D26" s="167" t="inlineStr">
        <is>
          <t>Компрессоры передвижные с электродвигателем давление 600 кПа (6 ат), производительность до 3,5 м3/мин</t>
        </is>
      </c>
      <c r="E26" s="244" t="inlineStr">
        <is>
          <t>маш.-ч</t>
        </is>
      </c>
      <c r="F26" s="244" t="n">
        <v>139.62</v>
      </c>
      <c r="G26" s="175" t="n">
        <v>32.5</v>
      </c>
      <c r="H26" s="169">
        <f>ROUND(F26*G26,2)</f>
        <v/>
      </c>
      <c r="I26" s="156" t="n"/>
      <c r="J26" s="156" t="n"/>
      <c r="L26" s="156" t="n"/>
    </row>
    <row r="27" customFormat="1" s="142">
      <c r="A27" s="244" t="n">
        <v>14</v>
      </c>
      <c r="B27" s="211" t="n"/>
      <c r="C27" s="166" t="inlineStr">
        <is>
          <t>91.14.02-001</t>
        </is>
      </c>
      <c r="D27" s="167" t="inlineStr">
        <is>
          <t>Автомобили бортовые, грузоподъемность до 5 т</t>
        </is>
      </c>
      <c r="E27" s="244" t="inlineStr">
        <is>
          <t>маш.-ч</t>
        </is>
      </c>
      <c r="F27" s="244" t="n">
        <v>52.97</v>
      </c>
      <c r="G27" s="175" t="n">
        <v>65.70999999999999</v>
      </c>
      <c r="H27" s="169">
        <f>ROUND(F27*G27,2)</f>
        <v/>
      </c>
      <c r="I27" s="156" t="n"/>
      <c r="J27" s="156" t="n"/>
      <c r="K27" s="156" t="n"/>
      <c r="L27" s="156" t="n"/>
    </row>
    <row r="28" ht="25.5" customFormat="1" customHeight="1" s="142">
      <c r="A28" s="244" t="n">
        <v>15</v>
      </c>
      <c r="B28" s="211" t="n"/>
      <c r="C28" s="166" t="inlineStr">
        <is>
          <t>91.05.05-014</t>
        </is>
      </c>
      <c r="D28" s="167" t="inlineStr">
        <is>
          <t>Краны на автомобильном ходу, грузоподъемность 10 т</t>
        </is>
      </c>
      <c r="E28" s="244" t="inlineStr">
        <is>
          <t>маш.-ч</t>
        </is>
      </c>
      <c r="F28" s="244" t="n">
        <v>28.17</v>
      </c>
      <c r="G28" s="175" t="n">
        <v>111.99</v>
      </c>
      <c r="H28" s="169">
        <f>ROUND(F28*G28,2)</f>
        <v/>
      </c>
      <c r="I28" s="156" t="n"/>
      <c r="J28" s="156" t="n"/>
      <c r="K28" s="156" t="n"/>
      <c r="L28" s="156" t="n"/>
    </row>
    <row r="29" customFormat="1" s="142">
      <c r="A29" s="244" t="n">
        <v>16</v>
      </c>
      <c r="B29" s="211" t="n"/>
      <c r="C29" s="166" t="inlineStr">
        <is>
          <t>91.01.01-035</t>
        </is>
      </c>
      <c r="D29" s="167" t="inlineStr">
        <is>
          <t>Бульдозеры, мощность 79 кВт (108 л.с.)</t>
        </is>
      </c>
      <c r="E29" s="244" t="inlineStr">
        <is>
          <t>маш.час</t>
        </is>
      </c>
      <c r="F29" s="244" t="n">
        <v>19.65</v>
      </c>
      <c r="G29" s="175" t="n">
        <v>79.06999999999999</v>
      </c>
      <c r="H29" s="169">
        <f>ROUND(F29*G29,2)</f>
        <v/>
      </c>
      <c r="I29" s="156" t="n"/>
      <c r="J29" s="156" t="n"/>
      <c r="K29" s="130" t="n"/>
      <c r="L29" s="156" t="n"/>
    </row>
    <row r="30" ht="25.5" customFormat="1" customHeight="1" s="142">
      <c r="A30" s="244" t="n">
        <v>17</v>
      </c>
      <c r="B30" s="211" t="n"/>
      <c r="C30" s="166" t="inlineStr">
        <is>
          <t>91.21.10-003</t>
        </is>
      </c>
      <c r="D30" s="167" t="inlineStr">
        <is>
          <t>Молотки при работе от передвижных компрессорных станций: отбойные пневматические</t>
        </is>
      </c>
      <c r="E30" s="244" t="inlineStr">
        <is>
          <t>маш.час</t>
        </is>
      </c>
      <c r="F30" s="244" t="n">
        <v>279.25</v>
      </c>
      <c r="G30" s="175" t="n">
        <v>1.53</v>
      </c>
      <c r="H30" s="169">
        <f>ROUND(F30*G30,2)</f>
        <v/>
      </c>
      <c r="I30" s="156" t="n"/>
      <c r="J30" s="156" t="n"/>
      <c r="K30" s="130" t="n"/>
      <c r="L30" s="156" t="n"/>
    </row>
    <row r="31" customFormat="1" s="142">
      <c r="A31" s="244" t="n">
        <v>18</v>
      </c>
      <c r="B31" s="211" t="n"/>
      <c r="C31" s="166" t="inlineStr">
        <is>
          <t>91.06.09-001</t>
        </is>
      </c>
      <c r="D31" s="167" t="inlineStr">
        <is>
          <t>Вышка телескопическая 25 м</t>
        </is>
      </c>
      <c r="E31" s="244" t="inlineStr">
        <is>
          <t>маш.час</t>
        </is>
      </c>
      <c r="F31" s="244" t="n">
        <v>2.23</v>
      </c>
      <c r="G31" s="175" t="n">
        <v>142.7</v>
      </c>
      <c r="H31" s="169">
        <f>ROUND(F31*G31,2)</f>
        <v/>
      </c>
      <c r="I31" s="156" t="n"/>
      <c r="J31" s="156" t="n"/>
      <c r="K31" s="130" t="n"/>
      <c r="L31" s="156" t="n"/>
    </row>
    <row r="32" customFormat="1" s="142">
      <c r="A32" s="244" t="n">
        <v>19</v>
      </c>
      <c r="B32" s="211" t="n"/>
      <c r="C32" s="166" t="inlineStr">
        <is>
          <t>91.01.01-034</t>
        </is>
      </c>
      <c r="D32" s="167" t="inlineStr">
        <is>
          <t>Бульдозеры, мощность 59 кВт (80 л.с.)</t>
        </is>
      </c>
      <c r="E32" s="244" t="inlineStr">
        <is>
          <t>маш.час</t>
        </is>
      </c>
      <c r="F32" s="244" t="n">
        <v>5.11</v>
      </c>
      <c r="G32" s="175" t="n">
        <v>59.47</v>
      </c>
      <c r="H32" s="169">
        <f>ROUND(F32*G32,2)</f>
        <v/>
      </c>
      <c r="I32" s="156" t="n"/>
      <c r="J32" s="156" t="n"/>
      <c r="K32" s="130" t="n"/>
      <c r="L32" s="156" t="n"/>
    </row>
    <row r="33" ht="25.5" customFormat="1" customHeight="1" s="142">
      <c r="A33" s="244" t="n">
        <v>20</v>
      </c>
      <c r="B33" s="211" t="n"/>
      <c r="C33" s="166" t="inlineStr">
        <is>
          <t>91.08.09-023</t>
        </is>
      </c>
      <c r="D33" s="167" t="inlineStr">
        <is>
          <t>Трамбовки пневматические при работе от: передвижных компрессорных станций</t>
        </is>
      </c>
      <c r="E33" s="244" t="inlineStr">
        <is>
          <t>маш.час</t>
        </is>
      </c>
      <c r="F33" s="244" t="n">
        <v>252.28</v>
      </c>
      <c r="G33" s="175" t="n">
        <v>0.55</v>
      </c>
      <c r="H33" s="169">
        <f>ROUND(F33*G33,2)</f>
        <v/>
      </c>
      <c r="I33" s="156" t="n"/>
      <c r="J33" s="156" t="n"/>
      <c r="K33" s="130" t="n"/>
      <c r="L33" s="156" t="n"/>
    </row>
    <row r="34" customFormat="1" s="142">
      <c r="A34" s="244" t="n">
        <v>21</v>
      </c>
      <c r="B34" s="211" t="n"/>
      <c r="C34" s="166" t="inlineStr">
        <is>
          <t>91.17.04-042</t>
        </is>
      </c>
      <c r="D34" s="167" t="inlineStr">
        <is>
          <t>Аппарат для газовой сварки и резки</t>
        </is>
      </c>
      <c r="E34" s="244" t="inlineStr">
        <is>
          <t>маш.час</t>
        </is>
      </c>
      <c r="F34" s="244" t="n">
        <v>60.51</v>
      </c>
      <c r="G34" s="175" t="n">
        <v>1.2</v>
      </c>
      <c r="H34" s="169">
        <f>ROUND(F34*G34,2)</f>
        <v/>
      </c>
      <c r="I34" s="156" t="n"/>
      <c r="J34" s="156" t="n"/>
      <c r="K34" s="130" t="n"/>
      <c r="L34" s="156" t="n"/>
    </row>
    <row r="35" customFormat="1" s="142">
      <c r="A35" s="244" t="n">
        <v>22</v>
      </c>
      <c r="B35" s="211" t="n"/>
      <c r="C35" s="166" t="inlineStr">
        <is>
          <t>91.06.06-042</t>
        </is>
      </c>
      <c r="D35" s="167" t="inlineStr">
        <is>
          <t>Подъемники гидравлические высотой подъема: 10 м</t>
        </is>
      </c>
      <c r="E35" s="244" t="inlineStr">
        <is>
          <t>маш.час</t>
        </is>
      </c>
      <c r="F35" s="244" t="n">
        <v>1.29</v>
      </c>
      <c r="G35" s="175" t="n">
        <v>29.6</v>
      </c>
      <c r="H35" s="169">
        <f>ROUND(F35*G35,2)</f>
        <v/>
      </c>
      <c r="I35" s="156" t="n"/>
      <c r="J35" s="156" t="n"/>
      <c r="K35" s="130" t="n"/>
      <c r="L35" s="156" t="n"/>
    </row>
    <row r="36" customFormat="1" s="142">
      <c r="A36" s="244" t="n">
        <v>23</v>
      </c>
      <c r="B36" s="211" t="n"/>
      <c r="C36" s="166" t="inlineStr">
        <is>
          <t>91.14.03-001</t>
        </is>
      </c>
      <c r="D36" s="167" t="inlineStr">
        <is>
          <t>Автомобиль-самосвал, грузоподъемность: до 7 т</t>
        </is>
      </c>
      <c r="E36" s="244" t="inlineStr">
        <is>
          <t>маш.час</t>
        </is>
      </c>
      <c r="F36" s="244" t="n">
        <v>0.26</v>
      </c>
      <c r="G36" s="175" t="n">
        <v>89.54000000000001</v>
      </c>
      <c r="H36" s="169">
        <f>ROUND(F36*G36,2)</f>
        <v/>
      </c>
      <c r="I36" s="156" t="n"/>
      <c r="J36" s="156" t="n"/>
      <c r="K36" s="130" t="n"/>
      <c r="L36" s="156" t="n"/>
    </row>
    <row r="37" ht="25.5" customFormat="1" customHeight="1" s="142">
      <c r="A37" s="244" t="n">
        <v>24</v>
      </c>
      <c r="B37" s="211" t="n"/>
      <c r="C37" s="166" t="inlineStr">
        <is>
          <t>91.17.04-233</t>
        </is>
      </c>
      <c r="D37" s="167" t="inlineStr">
        <is>
          <t>Установки для сварки: ручной дуговой (постоянного тока)</t>
        </is>
      </c>
      <c r="E37" s="244" t="inlineStr">
        <is>
          <t>маш.час</t>
        </is>
      </c>
      <c r="F37" s="244" t="n">
        <v>1.56</v>
      </c>
      <c r="G37" s="175" t="n">
        <v>8.1</v>
      </c>
      <c r="H37" s="169">
        <f>ROUND(F37*G37,2)</f>
        <v/>
      </c>
      <c r="I37" s="156" t="n"/>
      <c r="J37" s="156" t="n"/>
      <c r="K37" s="130" t="n"/>
      <c r="L37" s="156" t="n"/>
    </row>
    <row r="38" ht="15" customHeight="1">
      <c r="A38" s="209" t="inlineStr">
        <is>
          <t>Оборудование</t>
        </is>
      </c>
      <c r="B38" s="303" t="n"/>
      <c r="C38" s="303" t="n"/>
      <c r="D38" s="303" t="n"/>
      <c r="E38" s="304" t="n"/>
      <c r="F38" s="10" t="n"/>
      <c r="G38" s="10" t="n"/>
      <c r="H38" s="307" t="n"/>
    </row>
    <row r="39">
      <c r="A39" s="210" t="inlineStr">
        <is>
          <t>Материалы</t>
        </is>
      </c>
      <c r="B39" s="303" t="n"/>
      <c r="C39" s="303" t="n"/>
      <c r="D39" s="303" t="n"/>
      <c r="E39" s="304" t="n"/>
      <c r="F39" s="210" t="n"/>
      <c r="G39" s="173" t="n"/>
      <c r="H39" s="307" t="n">
        <v>349499.89</v>
      </c>
    </row>
    <row r="40" ht="38.25" customHeight="1">
      <c r="A40" s="179" t="n">
        <v>25</v>
      </c>
      <c r="B40" s="211" t="n"/>
      <c r="C40" s="166" t="inlineStr">
        <is>
          <t>05.1.01.12-0001</t>
        </is>
      </c>
      <c r="D40" s="167" t="inlineStr">
        <is>
          <t>Плита перекрытия лотков и каналов доборная П4-15, бетон В25 (М350), объем 0,04 м3, расход арматуры 1,3 кг</t>
        </is>
      </c>
      <c r="E40" s="244" t="inlineStr">
        <is>
          <t>шт.</t>
        </is>
      </c>
      <c r="F40" s="244" t="n">
        <v>1470</v>
      </c>
      <c r="G40" s="169" t="n">
        <v>156.83</v>
      </c>
      <c r="H40" s="169" t="n">
        <v>230540.1</v>
      </c>
      <c r="I40" s="153" t="n"/>
      <c r="J40" s="156" t="n"/>
      <c r="K40" s="156" t="n"/>
    </row>
    <row r="41" ht="25.5" customHeight="1">
      <c r="A41" s="179" t="n">
        <v>26</v>
      </c>
      <c r="B41" s="211" t="n"/>
      <c r="C41" s="166" t="inlineStr">
        <is>
          <t>24.3.03.13-0421</t>
        </is>
      </c>
      <c r="D41" s="167" t="inlineStr">
        <is>
          <t>Трубы напорные полиэтиленовые, среднего типа, ПНД, номинальный наружный диаметр 160 мм</t>
        </is>
      </c>
      <c r="E41" s="244" t="inlineStr">
        <is>
          <t>м</t>
        </is>
      </c>
      <c r="F41" s="244" t="n">
        <v>287.64</v>
      </c>
      <c r="G41" s="169" t="n">
        <v>131.7</v>
      </c>
      <c r="H41" s="169" t="n">
        <v>37882.19</v>
      </c>
      <c r="I41" s="153" t="n"/>
      <c r="J41" s="156" t="n"/>
      <c r="K41" s="156" t="n"/>
    </row>
    <row r="42" ht="38.25" customHeight="1">
      <c r="A42" s="179" t="n">
        <v>27</v>
      </c>
      <c r="B42" s="211" t="n"/>
      <c r="C42" s="166" t="inlineStr">
        <is>
          <t>02.3.01.02-0016</t>
        </is>
      </c>
      <c r="D42" s="167" t="inlineStr">
        <is>
          <t>Песок природный для строительных: работ средний с крупностью зерен размером свыше 5 мм-до 5% по массе</t>
        </is>
      </c>
      <c r="E42" s="244" t="inlineStr">
        <is>
          <t>м3</t>
        </is>
      </c>
      <c r="F42" s="244" t="n">
        <v>657.8</v>
      </c>
      <c r="G42" s="169" t="n">
        <v>55.26</v>
      </c>
      <c r="H42" s="169" t="n">
        <v>36350.03</v>
      </c>
      <c r="I42" s="153" t="n"/>
      <c r="J42" s="156" t="n"/>
      <c r="K42" s="156" t="n"/>
    </row>
    <row r="43" ht="25.5" customHeight="1">
      <c r="A43" s="179" t="n">
        <v>28</v>
      </c>
      <c r="B43" s="211" t="n"/>
      <c r="C43" s="166" t="inlineStr">
        <is>
          <t>05.2.03.02-0011</t>
        </is>
      </c>
      <c r="D43" s="167" t="inlineStr">
        <is>
          <t>Камни бетонные стеновые из тяжелого бетона, марка: 50</t>
        </is>
      </c>
      <c r="E43" s="244" t="inlineStr">
        <is>
          <t>м3</t>
        </is>
      </c>
      <c r="F43" s="244" t="n">
        <v>28.7</v>
      </c>
      <c r="G43" s="169" t="n">
        <v>709.54</v>
      </c>
      <c r="H43" s="169" t="n">
        <v>20363.8</v>
      </c>
      <c r="I43" s="153" t="n"/>
      <c r="J43" s="156" t="n"/>
      <c r="K43" s="156" t="n"/>
    </row>
    <row r="44" ht="25.5" customHeight="1">
      <c r="A44" s="179" t="n">
        <v>29</v>
      </c>
      <c r="B44" s="211" t="n"/>
      <c r="C44" s="166" t="inlineStr">
        <is>
          <t>01.7.06.08-0013</t>
        </is>
      </c>
      <c r="D44" s="167" t="inlineStr">
        <is>
          <t>Лента сигнальная "Электро" с логотипом "Осторожно кабель" ЛСЭ-750 (100 мx750 мм)</t>
        </is>
      </c>
      <c r="E44" s="244" t="inlineStr">
        <is>
          <t>шт</t>
        </is>
      </c>
      <c r="F44" s="244" t="n">
        <v>9.996</v>
      </c>
      <c r="G44" s="169" t="n">
        <v>1142.82</v>
      </c>
      <c r="H44" s="169" t="n">
        <v>11423.63</v>
      </c>
      <c r="I44" s="153" t="n"/>
      <c r="J44" s="156" t="n"/>
      <c r="K44" s="156" t="n"/>
    </row>
    <row r="45" ht="25.5" customHeight="1">
      <c r="A45" s="179" t="n">
        <v>30</v>
      </c>
      <c r="B45" s="211" t="n"/>
      <c r="C45" s="166" t="inlineStr">
        <is>
          <t>24.3.03.13-0501</t>
        </is>
      </c>
      <c r="D45" s="167" t="inlineStr">
        <is>
          <t>Трубы полиэтиленовые низкого давления (ПНД) с наружным диаметром 110 мм</t>
        </is>
      </c>
      <c r="E45" s="244" t="inlineStr">
        <is>
          <t>м</t>
        </is>
      </c>
      <c r="F45" s="244" t="n">
        <v>282</v>
      </c>
      <c r="G45" s="169" t="n">
        <v>31.53</v>
      </c>
      <c r="H45" s="169" t="n">
        <v>8891.459999999999</v>
      </c>
      <c r="I45" s="153" t="n"/>
      <c r="J45" s="156" t="n"/>
      <c r="K45" s="156" t="n"/>
    </row>
    <row r="46" ht="38.25" customHeight="1">
      <c r="A46" s="179" t="n">
        <v>31</v>
      </c>
      <c r="B46" s="211" t="n"/>
      <c r="C46" s="166" t="inlineStr">
        <is>
          <t>23.3.03.02-0071</t>
        </is>
      </c>
      <c r="D46" s="167" t="inlineStr">
        <is>
          <t>Трубы стальные бесшовные, горячедеформированные со снятой фаской из стали марок 15, 20, 25, наружным диаметром: 102 мм толщина стенки 5 мм</t>
        </is>
      </c>
      <c r="E46" s="244" t="inlineStr">
        <is>
          <t>м</t>
        </is>
      </c>
      <c r="F46" s="244" t="n">
        <v>14.42</v>
      </c>
      <c r="G46" s="169" t="n">
        <v>103.5</v>
      </c>
      <c r="H46" s="169" t="n">
        <v>1492.47</v>
      </c>
      <c r="I46" s="153" t="n"/>
      <c r="J46" s="156" t="n"/>
      <c r="K46" s="156" t="n"/>
    </row>
    <row r="47">
      <c r="A47" s="179" t="n">
        <v>32</v>
      </c>
      <c r="B47" s="211" t="n"/>
      <c r="C47" s="166" t="inlineStr">
        <is>
          <t>20.2.06.05-0001</t>
        </is>
      </c>
      <c r="D47" s="167" t="inlineStr">
        <is>
          <t>Кронштейны</t>
        </is>
      </c>
      <c r="E47" s="244" t="inlineStr">
        <is>
          <t>кг</t>
        </is>
      </c>
      <c r="F47" s="244" t="n">
        <v>56.788</v>
      </c>
      <c r="G47" s="169" t="n">
        <v>9.119999999999999</v>
      </c>
      <c r="H47" s="169" t="n">
        <v>517.91</v>
      </c>
      <c r="I47" s="153" t="n"/>
      <c r="J47" s="156" t="n"/>
      <c r="K47" s="156" t="n"/>
    </row>
    <row r="48">
      <c r="A48" s="179" t="n">
        <v>33</v>
      </c>
      <c r="B48" s="211" t="n"/>
      <c r="C48" s="166" t="inlineStr">
        <is>
          <t>20.1.01.02-0050</t>
        </is>
      </c>
      <c r="D48" s="167" t="inlineStr">
        <is>
          <t>Зажим аппаратный прессуемый: А2А-150-2</t>
        </is>
      </c>
      <c r="E48" s="244" t="inlineStr">
        <is>
          <t>100 шт</t>
        </is>
      </c>
      <c r="F48" s="244" t="n">
        <v>0.1236</v>
      </c>
      <c r="G48" s="169" t="n">
        <v>2695</v>
      </c>
      <c r="H48" s="169" t="n">
        <v>333.1</v>
      </c>
      <c r="I48" s="153" t="n"/>
      <c r="J48" s="156" t="n"/>
      <c r="K48" s="156" t="n"/>
    </row>
    <row r="49">
      <c r="A49" s="179" t="n">
        <v>34</v>
      </c>
      <c r="B49" s="211" t="n"/>
      <c r="C49" s="166" t="inlineStr">
        <is>
          <t>01.3.02.08-0001</t>
        </is>
      </c>
      <c r="D49" s="167" t="inlineStr">
        <is>
          <t>Кислород технический: газообразный</t>
        </is>
      </c>
      <c r="E49" s="244" t="inlineStr">
        <is>
          <t>м3</t>
        </is>
      </c>
      <c r="F49" s="244" t="n">
        <v>49.6</v>
      </c>
      <c r="G49" s="169" t="n">
        <v>6.22</v>
      </c>
      <c r="H49" s="169" t="n">
        <v>308.51</v>
      </c>
      <c r="I49" s="153" t="n"/>
      <c r="J49" s="156" t="n"/>
      <c r="K49" s="156" t="n"/>
    </row>
    <row r="50">
      <c r="A50" s="179" t="n">
        <v>35</v>
      </c>
      <c r="B50" s="211" t="n"/>
      <c r="C50" s="166" t="inlineStr">
        <is>
          <t>01.7.07.29-0221</t>
        </is>
      </c>
      <c r="D50" s="167" t="inlineStr">
        <is>
          <t>Уплотнительный состав</t>
        </is>
      </c>
      <c r="E50" s="244" t="inlineStr">
        <is>
          <t>кг</t>
        </is>
      </c>
      <c r="F50" s="244" t="n">
        <v>17.28</v>
      </c>
      <c r="G50" s="169" t="n">
        <v>16.7</v>
      </c>
      <c r="H50" s="169" t="n">
        <v>288.58</v>
      </c>
      <c r="I50" s="153" t="n"/>
      <c r="J50" s="156" t="n"/>
      <c r="K50" s="156" t="n"/>
    </row>
    <row r="51">
      <c r="A51" s="179" t="n">
        <v>36</v>
      </c>
      <c r="B51" s="211" t="n"/>
      <c r="C51" s="166" t="inlineStr">
        <is>
          <t>01.3.02.03-0001</t>
        </is>
      </c>
      <c r="D51" s="167" t="inlineStr">
        <is>
          <t>Ацетилен газообразный технический</t>
        </is>
      </c>
      <c r="E51" s="244" t="inlineStr">
        <is>
          <t>м3</t>
        </is>
      </c>
      <c r="F51" s="244" t="n">
        <v>6.448</v>
      </c>
      <c r="G51" s="169" t="n">
        <v>38.51</v>
      </c>
      <c r="H51" s="169" t="n">
        <v>248.31</v>
      </c>
      <c r="I51" s="153" t="n"/>
      <c r="J51" s="156" t="n"/>
      <c r="K51" s="156" t="n"/>
    </row>
    <row r="52" ht="25.5" customHeight="1">
      <c r="A52" s="179" t="n">
        <v>37</v>
      </c>
      <c r="B52" s="211" t="n"/>
      <c r="C52" s="166" t="inlineStr">
        <is>
          <t>08.3.08.02-0052</t>
        </is>
      </c>
      <c r="D52" s="167" t="inlineStr">
        <is>
          <t>Сталь угловая равнополочная, марка стали: ВСт3кп2, размером 50x50x5 мм</t>
        </is>
      </c>
      <c r="E52" s="244" t="inlineStr">
        <is>
          <t>т</t>
        </is>
      </c>
      <c r="F52" s="244" t="n">
        <v>0.0356</v>
      </c>
      <c r="G52" s="169" t="n">
        <v>5763</v>
      </c>
      <c r="H52" s="169" t="n">
        <v>205.16</v>
      </c>
      <c r="I52" s="153" t="n"/>
      <c r="J52" s="156" t="n"/>
      <c r="K52" s="156" t="n"/>
    </row>
    <row r="53" ht="25.5" customHeight="1">
      <c r="A53" s="179" t="n">
        <v>38</v>
      </c>
      <c r="B53" s="211" t="n"/>
      <c r="C53" s="166" t="inlineStr">
        <is>
          <t>01.7.15.03-0032</t>
        </is>
      </c>
      <c r="D53" s="167" t="inlineStr">
        <is>
          <t>Болты с гайками и шайбами оцинкованные, диаметр: 8 мм</t>
        </is>
      </c>
      <c r="E53" s="244" t="inlineStr">
        <is>
          <t>кг</t>
        </is>
      </c>
      <c r="F53" s="244" t="n">
        <v>6.01556</v>
      </c>
      <c r="G53" s="169" t="n">
        <v>26.94</v>
      </c>
      <c r="H53" s="169" t="n">
        <v>162.06</v>
      </c>
      <c r="I53" s="153" t="n"/>
      <c r="J53" s="156" t="n"/>
      <c r="K53" s="156" t="n"/>
    </row>
    <row r="54">
      <c r="A54" s="179" t="n">
        <v>39</v>
      </c>
      <c r="B54" s="211" t="n"/>
      <c r="C54" s="166" t="inlineStr">
        <is>
          <t>01.7.06.08-0011</t>
        </is>
      </c>
      <c r="D54" s="167" t="inlineStr">
        <is>
          <t>Лента сигнальная "Электра" ЛСЭ 150</t>
        </is>
      </c>
      <c r="E54" s="244" t="inlineStr">
        <is>
          <t>100 м</t>
        </is>
      </c>
      <c r="F54" s="244" t="n">
        <v>1.3668</v>
      </c>
      <c r="G54" s="169" t="n">
        <v>70.37</v>
      </c>
      <c r="H54" s="169" t="n">
        <v>96.18000000000001</v>
      </c>
      <c r="I54" s="153" t="n"/>
      <c r="J54" s="156" t="n"/>
      <c r="K54" s="156" t="n"/>
    </row>
    <row r="55" ht="25.5" customHeight="1">
      <c r="A55" s="179" t="n">
        <v>40</v>
      </c>
      <c r="B55" s="211" t="n"/>
      <c r="C55" s="166" t="inlineStr">
        <is>
          <t>01.7.15.03-0034</t>
        </is>
      </c>
      <c r="D55" s="167" t="inlineStr">
        <is>
          <t>Болты с гайками и шайбами оцинкованные, диаметр: 12 мм</t>
        </is>
      </c>
      <c r="E55" s="244" t="inlineStr">
        <is>
          <t>кг</t>
        </is>
      </c>
      <c r="F55" s="244" t="n">
        <v>3.56328</v>
      </c>
      <c r="G55" s="169" t="n">
        <v>25.76</v>
      </c>
      <c r="H55" s="169" t="n">
        <v>91.79000000000001</v>
      </c>
      <c r="I55" s="153" t="n"/>
      <c r="J55" s="156" t="n"/>
      <c r="K55" s="156" t="n"/>
    </row>
    <row r="56">
      <c r="A56" s="179" t="n">
        <v>41</v>
      </c>
      <c r="B56" s="211" t="n"/>
      <c r="C56" s="166" t="inlineStr">
        <is>
          <t>14.4.04.11-0010</t>
        </is>
      </c>
      <c r="D56" s="167" t="inlineStr">
        <is>
          <t>Эмаль ХС-720 серебристая антикоррозийная</t>
        </is>
      </c>
      <c r="E56" s="244" t="inlineStr">
        <is>
          <t>т</t>
        </is>
      </c>
      <c r="F56" s="244" t="n">
        <v>0.0014</v>
      </c>
      <c r="G56" s="169" t="n">
        <v>35001</v>
      </c>
      <c r="H56" s="169" t="n">
        <v>49</v>
      </c>
      <c r="I56" s="153" t="n"/>
      <c r="J56" s="156" t="n"/>
      <c r="K56" s="156" t="n"/>
    </row>
    <row r="57" ht="25.5" customHeight="1">
      <c r="A57" s="179" t="n">
        <v>42</v>
      </c>
      <c r="B57" s="211" t="n"/>
      <c r="C57" s="166" t="inlineStr">
        <is>
          <t>08.3.05.02-0101</t>
        </is>
      </c>
      <c r="D57" s="167" t="inlineStr">
        <is>
          <t>Сталь листовая углеродистая обыкновенного качества марки ВСт3пс5 толщиной: 4-6 мм</t>
        </is>
      </c>
      <c r="E57" s="244" t="inlineStr">
        <is>
          <t>т</t>
        </is>
      </c>
      <c r="F57" s="244" t="n">
        <v>0.0074</v>
      </c>
      <c r="G57" s="169" t="n">
        <v>5763</v>
      </c>
      <c r="H57" s="169" t="n">
        <v>42.65</v>
      </c>
      <c r="I57" s="153" t="n"/>
      <c r="J57" s="156" t="n"/>
      <c r="K57" s="156" t="n"/>
    </row>
    <row r="58" ht="25.5" customHeight="1">
      <c r="A58" s="179" t="n">
        <v>43</v>
      </c>
      <c r="B58" s="211" t="n"/>
      <c r="C58" s="166" t="inlineStr">
        <is>
          <t>01.1.01.09-0024</t>
        </is>
      </c>
      <c r="D58" s="167" t="inlineStr">
        <is>
          <t>Шнур асбестовый общего назначения марки: ШАОН диаметром 3-5 мм</t>
        </is>
      </c>
      <c r="E58" s="244" t="inlineStr">
        <is>
          <t>т</t>
        </is>
      </c>
      <c r="F58" s="244" t="n">
        <v>0.0014</v>
      </c>
      <c r="G58" s="169" t="n">
        <v>26950</v>
      </c>
      <c r="H58" s="169" t="n">
        <v>37.73</v>
      </c>
      <c r="I58" s="153" t="n"/>
      <c r="J58" s="156" t="n"/>
      <c r="K58" s="156" t="n"/>
    </row>
    <row r="59">
      <c r="A59" s="179" t="n">
        <v>44</v>
      </c>
      <c r="B59" s="211" t="n"/>
      <c r="C59" s="166" t="inlineStr">
        <is>
          <t>01.7.07.29-0111</t>
        </is>
      </c>
      <c r="D59" s="167" t="inlineStr">
        <is>
          <t>Пакля пропитанная</t>
        </is>
      </c>
      <c r="E59" s="244" t="inlineStr">
        <is>
          <t>кг</t>
        </is>
      </c>
      <c r="F59" s="244" t="n">
        <v>3.6</v>
      </c>
      <c r="G59" s="169" t="n">
        <v>9.039999999999999</v>
      </c>
      <c r="H59" s="169" t="n">
        <v>32.54</v>
      </c>
      <c r="I59" s="153" t="n"/>
      <c r="J59" s="156" t="n"/>
      <c r="K59" s="156" t="n"/>
    </row>
    <row r="60">
      <c r="A60" s="179" t="n">
        <v>45</v>
      </c>
      <c r="B60" s="211" t="n"/>
      <c r="C60" s="166" t="inlineStr">
        <is>
          <t>01.3.01.01-0001</t>
        </is>
      </c>
      <c r="D60" s="167" t="inlineStr">
        <is>
          <t>Бензин авиационный Б-70</t>
        </is>
      </c>
      <c r="E60" s="244" t="inlineStr">
        <is>
          <t>т</t>
        </is>
      </c>
      <c r="F60" s="244" t="n">
        <v>0.0072</v>
      </c>
      <c r="G60" s="169" t="n">
        <v>4488.4</v>
      </c>
      <c r="H60" s="169" t="n">
        <v>32.32</v>
      </c>
      <c r="I60" s="153" t="n"/>
      <c r="J60" s="156" t="n"/>
      <c r="K60" s="156" t="n"/>
    </row>
    <row r="61" ht="25.5" customHeight="1">
      <c r="A61" s="179" t="n">
        <v>46</v>
      </c>
      <c r="B61" s="211" t="n"/>
      <c r="C61" s="166" t="inlineStr">
        <is>
          <t>999-9950</t>
        </is>
      </c>
      <c r="D61" s="167" t="inlineStr">
        <is>
          <t>Вспомогательные ненормируемые ресурсы (2% от Оплаты труда рабочих)</t>
        </is>
      </c>
      <c r="E61" s="244" t="inlineStr">
        <is>
          <t>руб.</t>
        </is>
      </c>
      <c r="F61" s="244" t="n">
        <v>31.7677</v>
      </c>
      <c r="G61" s="169" t="n">
        <v>1</v>
      </c>
      <c r="H61" s="169" t="n">
        <v>31.77</v>
      </c>
      <c r="I61" s="153" t="n"/>
      <c r="J61" s="156" t="n"/>
      <c r="K61" s="156" t="n"/>
    </row>
    <row r="62" ht="25.5" customHeight="1">
      <c r="A62" s="179" t="n">
        <v>47</v>
      </c>
      <c r="B62" s="211" t="n"/>
      <c r="C62" s="166" t="inlineStr">
        <is>
          <t>11.1.03.03-0003</t>
        </is>
      </c>
      <c r="D62" s="167" t="inlineStr">
        <is>
          <t>Брусья необрезные хвойных пород длиной: 2-3,75 м, все ширины, толщиной 100-125 мм, III сорта</t>
        </is>
      </c>
      <c r="E62" s="244" t="inlineStr">
        <is>
          <t>м3</t>
        </is>
      </c>
      <c r="F62" s="244" t="n">
        <v>0.0225</v>
      </c>
      <c r="G62" s="169" t="n">
        <v>802.46</v>
      </c>
      <c r="H62" s="169" t="n">
        <v>18.06</v>
      </c>
      <c r="I62" s="153" t="n"/>
      <c r="J62" s="156" t="n"/>
      <c r="K62" s="156" t="n"/>
    </row>
    <row r="63" ht="25.5" customHeight="1">
      <c r="A63" s="179" t="n">
        <v>48</v>
      </c>
      <c r="B63" s="211" t="n"/>
      <c r="C63" s="166" t="inlineStr">
        <is>
          <t>02.2.05.04-0093</t>
        </is>
      </c>
      <c r="D63" s="167" t="inlineStr">
        <is>
          <t>Щебень из природного камня для строительных работ марка: 800, фракция 20-40 мм</t>
        </is>
      </c>
      <c r="E63" s="244" t="inlineStr">
        <is>
          <t>м3</t>
        </is>
      </c>
      <c r="F63" s="244" t="n">
        <v>0.1309</v>
      </c>
      <c r="G63" s="169" t="n">
        <v>108.4</v>
      </c>
      <c r="H63" s="169" t="n">
        <v>14.19</v>
      </c>
      <c r="I63" s="153" t="n"/>
      <c r="J63" s="156" t="n"/>
      <c r="K63" s="156" t="n"/>
    </row>
    <row r="64">
      <c r="A64" s="179" t="n">
        <v>49</v>
      </c>
      <c r="B64" s="211" t="n"/>
      <c r="C64" s="166" t="inlineStr">
        <is>
          <t>01.7.11.07-0034</t>
        </is>
      </c>
      <c r="D64" s="167" t="inlineStr">
        <is>
          <t>Электроды диаметром: 4 мм Э42А</t>
        </is>
      </c>
      <c r="E64" s="244" t="inlineStr">
        <is>
          <t>кг</t>
        </is>
      </c>
      <c r="F64" s="244" t="n">
        <v>1.2487</v>
      </c>
      <c r="G64" s="169" t="n">
        <v>10.57</v>
      </c>
      <c r="H64" s="169" t="n">
        <v>13.2</v>
      </c>
      <c r="I64" s="153" t="n"/>
      <c r="J64" s="156" t="n"/>
      <c r="K64" s="156" t="n"/>
    </row>
    <row r="65">
      <c r="A65" s="179" t="n">
        <v>50</v>
      </c>
      <c r="B65" s="211" t="n"/>
      <c r="C65" s="166" t="inlineStr">
        <is>
          <t>20.2.08.07-0033</t>
        </is>
      </c>
      <c r="D65" s="167" t="inlineStr">
        <is>
          <t>Скоба: У1078</t>
        </is>
      </c>
      <c r="E65" s="244" t="inlineStr">
        <is>
          <t>100 шт</t>
        </is>
      </c>
      <c r="F65" s="244" t="n">
        <v>0.0176</v>
      </c>
      <c r="G65" s="169" t="n">
        <v>617</v>
      </c>
      <c r="H65" s="169" t="n">
        <v>10.86</v>
      </c>
      <c r="I65" s="153" t="n"/>
      <c r="J65" s="156" t="n"/>
      <c r="K65" s="156" t="n"/>
    </row>
    <row r="66">
      <c r="A66" s="179" t="n">
        <v>51</v>
      </c>
      <c r="B66" s="211" t="n"/>
      <c r="C66" s="166" t="inlineStr">
        <is>
          <t>01.7.15.07-0014</t>
        </is>
      </c>
      <c r="D66" s="167" t="inlineStr">
        <is>
          <t>Дюбели распорные полипропиленовые</t>
        </is>
      </c>
      <c r="E66" s="244" t="inlineStr">
        <is>
          <t>100 шт</t>
        </is>
      </c>
      <c r="F66" s="244" t="n">
        <v>0.064</v>
      </c>
      <c r="G66" s="169" t="n">
        <v>86</v>
      </c>
      <c r="H66" s="169" t="n">
        <v>5.5</v>
      </c>
      <c r="I66" s="153" t="n"/>
      <c r="J66" s="156" t="n"/>
      <c r="K66" s="156" t="n"/>
    </row>
    <row r="67">
      <c r="A67" s="179" t="n">
        <v>52</v>
      </c>
      <c r="B67" s="211" t="n"/>
      <c r="C67" s="166" t="inlineStr">
        <is>
          <t>14.4.03.03-0002</t>
        </is>
      </c>
      <c r="D67" s="167" t="inlineStr">
        <is>
          <t>Лак битумный: БТ-123</t>
        </is>
      </c>
      <c r="E67" s="244" t="inlineStr">
        <is>
          <t>т</t>
        </is>
      </c>
      <c r="F67" s="244" t="n">
        <v>0.0005999999999999999</v>
      </c>
      <c r="G67" s="169" t="n">
        <v>7826.9</v>
      </c>
      <c r="H67" s="169" t="n">
        <v>4.7</v>
      </c>
      <c r="I67" s="153" t="n"/>
      <c r="J67" s="156" t="n"/>
      <c r="K67" s="156" t="n"/>
    </row>
    <row r="68">
      <c r="A68" s="179" t="n">
        <v>53</v>
      </c>
      <c r="B68" s="211" t="n"/>
      <c r="C68" s="166" t="inlineStr">
        <is>
          <t>14.4.02.09-0001</t>
        </is>
      </c>
      <c r="D68" s="167" t="inlineStr">
        <is>
          <t>Краска</t>
        </is>
      </c>
      <c r="E68" s="244" t="inlineStr">
        <is>
          <t>кг</t>
        </is>
      </c>
      <c r="F68" s="244" t="n">
        <v>0.13</v>
      </c>
      <c r="G68" s="169" t="n">
        <v>28.6</v>
      </c>
      <c r="H68" s="169" t="n">
        <v>3.72</v>
      </c>
      <c r="I68" s="153" t="n"/>
      <c r="J68" s="156" t="n"/>
      <c r="K68" s="156" t="n"/>
    </row>
    <row r="69">
      <c r="A69" s="179" t="n">
        <v>54</v>
      </c>
      <c r="B69" s="211" t="n"/>
      <c r="C69" s="166" t="inlineStr">
        <is>
          <t>01.7.06.07-0001</t>
        </is>
      </c>
      <c r="D69" s="167" t="inlineStr">
        <is>
          <t>Лента К226</t>
        </is>
      </c>
      <c r="E69" s="244" t="inlineStr">
        <is>
          <t>100 м</t>
        </is>
      </c>
      <c r="F69" s="244" t="n">
        <v>0.0216</v>
      </c>
      <c r="G69" s="169" t="n">
        <v>120</v>
      </c>
      <c r="H69" s="169" t="n">
        <v>2.59</v>
      </c>
      <c r="I69" s="153" t="n"/>
      <c r="J69" s="156" t="n"/>
      <c r="K69" s="156" t="n"/>
    </row>
    <row r="70">
      <c r="A70" s="179" t="n">
        <v>55</v>
      </c>
      <c r="B70" s="211" t="n"/>
      <c r="C70" s="166" t="inlineStr">
        <is>
          <t>01.3.01.01-0002</t>
        </is>
      </c>
      <c r="D70" s="167" t="inlineStr">
        <is>
          <t>Бензин автомобильный АИ-98, АИ-95 «Экстра», АИ-93</t>
        </is>
      </c>
      <c r="E70" s="244" t="inlineStr">
        <is>
          <t>т</t>
        </is>
      </c>
      <c r="F70" s="244" t="n">
        <v>0.0003</v>
      </c>
      <c r="G70" s="169" t="n">
        <v>4770</v>
      </c>
      <c r="H70" s="169" t="n">
        <v>1.43</v>
      </c>
      <c r="I70" s="153" t="n"/>
      <c r="J70" s="156" t="n"/>
      <c r="K70" s="156" t="n"/>
    </row>
    <row r="71">
      <c r="A71" s="179" t="n">
        <v>56</v>
      </c>
      <c r="B71" s="211" t="n"/>
      <c r="C71" s="166" t="inlineStr">
        <is>
          <t>01.7.15.03-0042</t>
        </is>
      </c>
      <c r="D71" s="167" t="inlineStr">
        <is>
          <t>Болты с гайками и шайбами строительные</t>
        </is>
      </c>
      <c r="E71" s="244" t="inlineStr">
        <is>
          <t>кг</t>
        </is>
      </c>
      <c r="F71" s="244" t="n">
        <v>0.148</v>
      </c>
      <c r="G71" s="169" t="n">
        <v>9.039999999999999</v>
      </c>
      <c r="H71" s="169" t="n">
        <v>1.34</v>
      </c>
      <c r="I71" s="153" t="n"/>
      <c r="J71" s="156" t="n"/>
      <c r="K71" s="156" t="n"/>
    </row>
    <row r="72">
      <c r="A72" s="179" t="n">
        <v>57</v>
      </c>
      <c r="B72" s="211" t="n"/>
      <c r="C72" s="166" t="inlineStr">
        <is>
          <t>20.2.02.01-0019</t>
        </is>
      </c>
      <c r="D72" s="167" t="inlineStr">
        <is>
          <t>Втулки изолирующие</t>
        </is>
      </c>
      <c r="E72" s="244" t="inlineStr">
        <is>
          <t>1000 шт</t>
        </is>
      </c>
      <c r="F72" s="244" t="n">
        <v>0.004</v>
      </c>
      <c r="G72" s="169" t="n">
        <v>270</v>
      </c>
      <c r="H72" s="169" t="n">
        <v>1.08</v>
      </c>
      <c r="I72" s="153" t="n"/>
      <c r="J72" s="156" t="n"/>
      <c r="K72" s="156" t="n"/>
    </row>
    <row r="73">
      <c r="A73" s="179" t="n">
        <v>58</v>
      </c>
      <c r="B73" s="211" t="n"/>
      <c r="C73" s="166" t="inlineStr">
        <is>
          <t>01.7.06.12-0008</t>
        </is>
      </c>
      <c r="D73" s="167" t="inlineStr">
        <is>
          <t>Лента ПХВ-304</t>
        </is>
      </c>
      <c r="E73" s="244" t="inlineStr">
        <is>
          <t>кг</t>
        </is>
      </c>
      <c r="F73" s="244" t="n">
        <v>0.04</v>
      </c>
      <c r="G73" s="169" t="n">
        <v>24.04</v>
      </c>
      <c r="H73" s="169" t="n">
        <v>0.96</v>
      </c>
      <c r="I73" s="153" t="n"/>
      <c r="J73" s="156" t="n"/>
      <c r="K73" s="156" t="n"/>
    </row>
    <row r="74">
      <c r="A74" s="179" t="n">
        <v>59</v>
      </c>
      <c r="B74" s="211" t="n"/>
      <c r="C74" s="166" t="inlineStr">
        <is>
          <t>01.3.01.05-0009</t>
        </is>
      </c>
      <c r="D74" s="167" t="inlineStr">
        <is>
          <t>Парафины нефтяные твердые марки Т-1</t>
        </is>
      </c>
      <c r="E74" s="244" t="inlineStr">
        <is>
          <t>т</t>
        </is>
      </c>
      <c r="F74" s="244" t="n">
        <v>0.0001</v>
      </c>
      <c r="G74" s="169" t="n">
        <v>8105.71</v>
      </c>
      <c r="H74" s="169" t="n">
        <v>0.8100000000000001</v>
      </c>
      <c r="I74" s="153" t="n"/>
      <c r="J74" s="156" t="n"/>
      <c r="K74" s="156" t="n"/>
    </row>
    <row r="75" ht="25.5" customHeight="1">
      <c r="A75" s="179" t="n">
        <v>60</v>
      </c>
      <c r="B75" s="211" t="n"/>
      <c r="C75" s="166" t="inlineStr">
        <is>
          <t>03.2.01.01-0001</t>
        </is>
      </c>
      <c r="D75" s="167" t="inlineStr">
        <is>
          <t>Портландцемент общестроительного назначения бездобавочный, марки: 400</t>
        </is>
      </c>
      <c r="E75" s="244" t="inlineStr">
        <is>
          <t>т</t>
        </is>
      </c>
      <c r="F75" s="244" t="n">
        <v>0.0004</v>
      </c>
      <c r="G75" s="169" t="n">
        <v>412</v>
      </c>
      <c r="H75" s="169" t="n">
        <v>0.16</v>
      </c>
      <c r="I75" s="153" t="n"/>
      <c r="J75" s="156" t="n"/>
      <c r="K75" s="156" t="n"/>
    </row>
    <row r="78">
      <c r="B78" s="130" t="inlineStr">
        <is>
          <t>Составил ______________________     Д.Ю. Нефедова</t>
        </is>
      </c>
    </row>
    <row r="79">
      <c r="B79" s="131" t="inlineStr">
        <is>
          <t xml:space="preserve">                         (подпись, инициалы, фамилия)</t>
        </is>
      </c>
    </row>
    <row r="81">
      <c r="B81" s="130" t="inlineStr">
        <is>
          <t>Проверил ______________________        А.В. Костянецкая</t>
        </is>
      </c>
    </row>
    <row r="82">
      <c r="B82" s="131" t="inlineStr">
        <is>
          <t xml:space="preserve">                        (подпись, инициалы, фамилия)</t>
        </is>
      </c>
    </row>
  </sheetData>
  <mergeCells count="16">
    <mergeCell ref="A39:E39"/>
    <mergeCell ref="A3:H3"/>
    <mergeCell ref="A8:A9"/>
    <mergeCell ref="A20:E20"/>
    <mergeCell ref="C8:C9"/>
    <mergeCell ref="E8:E9"/>
    <mergeCell ref="F8:F9"/>
    <mergeCell ref="A38:E38"/>
    <mergeCell ref="A2:H2"/>
    <mergeCell ref="A11:E11"/>
    <mergeCell ref="D8:D9"/>
    <mergeCell ref="B8:B9"/>
    <mergeCell ref="C4:H4"/>
    <mergeCell ref="G8:H8"/>
    <mergeCell ref="A22:E22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3" zoomScale="130" zoomScaleSheetLayoutView="130" workbookViewId="0">
      <selection activeCell="D44" sqref="D44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39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193" t="inlineStr">
        <is>
          <t>Ресурсная модель</t>
        </is>
      </c>
    </row>
    <row r="6">
      <c r="B6" s="152" t="n"/>
      <c r="C6" s="4" t="n"/>
      <c r="D6" s="4" t="n"/>
      <c r="E6" s="4" t="n"/>
    </row>
    <row r="7" ht="38.25" customHeight="1">
      <c r="B7" s="218" t="inlineStr">
        <is>
          <t>Наименование разрабатываемого показателя УНЦ — Устройство траншеи КЛ (две цепи) и восстановление благоустройства по трассе без учета восстановления газонов (все регионы) напряжение 20-35 кВ</t>
        </is>
      </c>
    </row>
    <row r="8">
      <c r="B8" s="219" t="inlineStr">
        <is>
          <t>Единица измерения  — 1 км.</t>
        </is>
      </c>
    </row>
    <row r="9">
      <c r="B9" s="152" t="n"/>
      <c r="C9" s="4" t="n"/>
      <c r="D9" s="4" t="n"/>
      <c r="E9" s="4" t="n"/>
    </row>
    <row r="10" ht="51" customHeight="1">
      <c r="B10" s="223" t="inlineStr">
        <is>
          <t>Наименование</t>
        </is>
      </c>
      <c r="C10" s="223" t="inlineStr">
        <is>
          <t>Сметная стоимость в ценах на 01.01.2023
 (руб.)</t>
        </is>
      </c>
      <c r="D10" s="223" t="inlineStr">
        <is>
          <t>Удельный вес, 
(в СМР)</t>
        </is>
      </c>
      <c r="E10" s="223" t="inlineStr">
        <is>
          <t>Удельный вес, % 
(от всего по РМ)</t>
        </is>
      </c>
    </row>
    <row r="11">
      <c r="B11" s="145" t="inlineStr">
        <is>
          <t>Оплата труда рабочих</t>
        </is>
      </c>
      <c r="C11" s="146">
        <f>'Прил.5 Расчет СМР и ОБ'!J15</f>
        <v/>
      </c>
      <c r="D11" s="147">
        <f>C11/$C$24</f>
        <v/>
      </c>
      <c r="E11" s="147">
        <f>C11/$C$40</f>
        <v/>
      </c>
    </row>
    <row r="12">
      <c r="B12" s="145" t="inlineStr">
        <is>
          <t>Эксплуатация машин основных</t>
        </is>
      </c>
      <c r="C12" s="146">
        <f>'Прил.5 Расчет СМР и ОБ'!J25</f>
        <v/>
      </c>
      <c r="D12" s="147">
        <f>C12/$C$24</f>
        <v/>
      </c>
      <c r="E12" s="147">
        <f>C12/$C$40</f>
        <v/>
      </c>
    </row>
    <row r="13">
      <c r="B13" s="145" t="inlineStr">
        <is>
          <t>Эксплуатация машин прочих</t>
        </is>
      </c>
      <c r="C13" s="146">
        <f>'Прил.5 Расчет СМР и ОБ'!J36</f>
        <v/>
      </c>
      <c r="D13" s="147">
        <f>C13/$C$24</f>
        <v/>
      </c>
      <c r="E13" s="147">
        <f>C13/$C$40</f>
        <v/>
      </c>
    </row>
    <row r="14">
      <c r="B14" s="145" t="inlineStr">
        <is>
          <t>ЭКСПЛУАТАЦИЯ МАШИН, ВСЕГО:</t>
        </is>
      </c>
      <c r="C14" s="146">
        <f>C13+C12</f>
        <v/>
      </c>
      <c r="D14" s="147">
        <f>C14/$C$24</f>
        <v/>
      </c>
      <c r="E14" s="147">
        <f>C14/$C$40</f>
        <v/>
      </c>
    </row>
    <row r="15">
      <c r="B15" s="145" t="inlineStr">
        <is>
          <t>в том числе зарплата машинистов</t>
        </is>
      </c>
      <c r="C15" s="146">
        <f>'Прил.5 Расчет СМР и ОБ'!J17</f>
        <v/>
      </c>
      <c r="D15" s="147">
        <f>C15/$C$24</f>
        <v/>
      </c>
      <c r="E15" s="147">
        <f>C15/$C$40</f>
        <v/>
      </c>
    </row>
    <row r="16">
      <c r="B16" s="145" t="inlineStr">
        <is>
          <t>Материалы основные</t>
        </is>
      </c>
      <c r="C16" s="146">
        <f>'Прил.5 Расчет СМР и ОБ'!J49</f>
        <v/>
      </c>
      <c r="D16" s="147">
        <f>C16/$C$24</f>
        <v/>
      </c>
      <c r="E16" s="147">
        <f>C16/$C$40</f>
        <v/>
      </c>
    </row>
    <row r="17">
      <c r="B17" s="145" t="inlineStr">
        <is>
          <t>Материалы прочие</t>
        </is>
      </c>
      <c r="C17" s="146">
        <f>'Прил.5 Расчет СМР и ОБ'!J83</f>
        <v/>
      </c>
      <c r="D17" s="147">
        <f>C17/$C$24</f>
        <v/>
      </c>
      <c r="E17" s="147">
        <f>C17/$C$40</f>
        <v/>
      </c>
      <c r="G17" s="311" t="n"/>
    </row>
    <row r="18">
      <c r="B18" s="145" t="inlineStr">
        <is>
          <t>МАТЕРИАЛЫ, ВСЕГО:</t>
        </is>
      </c>
      <c r="C18" s="146">
        <f>C17+C16</f>
        <v/>
      </c>
      <c r="D18" s="147">
        <f>C18/$C$24</f>
        <v/>
      </c>
      <c r="E18" s="147">
        <f>C18/$C$40</f>
        <v/>
      </c>
    </row>
    <row r="19">
      <c r="B19" s="145" t="inlineStr">
        <is>
          <t>ИТОГО</t>
        </is>
      </c>
      <c r="C19" s="146">
        <f>C18+C14+C11</f>
        <v/>
      </c>
      <c r="D19" s="147" t="n"/>
      <c r="E19" s="145" t="n"/>
    </row>
    <row r="20">
      <c r="B20" s="145" t="inlineStr">
        <is>
          <t>Сметная прибыль, руб.</t>
        </is>
      </c>
      <c r="C20" s="146">
        <f>ROUND(C21*(C11+C15),2)</f>
        <v/>
      </c>
      <c r="D20" s="147">
        <f>C20/$C$24</f>
        <v/>
      </c>
      <c r="E20" s="147">
        <f>C20/$C$40</f>
        <v/>
      </c>
    </row>
    <row r="21">
      <c r="B21" s="145" t="inlineStr">
        <is>
          <t>Сметная прибыль, %</t>
        </is>
      </c>
      <c r="C21" s="150">
        <f>'Прил.5 Расчет СМР и ОБ'!D87</f>
        <v/>
      </c>
      <c r="D21" s="147" t="n"/>
      <c r="E21" s="145" t="n"/>
    </row>
    <row r="22">
      <c r="B22" s="145" t="inlineStr">
        <is>
          <t>Накладные расходы, руб.</t>
        </is>
      </c>
      <c r="C22" s="146">
        <f>ROUND(C23*(C11+C15),2)</f>
        <v/>
      </c>
      <c r="D22" s="147">
        <f>C22/$C$24</f>
        <v/>
      </c>
      <c r="E22" s="147">
        <f>C22/$C$40</f>
        <v/>
      </c>
    </row>
    <row r="23">
      <c r="B23" s="145" t="inlineStr">
        <is>
          <t>Накладные расходы, %</t>
        </is>
      </c>
      <c r="C23" s="150">
        <f>'Прил.5 Расчет СМР и ОБ'!D86</f>
        <v/>
      </c>
      <c r="D23" s="147" t="n"/>
      <c r="E23" s="145" t="n"/>
    </row>
    <row r="24">
      <c r="B24" s="145" t="inlineStr">
        <is>
          <t>ВСЕГО СМР с НР и СП</t>
        </is>
      </c>
      <c r="C24" s="146">
        <f>C19+C20+C22</f>
        <v/>
      </c>
      <c r="D24" s="147">
        <f>C24/$C$24</f>
        <v/>
      </c>
      <c r="E24" s="147">
        <f>C24/$C$40</f>
        <v/>
      </c>
    </row>
    <row r="25" ht="25.5" customHeight="1">
      <c r="B25" s="145" t="inlineStr">
        <is>
          <t>ВСЕГО стоимость оборудования, в том числе</t>
        </is>
      </c>
      <c r="C25" s="146">
        <f>'Прил.5 Расчет СМР и ОБ'!J42</f>
        <v/>
      </c>
      <c r="D25" s="147" t="n"/>
      <c r="E25" s="147">
        <f>C25/$C$40</f>
        <v/>
      </c>
    </row>
    <row r="26" ht="25.5" customHeight="1">
      <c r="B26" s="145" t="inlineStr">
        <is>
          <t>стоимость оборудования технологического</t>
        </is>
      </c>
      <c r="C26" s="146">
        <f>'Прил.5 Расчет СМР и ОБ'!J43</f>
        <v/>
      </c>
      <c r="D26" s="147" t="n"/>
      <c r="E26" s="147">
        <f>C26/$C$40</f>
        <v/>
      </c>
    </row>
    <row r="27">
      <c r="B27" s="145" t="inlineStr">
        <is>
          <t>ИТОГО (СМР + ОБОРУДОВАНИЕ)</t>
        </is>
      </c>
      <c r="C27" s="149">
        <f>C24+C25</f>
        <v/>
      </c>
      <c r="D27" s="147" t="n"/>
      <c r="E27" s="147">
        <f>C27/$C$40</f>
        <v/>
      </c>
    </row>
    <row r="28" ht="33" customHeight="1">
      <c r="B28" s="145" t="inlineStr">
        <is>
          <t>ПРОЧ. ЗАТР., УЧТЕННЫЕ ПОКАЗАТЕЛЕМ,  в том числе</t>
        </is>
      </c>
      <c r="C28" s="145" t="n"/>
      <c r="D28" s="145" t="n"/>
      <c r="E28" s="145" t="n"/>
      <c r="F28" s="148" t="n"/>
    </row>
    <row r="29" ht="25.5" customHeight="1">
      <c r="B29" s="145" t="inlineStr">
        <is>
          <t>Временные здания и сооружения - 2,5%</t>
        </is>
      </c>
      <c r="C29" s="149">
        <f>ROUND(C24*2.5%,2)</f>
        <v/>
      </c>
      <c r="D29" s="145" t="n"/>
      <c r="E29" s="147">
        <f>C29/$C$40</f>
        <v/>
      </c>
    </row>
    <row r="30" ht="38.25" customHeight="1">
      <c r="B30" s="145" t="inlineStr">
        <is>
          <t>Дополнительные затраты при производстве строительно-монтажных работ в зимнее время - 2,1%</t>
        </is>
      </c>
      <c r="C30" s="149">
        <f>ROUND((C24+C29)*2.1%,2)</f>
        <v/>
      </c>
      <c r="D30" s="145" t="n"/>
      <c r="E30" s="147">
        <f>C30/$C$40</f>
        <v/>
      </c>
      <c r="F30" s="148" t="n"/>
    </row>
    <row r="31">
      <c r="B31" s="145" t="inlineStr">
        <is>
          <t>Пусконаладочные работы</t>
        </is>
      </c>
      <c r="C31" s="149" t="n">
        <v>0</v>
      </c>
      <c r="D31" s="145" t="n"/>
      <c r="E31" s="147">
        <f>C31/$C$40</f>
        <v/>
      </c>
    </row>
    <row r="32" ht="25.5" customHeight="1">
      <c r="B32" s="145" t="inlineStr">
        <is>
          <t>Затраты по перевозке работников к месту работы и обратно</t>
        </is>
      </c>
      <c r="C32" s="149">
        <f>ROUND(C27*0%,2)</f>
        <v/>
      </c>
      <c r="D32" s="145" t="n"/>
      <c r="E32" s="147">
        <f>C32/$C$40</f>
        <v/>
      </c>
    </row>
    <row r="33" ht="25.5" customHeight="1">
      <c r="B33" s="145" t="inlineStr">
        <is>
          <t>Затраты, связанные с осуществлением работ вахтовым методом</t>
        </is>
      </c>
      <c r="C33" s="149">
        <f>ROUND(C28*0%,2)</f>
        <v/>
      </c>
      <c r="D33" s="145" t="n"/>
      <c r="E33" s="147">
        <f>C33/$C$40</f>
        <v/>
      </c>
    </row>
    <row r="34" ht="51" customHeight="1">
      <c r="B34" s="1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49">
        <f>ROUND(C29*0%,2)</f>
        <v/>
      </c>
      <c r="D34" s="145" t="n"/>
      <c r="E34" s="147">
        <f>C34/$C$40</f>
        <v/>
      </c>
      <c r="H34" s="153" t="n"/>
    </row>
    <row r="35" ht="76.5" customHeight="1">
      <c r="B35" s="1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49">
        <f>ROUND(C30*0%,2)</f>
        <v/>
      </c>
      <c r="D35" s="145" t="n"/>
      <c r="E35" s="147">
        <f>C35/$C$40</f>
        <v/>
      </c>
    </row>
    <row r="36" ht="25.5" customHeight="1">
      <c r="B36" s="145" t="inlineStr">
        <is>
          <t>Строительный контроль и содержание службы заказчика - 2,14%</t>
        </is>
      </c>
      <c r="C36" s="149">
        <f>ROUND((C27+C32+C33+C34+C35+C29+C31+C30)*2.14%,2)</f>
        <v/>
      </c>
      <c r="D36" s="145" t="n"/>
      <c r="E36" s="147">
        <f>C36/$C$40</f>
        <v/>
      </c>
      <c r="L36" s="148" t="n"/>
    </row>
    <row r="37">
      <c r="B37" s="145" t="inlineStr">
        <is>
          <t>Авторский надзор - 0,2%</t>
        </is>
      </c>
      <c r="C37" s="149">
        <f>ROUND((C27+C32+C33+C34+C35+C29+C31+C30)*0.2%,2)</f>
        <v/>
      </c>
      <c r="D37" s="145" t="n"/>
      <c r="E37" s="147">
        <f>C37/$C$40</f>
        <v/>
      </c>
      <c r="L37" s="148" t="n"/>
    </row>
    <row r="38" ht="38.25" customHeight="1">
      <c r="B38" s="145" t="inlineStr">
        <is>
          <t>ИТОГО (СМР+ОБОРУДОВАНИЕ+ПРОЧ. ЗАТР., УЧТЕННЫЕ ПОКАЗАТЕЛЕМ)</t>
        </is>
      </c>
      <c r="C38" s="146">
        <f>C27+C32+C33+C34+C35+C29+C31+C30+C36+C37</f>
        <v/>
      </c>
      <c r="D38" s="145" t="n"/>
      <c r="E38" s="147">
        <f>C38/$C$40</f>
        <v/>
      </c>
    </row>
    <row r="39" ht="13.5" customHeight="1">
      <c r="B39" s="145" t="inlineStr">
        <is>
          <t>Непредвиденные расходы</t>
        </is>
      </c>
      <c r="C39" s="146">
        <f>ROUND(C38*3%,2)</f>
        <v/>
      </c>
      <c r="D39" s="145" t="n"/>
      <c r="E39" s="147">
        <f>C39/$C$38</f>
        <v/>
      </c>
    </row>
    <row r="40">
      <c r="B40" s="145" t="inlineStr">
        <is>
          <t>ВСЕГО:</t>
        </is>
      </c>
      <c r="C40" s="146">
        <f>C39+C38</f>
        <v/>
      </c>
      <c r="D40" s="145" t="n"/>
      <c r="E40" s="147">
        <f>C40/$C$40</f>
        <v/>
      </c>
    </row>
    <row r="41">
      <c r="B41" s="145" t="inlineStr">
        <is>
          <t>ИТОГО ПОКАЗАТЕЛЬ НА ЕД. ИЗМ.</t>
        </is>
      </c>
      <c r="C41" s="146">
        <f>C40/'Прил.5 Расчет СМР и ОБ'!E90</f>
        <v/>
      </c>
      <c r="D41" s="145" t="n"/>
      <c r="E41" s="145" t="n"/>
      <c r="G41" s="148" t="n"/>
    </row>
    <row r="42">
      <c r="B42" s="144" t="n"/>
      <c r="C42" s="4" t="n"/>
      <c r="D42" s="4" t="n"/>
      <c r="E42" s="4" t="n"/>
      <c r="G42" s="148" t="n"/>
    </row>
    <row r="43">
      <c r="B43" s="144" t="inlineStr">
        <is>
          <t>Составил ____________________________ Д.Ю. Нефедова</t>
        </is>
      </c>
      <c r="C43" s="4" t="n"/>
      <c r="D43" s="4" t="n"/>
      <c r="E43" s="4" t="n"/>
      <c r="G43" s="153" t="n"/>
    </row>
    <row r="44">
      <c r="B44" s="144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44" t="n"/>
      <c r="C45" s="4" t="n"/>
      <c r="D45" s="4" t="n"/>
      <c r="E45" s="4" t="n"/>
    </row>
    <row r="46">
      <c r="B46" s="144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19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0"/>
  <sheetViews>
    <sheetView view="pageBreakPreview" topLeftCell="A46" zoomScale="115" zoomScaleSheetLayoutView="115" workbookViewId="0">
      <selection activeCell="E94" sqref="E94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20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193" t="inlineStr">
        <is>
          <t>Расчет стоимости СМР и оборудования</t>
        </is>
      </c>
    </row>
    <row r="5" ht="12.75" customFormat="1" customHeight="1" s="4">
      <c r="A5" s="193" t="n"/>
      <c r="B5" s="193" t="n"/>
      <c r="C5" s="246" t="n"/>
      <c r="D5" s="193" t="n"/>
      <c r="E5" s="193" t="n"/>
      <c r="F5" s="193" t="n"/>
      <c r="G5" s="193" t="n"/>
      <c r="H5" s="193" t="n"/>
      <c r="I5" s="193" t="n"/>
      <c r="J5" s="193" t="n"/>
    </row>
    <row r="6" ht="27.75" customFormat="1" customHeight="1" s="4">
      <c r="A6" s="123" t="inlineStr">
        <is>
          <t>Наименование разрабатываемого показателя УНЦ</t>
        </is>
      </c>
      <c r="B6" s="122" t="n"/>
      <c r="C6" s="122" t="n"/>
      <c r="D6" s="226" t="inlineStr">
        <is>
          <t>Устройство траншеи КЛ (две цепи) и восстановление благоустройства по трассе без учета восстановления газонов (все регионы) напряжение 20-35 кВ</t>
        </is>
      </c>
    </row>
    <row r="7" ht="12.75" customFormat="1" customHeight="1" s="4">
      <c r="A7" s="196" t="inlineStr">
        <is>
          <t>Единица измерения  — 1 км.</t>
        </is>
      </c>
      <c r="I7" s="218" t="n"/>
      <c r="J7" s="218" t="n"/>
    </row>
    <row r="8" ht="13.5" customFormat="1" customHeight="1" s="4">
      <c r="A8" s="196" t="n"/>
    </row>
    <row r="9" ht="13.15" customFormat="1" customHeight="1" s="4"/>
    <row r="10" ht="27" customHeight="1">
      <c r="A10" s="223" t="inlineStr">
        <is>
          <t>№ пп.</t>
        </is>
      </c>
      <c r="B10" s="223" t="inlineStr">
        <is>
          <t>Код ресурса</t>
        </is>
      </c>
      <c r="C10" s="223" t="inlineStr">
        <is>
          <t>Наименование</t>
        </is>
      </c>
      <c r="D10" s="223" t="inlineStr">
        <is>
          <t>Ед. изм.</t>
        </is>
      </c>
      <c r="E10" s="223" t="inlineStr">
        <is>
          <t>Кол-во единиц по проектным данным</t>
        </is>
      </c>
      <c r="F10" s="223" t="inlineStr">
        <is>
          <t>Сметная стоимость в ценах на 01.01.2000 (руб.)</t>
        </is>
      </c>
      <c r="G10" s="304" t="n"/>
      <c r="H10" s="223" t="inlineStr">
        <is>
          <t>Удельный вес, %</t>
        </is>
      </c>
      <c r="I10" s="223" t="inlineStr">
        <is>
          <t>Сметная стоимость в ценах на 01.01.2023 (руб.)</t>
        </is>
      </c>
      <c r="J10" s="304" t="n"/>
      <c r="M10" s="12" t="n"/>
      <c r="N10" s="12" t="n"/>
    </row>
    <row r="11" ht="28.5" customHeight="1">
      <c r="A11" s="306" t="n"/>
      <c r="B11" s="306" t="n"/>
      <c r="C11" s="306" t="n"/>
      <c r="D11" s="306" t="n"/>
      <c r="E11" s="306" t="n"/>
      <c r="F11" s="223" t="inlineStr">
        <is>
          <t>на ед. изм.</t>
        </is>
      </c>
      <c r="G11" s="223" t="inlineStr">
        <is>
          <t>общая</t>
        </is>
      </c>
      <c r="H11" s="306" t="n"/>
      <c r="I11" s="223" t="inlineStr">
        <is>
          <t>на ед. изм.</t>
        </is>
      </c>
      <c r="J11" s="223" t="inlineStr">
        <is>
          <t>общая</t>
        </is>
      </c>
      <c r="M11" s="12" t="n"/>
      <c r="N11" s="12" t="n"/>
    </row>
    <row r="12">
      <c r="A12" s="223" t="n">
        <v>1</v>
      </c>
      <c r="B12" s="223" t="n">
        <v>2</v>
      </c>
      <c r="C12" s="223" t="n">
        <v>3</v>
      </c>
      <c r="D12" s="223" t="n">
        <v>4</v>
      </c>
      <c r="E12" s="223" t="n">
        <v>5</v>
      </c>
      <c r="F12" s="223" t="n">
        <v>6</v>
      </c>
      <c r="G12" s="223" t="n">
        <v>7</v>
      </c>
      <c r="H12" s="223" t="n">
        <v>8</v>
      </c>
      <c r="I12" s="224" t="n">
        <v>9</v>
      </c>
      <c r="J12" s="224" t="n">
        <v>10</v>
      </c>
      <c r="M12" s="12" t="n"/>
      <c r="N12" s="12" t="n"/>
    </row>
    <row r="13">
      <c r="A13" s="223" t="n"/>
      <c r="B13" s="209" t="inlineStr">
        <is>
          <t>Затраты труда рабочих-строителей</t>
        </is>
      </c>
      <c r="C13" s="303" t="n"/>
      <c r="D13" s="303" t="n"/>
      <c r="E13" s="303" t="n"/>
      <c r="F13" s="303" t="n"/>
      <c r="G13" s="303" t="n"/>
      <c r="H13" s="304" t="n"/>
      <c r="I13" s="117" t="n"/>
      <c r="J13" s="117" t="n"/>
    </row>
    <row r="14" ht="25.5" customHeight="1">
      <c r="A14" s="223" t="n">
        <v>1</v>
      </c>
      <c r="B14" s="174" t="inlineStr">
        <is>
          <t>1-2-2</t>
        </is>
      </c>
      <c r="C14" s="231" t="inlineStr">
        <is>
          <t>Затраты труда рабочих-строителей среднего разряда (2,2)</t>
        </is>
      </c>
      <c r="D14" s="223" t="inlineStr">
        <is>
          <t>чел.-ч.</t>
        </is>
      </c>
      <c r="E14" s="312">
        <f>G14/F14</f>
        <v/>
      </c>
      <c r="F14" s="26" t="n">
        <v>7.94</v>
      </c>
      <c r="G14" s="26">
        <f>Прил.3!H11</f>
        <v/>
      </c>
      <c r="H14" s="120">
        <f>G14/G15</f>
        <v/>
      </c>
      <c r="I14" s="26">
        <f>'ФОТр.тек.'!E13</f>
        <v/>
      </c>
      <c r="J14" s="26">
        <f>ROUND(I14*E14,2)</f>
        <v/>
      </c>
    </row>
    <row r="15" ht="25.5" customFormat="1" customHeight="1" s="12">
      <c r="A15" s="223" t="n"/>
      <c r="B15" s="223" t="n"/>
      <c r="C15" s="209" t="inlineStr">
        <is>
          <t>Итого по разделу "Затраты труда рабочих-строителей"</t>
        </is>
      </c>
      <c r="D15" s="223" t="inlineStr">
        <is>
          <t>чел.-ч.</t>
        </is>
      </c>
      <c r="E15" s="312">
        <f>SUM(E14)</f>
        <v/>
      </c>
      <c r="F15" s="26" t="n"/>
      <c r="G15" s="26">
        <f>SUM(G14:G14)</f>
        <v/>
      </c>
      <c r="H15" s="234" t="n">
        <v>1</v>
      </c>
      <c r="I15" s="117" t="n"/>
      <c r="J15" s="26">
        <f>SUM(J14:J14)</f>
        <v/>
      </c>
    </row>
    <row r="16" ht="14.25" customFormat="1" customHeight="1" s="12">
      <c r="A16" s="223" t="n"/>
      <c r="B16" s="231" t="inlineStr">
        <is>
          <t>Затраты труда машинистов</t>
        </is>
      </c>
      <c r="C16" s="303" t="n"/>
      <c r="D16" s="303" t="n"/>
      <c r="E16" s="303" t="n"/>
      <c r="F16" s="303" t="n"/>
      <c r="G16" s="303" t="n"/>
      <c r="H16" s="304" t="n"/>
      <c r="I16" s="117" t="n"/>
      <c r="J16" s="117" t="n"/>
    </row>
    <row r="17" ht="14.25" customFormat="1" customHeight="1" s="12">
      <c r="A17" s="223" t="n">
        <v>2</v>
      </c>
      <c r="B17" s="223" t="n">
        <v>2</v>
      </c>
      <c r="C17" s="231" t="inlineStr">
        <is>
          <t>Затраты труда машинистов</t>
        </is>
      </c>
      <c r="D17" s="223" t="inlineStr">
        <is>
          <t>чел.-ч.</t>
        </is>
      </c>
      <c r="E17" s="312">
        <f>310.31+301.12</f>
        <v/>
      </c>
      <c r="F17" s="26">
        <f>G17/E17</f>
        <v/>
      </c>
      <c r="G17" s="26">
        <f>Прил.3!H20</f>
        <v/>
      </c>
      <c r="H17" s="234" t="n">
        <v>1</v>
      </c>
      <c r="I17" s="26">
        <f>ROUND(F17*Прил.10!D11,2)</f>
        <v/>
      </c>
      <c r="J17" s="26">
        <f>ROUND(I17*E17,2)</f>
        <v/>
      </c>
    </row>
    <row r="18" ht="14.25" customFormat="1" customHeight="1" s="12">
      <c r="A18" s="223" t="n"/>
      <c r="B18" s="209" t="inlineStr">
        <is>
          <t>Машины и механизмы</t>
        </is>
      </c>
      <c r="C18" s="303" t="n"/>
      <c r="D18" s="303" t="n"/>
      <c r="E18" s="303" t="n"/>
      <c r="F18" s="303" t="n"/>
      <c r="G18" s="303" t="n"/>
      <c r="H18" s="304" t="n"/>
      <c r="I18" s="117" t="n"/>
      <c r="J18" s="117" t="n"/>
    </row>
    <row r="19" ht="14.25" customFormat="1" customHeight="1" s="12">
      <c r="A19" s="223" t="n"/>
      <c r="B19" s="231" t="inlineStr">
        <is>
          <t>Основные машины и механизмы</t>
        </is>
      </c>
      <c r="C19" s="303" t="n"/>
      <c r="D19" s="303" t="n"/>
      <c r="E19" s="303" t="n"/>
      <c r="F19" s="303" t="n"/>
      <c r="G19" s="303" t="n"/>
      <c r="H19" s="304" t="n"/>
      <c r="I19" s="117" t="n"/>
      <c r="J19" s="117" t="n"/>
    </row>
    <row r="20" ht="25.5" customFormat="1" customHeight="1" s="12">
      <c r="A20" s="223" t="n">
        <v>3</v>
      </c>
      <c r="B20" s="174" t="inlineStr">
        <is>
          <t>91.14.03-002</t>
        </is>
      </c>
      <c r="C20" s="231" t="inlineStr">
        <is>
          <t>Автомобили-самосвалы, грузоподъемность до 10 т</t>
        </is>
      </c>
      <c r="D20" s="223" t="inlineStr">
        <is>
          <t>маш.-ч</t>
        </is>
      </c>
      <c r="E20" s="312" t="n">
        <v>301.12</v>
      </c>
      <c r="F20" s="233" t="n">
        <v>87.48999999999999</v>
      </c>
      <c r="G20" s="26">
        <f>ROUND(E20*F20,2)</f>
        <v/>
      </c>
      <c r="H20" s="120">
        <f>G20/$G$37</f>
        <v/>
      </c>
      <c r="I20" s="26">
        <f>ROUND(F20*Прил.10!$D$12,2)</f>
        <v/>
      </c>
      <c r="J20" s="26">
        <f>ROUND(I20*E20,2)</f>
        <v/>
      </c>
    </row>
    <row r="21" ht="25.5" customFormat="1" customHeight="1" s="12">
      <c r="A21" s="223" t="n">
        <v>4</v>
      </c>
      <c r="B21" s="174" t="inlineStr">
        <is>
          <t>91.01.05-085</t>
        </is>
      </c>
      <c r="C21" s="231" t="inlineStr">
        <is>
          <t>Экскаваторы одноковшовые дизельные на гусеничном ходу, емкость ковша 0,5 м3</t>
        </is>
      </c>
      <c r="D21" s="223" t="inlineStr">
        <is>
          <t>маш.-ч</t>
        </is>
      </c>
      <c r="E21" s="312" t="n">
        <v>137.56</v>
      </c>
      <c r="F21" s="233" t="n">
        <v>100</v>
      </c>
      <c r="G21" s="26">
        <f>ROUND(E21*F21,2)</f>
        <v/>
      </c>
      <c r="H21" s="120">
        <f>G21/$G$37</f>
        <v/>
      </c>
      <c r="I21" s="26">
        <f>ROUND(F21*Прил.10!$D$12,2)</f>
        <v/>
      </c>
      <c r="J21" s="26">
        <f>ROUND(I21*E21,2)</f>
        <v/>
      </c>
    </row>
    <row r="22" ht="51" customFormat="1" customHeight="1" s="12">
      <c r="A22" s="223" t="n">
        <v>5</v>
      </c>
      <c r="B22" s="174" t="inlineStr">
        <is>
          <t>91.18.01-007</t>
        </is>
      </c>
      <c r="C22" s="23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23" t="inlineStr">
        <is>
          <t>маш.-ч</t>
        </is>
      </c>
      <c r="E22" s="312" t="n">
        <v>63.07</v>
      </c>
      <c r="F22" s="233" t="n">
        <v>90</v>
      </c>
      <c r="G22" s="26">
        <f>ROUND(E22*F22,2)</f>
        <v/>
      </c>
      <c r="H22" s="120">
        <f>G22/$G$37</f>
        <v/>
      </c>
      <c r="I22" s="26">
        <f>ROUND(F22*Прил.10!$D$12,2)</f>
        <v/>
      </c>
      <c r="J22" s="26">
        <f>ROUND(I22*E22,2)</f>
        <v/>
      </c>
    </row>
    <row r="23" ht="38.25" customFormat="1" customHeight="1" s="12">
      <c r="A23" s="223" t="n">
        <v>6</v>
      </c>
      <c r="B23" s="174" t="inlineStr">
        <is>
          <t>91.18.01-012</t>
        </is>
      </c>
      <c r="C23" s="231" t="inlineStr">
        <is>
          <t>Компрессоры передвижные с электродвигателем давление 600 кПа (6 ат), производительность до 3,5 м3/мин</t>
        </is>
      </c>
      <c r="D23" s="223" t="inlineStr">
        <is>
          <t>маш.-ч</t>
        </is>
      </c>
      <c r="E23" s="312" t="n">
        <v>139.62</v>
      </c>
      <c r="F23" s="233" t="n">
        <v>32.5</v>
      </c>
      <c r="G23" s="26">
        <f>ROUND(E23*F23,2)</f>
        <v/>
      </c>
      <c r="H23" s="120">
        <f>G23/$G$37</f>
        <v/>
      </c>
      <c r="I23" s="26">
        <f>ROUND(F23*Прил.10!$D$12,2)</f>
        <v/>
      </c>
      <c r="J23" s="26">
        <f>ROUND(I23*E23,2)</f>
        <v/>
      </c>
    </row>
    <row r="24" ht="25.5" customFormat="1" customHeight="1" s="12">
      <c r="A24" s="223" t="n">
        <v>7</v>
      </c>
      <c r="B24" s="174" t="inlineStr">
        <is>
          <t>91.14.02-001</t>
        </is>
      </c>
      <c r="C24" s="231" t="inlineStr">
        <is>
          <t>Автомобили бортовые, грузоподъемность до 5 т</t>
        </is>
      </c>
      <c r="D24" s="223" t="inlineStr">
        <is>
          <t>маш.-ч</t>
        </is>
      </c>
      <c r="E24" s="312" t="n">
        <v>52.97</v>
      </c>
      <c r="F24" s="233" t="n">
        <v>65.70999999999999</v>
      </c>
      <c r="G24" s="26">
        <f>ROUND(E24*F24,2)</f>
        <v/>
      </c>
      <c r="H24" s="120">
        <f>G24/$G$37</f>
        <v/>
      </c>
      <c r="I24" s="26">
        <f>ROUND(F24*Прил.10!$D$12,2)</f>
        <v/>
      </c>
      <c r="J24" s="26">
        <f>ROUND(I24*E24,2)</f>
        <v/>
      </c>
    </row>
    <row r="25" ht="14.25" customFormat="1" customHeight="1" s="12">
      <c r="A25" s="223" t="n"/>
      <c r="B25" s="223" t="n"/>
      <c r="C25" s="231" t="inlineStr">
        <is>
          <t>Итого основные машины и механизмы</t>
        </is>
      </c>
      <c r="D25" s="223" t="n"/>
      <c r="E25" s="312" t="n"/>
      <c r="F25" s="26" t="n"/>
      <c r="G25" s="26">
        <f>SUM(G20:G24)</f>
        <v/>
      </c>
      <c r="H25" s="234">
        <f>G25/G37</f>
        <v/>
      </c>
      <c r="I25" s="119" t="n"/>
      <c r="J25" s="26">
        <f>SUM(J20:J24)</f>
        <v/>
      </c>
    </row>
    <row r="26" hidden="1" outlineLevel="1" ht="25.5" customFormat="1" customHeight="1" s="12">
      <c r="A26" s="223" t="n">
        <v>8</v>
      </c>
      <c r="B26" s="174" t="inlineStr">
        <is>
          <t>91.05.05-014</t>
        </is>
      </c>
      <c r="C26" s="231" t="inlineStr">
        <is>
          <t>Краны на автомобильном ходу, грузоподъемность 10 т</t>
        </is>
      </c>
      <c r="D26" s="223" t="inlineStr">
        <is>
          <t>маш.-ч</t>
        </is>
      </c>
      <c r="E26" s="312" t="n">
        <v>28.17</v>
      </c>
      <c r="F26" s="233" t="n">
        <v>111.99</v>
      </c>
      <c r="G26" s="26">
        <f>ROUND(E26*F26,2)</f>
        <v/>
      </c>
      <c r="H26" s="120">
        <f>G26/$G$37</f>
        <v/>
      </c>
      <c r="I26" s="26">
        <f>ROUND(F26*Прил.10!$D$12,2)</f>
        <v/>
      </c>
      <c r="J26" s="26">
        <f>ROUND(I26*E26,2)</f>
        <v/>
      </c>
    </row>
    <row r="27" hidden="1" outlineLevel="1" ht="14.25" customFormat="1" customHeight="1" s="12">
      <c r="A27" s="223" t="n">
        <v>9</v>
      </c>
      <c r="B27" s="174" t="inlineStr">
        <is>
          <t>91.01.01-035</t>
        </is>
      </c>
      <c r="C27" s="231" t="inlineStr">
        <is>
          <t>Бульдозеры, мощность 79 кВт (108 л.с.)</t>
        </is>
      </c>
      <c r="D27" s="223" t="inlineStr">
        <is>
          <t>маш.час</t>
        </is>
      </c>
      <c r="E27" s="312" t="n">
        <v>19.65</v>
      </c>
      <c r="F27" s="233" t="n">
        <v>79.06999999999999</v>
      </c>
      <c r="G27" s="26">
        <f>ROUND(E27*F27,2)</f>
        <v/>
      </c>
      <c r="H27" s="120">
        <f>G27/$G$37</f>
        <v/>
      </c>
      <c r="I27" s="26">
        <f>ROUND(F27*Прил.10!$D$12,2)</f>
        <v/>
      </c>
      <c r="J27" s="26">
        <f>ROUND(I27*E27,2)</f>
        <v/>
      </c>
    </row>
    <row r="28" hidden="1" outlineLevel="1" ht="38.25" customFormat="1" customHeight="1" s="12">
      <c r="A28" s="223" t="n">
        <v>10</v>
      </c>
      <c r="B28" s="174" t="inlineStr">
        <is>
          <t>91.21.10-003</t>
        </is>
      </c>
      <c r="C28" s="231" t="inlineStr">
        <is>
          <t>Молотки при работе от передвижных компрессорных станций: отбойные пневматические</t>
        </is>
      </c>
      <c r="D28" s="223" t="inlineStr">
        <is>
          <t>маш.час</t>
        </is>
      </c>
      <c r="E28" s="312" t="n">
        <v>279.25</v>
      </c>
      <c r="F28" s="233" t="n">
        <v>1.53</v>
      </c>
      <c r="G28" s="26">
        <f>ROUND(E28*F28,2)</f>
        <v/>
      </c>
      <c r="H28" s="120">
        <f>G28/$G$37</f>
        <v/>
      </c>
      <c r="I28" s="26">
        <f>ROUND(F28*Прил.10!$D$12,2)</f>
        <v/>
      </c>
      <c r="J28" s="26">
        <f>ROUND(I28*E28,2)</f>
        <v/>
      </c>
    </row>
    <row r="29" hidden="1" outlineLevel="1" ht="14.25" customFormat="1" customHeight="1" s="12">
      <c r="A29" s="223" t="n">
        <v>11</v>
      </c>
      <c r="B29" s="174" t="inlineStr">
        <is>
          <t>91.06.09-001</t>
        </is>
      </c>
      <c r="C29" s="231" t="inlineStr">
        <is>
          <t>Вышка телескопическая 25 м</t>
        </is>
      </c>
      <c r="D29" s="223" t="inlineStr">
        <is>
          <t>маш.час</t>
        </is>
      </c>
      <c r="E29" s="312" t="n">
        <v>2.23</v>
      </c>
      <c r="F29" s="233" t="n">
        <v>142.7</v>
      </c>
      <c r="G29" s="26">
        <f>ROUND(E29*F29,2)</f>
        <v/>
      </c>
      <c r="H29" s="120">
        <f>G29/$G$37</f>
        <v/>
      </c>
      <c r="I29" s="26">
        <f>ROUND(F29*Прил.10!$D$12,2)</f>
        <v/>
      </c>
      <c r="J29" s="26">
        <f>ROUND(I29*E29,2)</f>
        <v/>
      </c>
    </row>
    <row r="30" hidden="1" outlineLevel="1" ht="14.25" customFormat="1" customHeight="1" s="12">
      <c r="A30" s="223" t="n">
        <v>12</v>
      </c>
      <c r="B30" s="174" t="inlineStr">
        <is>
          <t>91.01.01-034</t>
        </is>
      </c>
      <c r="C30" s="231" t="inlineStr">
        <is>
          <t>Бульдозеры, мощность 59 кВт (80 л.с.)</t>
        </is>
      </c>
      <c r="D30" s="223" t="inlineStr">
        <is>
          <t>маш.час</t>
        </is>
      </c>
      <c r="E30" s="312" t="n">
        <v>5.11</v>
      </c>
      <c r="F30" s="233" t="n">
        <v>59.47</v>
      </c>
      <c r="G30" s="26">
        <f>ROUND(E30*F30,2)</f>
        <v/>
      </c>
      <c r="H30" s="120">
        <f>G30/$G$37</f>
        <v/>
      </c>
      <c r="I30" s="26">
        <f>ROUND(F30*Прил.10!$D$12,2)</f>
        <v/>
      </c>
      <c r="J30" s="26">
        <f>ROUND(I30*E30,2)</f>
        <v/>
      </c>
    </row>
    <row r="31" hidden="1" outlineLevel="1" ht="25.5" customFormat="1" customHeight="1" s="12">
      <c r="A31" s="223" t="n">
        <v>13</v>
      </c>
      <c r="B31" s="174" t="inlineStr">
        <is>
          <t>91.08.09-023</t>
        </is>
      </c>
      <c r="C31" s="231" t="inlineStr">
        <is>
          <t>Трамбовки пневматические при работе от: передвижных компрессорных станций</t>
        </is>
      </c>
      <c r="D31" s="223" t="inlineStr">
        <is>
          <t>маш.час</t>
        </is>
      </c>
      <c r="E31" s="312" t="n">
        <v>252.28</v>
      </c>
      <c r="F31" s="233" t="n">
        <v>0.55</v>
      </c>
      <c r="G31" s="26">
        <f>ROUND(E31*F31,2)</f>
        <v/>
      </c>
      <c r="H31" s="120">
        <f>G31/$G$37</f>
        <v/>
      </c>
      <c r="I31" s="26">
        <f>ROUND(F31*Прил.10!$D$12,2)</f>
        <v/>
      </c>
      <c r="J31" s="26">
        <f>ROUND(I31*E31,2)</f>
        <v/>
      </c>
    </row>
    <row r="32" hidden="1" outlineLevel="1" ht="14.25" customFormat="1" customHeight="1" s="12">
      <c r="A32" s="223" t="n">
        <v>14</v>
      </c>
      <c r="B32" s="174" t="inlineStr">
        <is>
          <t>91.17.04-042</t>
        </is>
      </c>
      <c r="C32" s="231" t="inlineStr">
        <is>
          <t>Аппарат для газовой сварки и резки</t>
        </is>
      </c>
      <c r="D32" s="223" t="inlineStr">
        <is>
          <t>маш.час</t>
        </is>
      </c>
      <c r="E32" s="312" t="n">
        <v>60.51</v>
      </c>
      <c r="F32" s="233" t="n">
        <v>1.2</v>
      </c>
      <c r="G32" s="26">
        <f>ROUND(E32*F32,2)</f>
        <v/>
      </c>
      <c r="H32" s="120">
        <f>G32/$G$37</f>
        <v/>
      </c>
      <c r="I32" s="26">
        <f>ROUND(F32*Прил.10!$D$12,2)</f>
        <v/>
      </c>
      <c r="J32" s="26">
        <f>ROUND(I32*E32,2)</f>
        <v/>
      </c>
    </row>
    <row r="33" hidden="1" outlineLevel="1" ht="25.5" customFormat="1" customHeight="1" s="12">
      <c r="A33" s="223" t="n">
        <v>15</v>
      </c>
      <c r="B33" s="174" t="inlineStr">
        <is>
          <t>91.06.06-042</t>
        </is>
      </c>
      <c r="C33" s="231" t="inlineStr">
        <is>
          <t>Подъемники гидравлические высотой подъема: 10 м</t>
        </is>
      </c>
      <c r="D33" s="223" t="inlineStr">
        <is>
          <t>маш.час</t>
        </is>
      </c>
      <c r="E33" s="312" t="n">
        <v>1.29</v>
      </c>
      <c r="F33" s="233" t="n">
        <v>29.6</v>
      </c>
      <c r="G33" s="26">
        <f>ROUND(E33*F33,2)</f>
        <v/>
      </c>
      <c r="H33" s="120">
        <f>G33/$G$37</f>
        <v/>
      </c>
      <c r="I33" s="26">
        <f>ROUND(F33*Прил.10!$D$12,2)</f>
        <v/>
      </c>
      <c r="J33" s="26">
        <f>ROUND(I33*E33,2)</f>
        <v/>
      </c>
    </row>
    <row r="34" hidden="1" outlineLevel="1" ht="25.5" customFormat="1" customHeight="1" s="12">
      <c r="A34" s="223" t="n">
        <v>16</v>
      </c>
      <c r="B34" s="174" t="inlineStr">
        <is>
          <t>91.14.03-001</t>
        </is>
      </c>
      <c r="C34" s="231" t="inlineStr">
        <is>
          <t>Автомобиль-самосвал, грузоподъемность: до 7 т</t>
        </is>
      </c>
      <c r="D34" s="223" t="inlineStr">
        <is>
          <t>маш.час</t>
        </is>
      </c>
      <c r="E34" s="312" t="n">
        <v>0.26</v>
      </c>
      <c r="F34" s="233" t="n">
        <v>89.54000000000001</v>
      </c>
      <c r="G34" s="26">
        <f>ROUND(E34*F34,2)</f>
        <v/>
      </c>
      <c r="H34" s="120">
        <f>G34/$G$37</f>
        <v/>
      </c>
      <c r="I34" s="26">
        <f>ROUND(F34*Прил.10!$D$12,2)</f>
        <v/>
      </c>
      <c r="J34" s="26">
        <f>ROUND(I34*E34,2)</f>
        <v/>
      </c>
    </row>
    <row r="35" hidden="1" outlineLevel="1" ht="25.5" customFormat="1" customHeight="1" s="12">
      <c r="A35" s="223" t="n">
        <v>17</v>
      </c>
      <c r="B35" s="174" t="inlineStr">
        <is>
          <t>91.17.04-233</t>
        </is>
      </c>
      <c r="C35" s="231" t="inlineStr">
        <is>
          <t>Установки для сварки: ручной дуговой (постоянного тока)</t>
        </is>
      </c>
      <c r="D35" s="223" t="inlineStr">
        <is>
          <t>маш.час</t>
        </is>
      </c>
      <c r="E35" s="312" t="n">
        <v>1.56</v>
      </c>
      <c r="F35" s="233" t="n">
        <v>8.1</v>
      </c>
      <c r="G35" s="26">
        <f>ROUND(E35*F35,2)</f>
        <v/>
      </c>
      <c r="H35" s="120">
        <f>G35/$G$37</f>
        <v/>
      </c>
      <c r="I35" s="26">
        <f>ROUND(F35*Прил.10!$D$12,2)</f>
        <v/>
      </c>
      <c r="J35" s="26">
        <f>ROUND(I35*E35,2)</f>
        <v/>
      </c>
    </row>
    <row r="36" collapsed="1" ht="14.25" customFormat="1" customHeight="1" s="12">
      <c r="A36" s="223" t="n"/>
      <c r="B36" s="223" t="n"/>
      <c r="C36" s="231" t="inlineStr">
        <is>
          <t>Итого прочие машины и механизмы</t>
        </is>
      </c>
      <c r="D36" s="223" t="n"/>
      <c r="E36" s="232" t="n"/>
      <c r="F36" s="26" t="n"/>
      <c r="G36" s="119">
        <f>SUM(G26:G35)</f>
        <v/>
      </c>
      <c r="H36" s="120">
        <f>G36/G37</f>
        <v/>
      </c>
      <c r="I36" s="26" t="n"/>
      <c r="J36" s="119">
        <f>SUM(J26:J35)</f>
        <v/>
      </c>
    </row>
    <row r="37" ht="25.5" customFormat="1" customHeight="1" s="12">
      <c r="A37" s="223" t="n"/>
      <c r="B37" s="223" t="n"/>
      <c r="C37" s="209" t="inlineStr">
        <is>
          <t>Итого по разделу «Машины и механизмы»</t>
        </is>
      </c>
      <c r="D37" s="223" t="n"/>
      <c r="E37" s="232" t="n"/>
      <c r="F37" s="26" t="n"/>
      <c r="G37" s="26">
        <f>G25+G36</f>
        <v/>
      </c>
      <c r="H37" s="176" t="n">
        <v>1</v>
      </c>
      <c r="I37" s="177" t="n"/>
      <c r="J37" s="26">
        <f>J25+J36</f>
        <v/>
      </c>
    </row>
    <row r="38" ht="14.25" customFormat="1" customHeight="1" s="12">
      <c r="A38" s="223" t="n"/>
      <c r="B38" s="209" t="inlineStr">
        <is>
          <t>Оборудование</t>
        </is>
      </c>
      <c r="C38" s="303" t="n"/>
      <c r="D38" s="303" t="n"/>
      <c r="E38" s="303" t="n"/>
      <c r="F38" s="303" t="n"/>
      <c r="G38" s="303" t="n"/>
      <c r="H38" s="304" t="n"/>
      <c r="I38" s="117" t="n"/>
      <c r="J38" s="117" t="n"/>
    </row>
    <row r="39">
      <c r="A39" s="223" t="n"/>
      <c r="B39" s="231" t="inlineStr">
        <is>
          <t>Основное оборудование</t>
        </is>
      </c>
      <c r="C39" s="303" t="n"/>
      <c r="D39" s="303" t="n"/>
      <c r="E39" s="303" t="n"/>
      <c r="F39" s="303" t="n"/>
      <c r="G39" s="303" t="n"/>
      <c r="H39" s="304" t="n"/>
      <c r="I39" s="117" t="n"/>
      <c r="J39" s="117" t="n"/>
    </row>
    <row r="40">
      <c r="A40" s="223" t="n"/>
      <c r="B40" s="223" t="n"/>
      <c r="C40" s="231" t="inlineStr">
        <is>
          <t>Итого основное оборудование</t>
        </is>
      </c>
      <c r="D40" s="223" t="n"/>
      <c r="E40" s="313" t="n"/>
      <c r="F40" s="233" t="n"/>
      <c r="G40" s="26" t="n">
        <v>0</v>
      </c>
      <c r="H40" s="120" t="n">
        <v>0</v>
      </c>
      <c r="I40" s="119" t="n"/>
      <c r="J40" s="26" t="n">
        <v>0</v>
      </c>
    </row>
    <row r="41">
      <c r="A41" s="223" t="n"/>
      <c r="B41" s="223" t="n"/>
      <c r="C41" s="231" t="inlineStr">
        <is>
          <t>Итого прочее оборудование</t>
        </is>
      </c>
      <c r="D41" s="223" t="n"/>
      <c r="E41" s="312" t="n"/>
      <c r="F41" s="233" t="n"/>
      <c r="G41" s="26" t="n">
        <v>0</v>
      </c>
      <c r="H41" s="120" t="n">
        <v>0</v>
      </c>
      <c r="I41" s="119" t="n"/>
      <c r="J41" s="26" t="n">
        <v>0</v>
      </c>
    </row>
    <row r="42">
      <c r="A42" s="223" t="n"/>
      <c r="B42" s="223" t="n"/>
      <c r="C42" s="209" t="inlineStr">
        <is>
          <t>Итого по разделу «Оборудование»</t>
        </is>
      </c>
      <c r="D42" s="223" t="n"/>
      <c r="E42" s="232" t="n"/>
      <c r="F42" s="233" t="n"/>
      <c r="G42" s="26">
        <f>G40+G41</f>
        <v/>
      </c>
      <c r="H42" s="120" t="n">
        <v>0</v>
      </c>
      <c r="I42" s="119" t="n"/>
      <c r="J42" s="26">
        <f>J41+J40</f>
        <v/>
      </c>
    </row>
    <row r="43" ht="25.5" customHeight="1">
      <c r="A43" s="223" t="n"/>
      <c r="B43" s="223" t="n"/>
      <c r="C43" s="231" t="inlineStr">
        <is>
          <t>в том числе технологическое оборудование</t>
        </is>
      </c>
      <c r="D43" s="223" t="n"/>
      <c r="E43" s="313" t="n"/>
      <c r="F43" s="233" t="n"/>
      <c r="G43" s="26">
        <f>'Прил.6 Расчет ОБ'!G12</f>
        <v/>
      </c>
      <c r="H43" s="234" t="n"/>
      <c r="I43" s="119" t="n"/>
      <c r="J43" s="26">
        <f>J42</f>
        <v/>
      </c>
    </row>
    <row r="44" ht="14.25" customFormat="1" customHeight="1" s="12">
      <c r="A44" s="223" t="n"/>
      <c r="B44" s="209" t="inlineStr">
        <is>
          <t>Материалы</t>
        </is>
      </c>
      <c r="C44" s="303" t="n"/>
      <c r="D44" s="303" t="n"/>
      <c r="E44" s="303" t="n"/>
      <c r="F44" s="303" t="n"/>
      <c r="G44" s="303" t="n"/>
      <c r="H44" s="304" t="n"/>
      <c r="I44" s="117" t="n"/>
      <c r="J44" s="117" t="n"/>
    </row>
    <row r="45" ht="14.25" customFormat="1" customHeight="1" s="12">
      <c r="A45" s="224" t="n"/>
      <c r="B45" s="227" t="inlineStr">
        <is>
          <t>Основные материалы</t>
        </is>
      </c>
      <c r="C45" s="314" t="n"/>
      <c r="D45" s="314" t="n"/>
      <c r="E45" s="314" t="n"/>
      <c r="F45" s="314" t="n"/>
      <c r="G45" s="314" t="n"/>
      <c r="H45" s="315" t="n"/>
      <c r="I45" s="124" t="n"/>
      <c r="J45" s="124" t="n"/>
    </row>
    <row r="46" ht="38.25" customFormat="1" customHeight="1" s="12">
      <c r="A46" s="223" t="n">
        <v>18</v>
      </c>
      <c r="B46" s="223" t="inlineStr">
        <is>
          <t>05.1.01.12-0001</t>
        </is>
      </c>
      <c r="C46" s="231" t="inlineStr">
        <is>
          <t>Плита перекрытия лотков и каналов доборная П4-15, бетон В25 (М350), объем 0,04 м3, расход арматуры 1,3 кг</t>
        </is>
      </c>
      <c r="D46" s="223" t="inlineStr">
        <is>
          <t>шт.</t>
        </is>
      </c>
      <c r="E46" s="313" t="n">
        <v>1470</v>
      </c>
      <c r="F46" s="233" t="n">
        <v>156.83</v>
      </c>
      <c r="G46" s="26">
        <f>ROUND(E46*F46,2)</f>
        <v/>
      </c>
      <c r="H46" s="120">
        <f>G46/$G$84</f>
        <v/>
      </c>
      <c r="I46" s="26">
        <f>ROUND(F46*Прил.10!$D$13,2)</f>
        <v/>
      </c>
      <c r="J46" s="26">
        <f>ROUND(I46*E46,2)</f>
        <v/>
      </c>
    </row>
    <row r="47" ht="38.25" customFormat="1" customHeight="1" s="12">
      <c r="A47" s="223" t="n">
        <v>19</v>
      </c>
      <c r="B47" s="223" t="inlineStr">
        <is>
          <t>24.3.03.13-0421</t>
        </is>
      </c>
      <c r="C47" s="231" t="inlineStr">
        <is>
          <t>Трубы напорные полиэтиленовые, среднего типа, ПНД, номинальный наружный диаметр 160 мм</t>
        </is>
      </c>
      <c r="D47" s="223" t="inlineStr">
        <is>
          <t>м</t>
        </is>
      </c>
      <c r="E47" s="313" t="n">
        <v>287.64</v>
      </c>
      <c r="F47" s="233" t="n">
        <v>131.7</v>
      </c>
      <c r="G47" s="26">
        <f>ROUND(E47*F47,2)</f>
        <v/>
      </c>
      <c r="H47" s="120">
        <f>G47/$G$84</f>
        <v/>
      </c>
      <c r="I47" s="26">
        <f>ROUND(F47*Прил.10!$D$13,2)</f>
        <v/>
      </c>
      <c r="J47" s="26">
        <f>ROUND(I47*E47,2)</f>
        <v/>
      </c>
    </row>
    <row r="48" ht="38.25" customFormat="1" customHeight="1" s="12">
      <c r="A48" s="223" t="n">
        <v>20</v>
      </c>
      <c r="B48" s="223" t="inlineStr">
        <is>
          <t>02.3.01.02-0016</t>
        </is>
      </c>
      <c r="C48" s="231" t="inlineStr">
        <is>
          <t>Песок природный для строительных: работ средний с крупностью зерен размером свыше 5 мм-до 5% по массе</t>
        </is>
      </c>
      <c r="D48" s="223" t="inlineStr">
        <is>
          <t>м3</t>
        </is>
      </c>
      <c r="E48" s="313" t="n">
        <v>657.8</v>
      </c>
      <c r="F48" s="233" t="n">
        <v>55.26</v>
      </c>
      <c r="G48" s="26">
        <f>ROUND(E48*F48,2)</f>
        <v/>
      </c>
      <c r="H48" s="120">
        <f>G48/$G$84</f>
        <v/>
      </c>
      <c r="I48" s="26">
        <f>ROUND(F48*Прил.10!$D$13,2)</f>
        <v/>
      </c>
      <c r="J48" s="26">
        <f>ROUND(I48*E48,2)</f>
        <v/>
      </c>
    </row>
    <row r="49" ht="14.25" customFormat="1" customHeight="1" s="12">
      <c r="A49" s="225" t="n"/>
      <c r="B49" s="126" t="n"/>
      <c r="C49" s="127" t="inlineStr">
        <is>
          <t>Итого основные материалы</t>
        </is>
      </c>
      <c r="D49" s="225" t="n"/>
      <c r="E49" s="316" t="n"/>
      <c r="F49" s="128" t="n"/>
      <c r="G49" s="128">
        <f>SUM(G46:G48)</f>
        <v/>
      </c>
      <c r="H49" s="120">
        <f>G49/$G$84</f>
        <v/>
      </c>
      <c r="I49" s="26" t="n"/>
      <c r="J49" s="128">
        <f>SUM(J46:J48)</f>
        <v/>
      </c>
    </row>
    <row r="50" hidden="1" outlineLevel="1" ht="25.5" customFormat="1" customHeight="1" s="12">
      <c r="A50" s="223" t="n">
        <v>21</v>
      </c>
      <c r="B50" s="223" t="inlineStr">
        <is>
          <t>05.2.03.02-0011</t>
        </is>
      </c>
      <c r="C50" s="231" t="inlineStr">
        <is>
          <t>Камни бетонные стеновые из тяжелого бетона, марка: 50</t>
        </is>
      </c>
      <c r="D50" s="223" t="inlineStr">
        <is>
          <t>м3</t>
        </is>
      </c>
      <c r="E50" s="313" t="n">
        <v>28.7</v>
      </c>
      <c r="F50" s="233" t="n">
        <v>709.54</v>
      </c>
      <c r="G50" s="26">
        <f>ROUND(E50*F50,2)</f>
        <v/>
      </c>
      <c r="H50" s="120">
        <f>G50/$G$84</f>
        <v/>
      </c>
      <c r="I50" s="26">
        <f>ROUND(F50*Прил.10!$D$13,2)</f>
        <v/>
      </c>
      <c r="J50" s="26">
        <f>ROUND(I50*E50,2)</f>
        <v/>
      </c>
    </row>
    <row r="51" hidden="1" outlineLevel="1" ht="38.25" customFormat="1" customHeight="1" s="12">
      <c r="A51" s="223" t="n">
        <v>22</v>
      </c>
      <c r="B51" s="223" t="inlineStr">
        <is>
          <t>01.7.06.08-0013</t>
        </is>
      </c>
      <c r="C51" s="231" t="inlineStr">
        <is>
          <t>Лента сигнальная "Электро" с логотипом "Осторожно кабель" ЛСЭ-750 (100 мx750 мм)</t>
        </is>
      </c>
      <c r="D51" s="223" t="inlineStr">
        <is>
          <t>шт</t>
        </is>
      </c>
      <c r="E51" s="313" t="n">
        <v>9.996</v>
      </c>
      <c r="F51" s="233" t="n">
        <v>1142.82</v>
      </c>
      <c r="G51" s="26">
        <f>ROUND(E51*F51,2)</f>
        <v/>
      </c>
      <c r="H51" s="120">
        <f>G51/$G$84</f>
        <v/>
      </c>
      <c r="I51" s="26">
        <f>ROUND(F51*Прил.10!$D$13,2)</f>
        <v/>
      </c>
      <c r="J51" s="26">
        <f>ROUND(I51*E51,2)</f>
        <v/>
      </c>
    </row>
    <row r="52" hidden="1" outlineLevel="1" ht="25.5" customFormat="1" customHeight="1" s="12">
      <c r="A52" s="223" t="n">
        <v>23</v>
      </c>
      <c r="B52" s="223" t="inlineStr">
        <is>
          <t>24.3.03.13-0501</t>
        </is>
      </c>
      <c r="C52" s="231" t="inlineStr">
        <is>
          <t>Трубы полиэтиленовые низкого давления (ПНД) с наружным диаметром 110 мм</t>
        </is>
      </c>
      <c r="D52" s="223" t="inlineStr">
        <is>
          <t>м</t>
        </is>
      </c>
      <c r="E52" s="313" t="n">
        <v>282</v>
      </c>
      <c r="F52" s="233" t="n">
        <v>31.53</v>
      </c>
      <c r="G52" s="26">
        <f>ROUND(E52*F52,2)</f>
        <v/>
      </c>
      <c r="H52" s="120">
        <f>G52/$G$84</f>
        <v/>
      </c>
      <c r="I52" s="26">
        <f>ROUND(F52*Прил.10!$D$13,2)</f>
        <v/>
      </c>
      <c r="J52" s="26">
        <f>ROUND(I52*E52,2)</f>
        <v/>
      </c>
    </row>
    <row r="53" hidden="1" outlineLevel="1" ht="63.75" customFormat="1" customHeight="1" s="12">
      <c r="A53" s="223" t="n">
        <v>24</v>
      </c>
      <c r="B53" s="223" t="inlineStr">
        <is>
          <t>23.3.03.02-0071</t>
        </is>
      </c>
      <c r="C53" s="231" t="inlineStr">
        <is>
          <t>Трубы стальные бесшовные, горячедеформированные со снятой фаской из стали марок 15, 20, 25, наружным диаметром: 102 мм толщина стенки 5 мм</t>
        </is>
      </c>
      <c r="D53" s="223" t="inlineStr">
        <is>
          <t>м</t>
        </is>
      </c>
      <c r="E53" s="313" t="n">
        <v>14.42</v>
      </c>
      <c r="F53" s="233" t="n">
        <v>103.5</v>
      </c>
      <c r="G53" s="26">
        <f>ROUND(E53*F53,2)</f>
        <v/>
      </c>
      <c r="H53" s="120">
        <f>G53/$G$84</f>
        <v/>
      </c>
      <c r="I53" s="26">
        <f>ROUND(F53*Прил.10!$D$13,2)</f>
        <v/>
      </c>
      <c r="J53" s="26">
        <f>ROUND(I53*E53,2)</f>
        <v/>
      </c>
    </row>
    <row r="54" hidden="1" outlineLevel="1" ht="14.25" customFormat="1" customHeight="1" s="12">
      <c r="A54" s="223" t="n">
        <v>25</v>
      </c>
      <c r="B54" s="223" t="inlineStr">
        <is>
          <t>20.2.06.05-0001</t>
        </is>
      </c>
      <c r="C54" s="231" t="inlineStr">
        <is>
          <t>Кронштейны</t>
        </is>
      </c>
      <c r="D54" s="223" t="inlineStr">
        <is>
          <t>кг</t>
        </is>
      </c>
      <c r="E54" s="313" t="n">
        <v>56.788</v>
      </c>
      <c r="F54" s="233" t="n">
        <v>9.119999999999999</v>
      </c>
      <c r="G54" s="26">
        <f>ROUND(E54*F54,2)</f>
        <v/>
      </c>
      <c r="H54" s="120">
        <f>G54/$G$84</f>
        <v/>
      </c>
      <c r="I54" s="26">
        <f>ROUND(F54*Прил.10!$D$13,2)</f>
        <v/>
      </c>
      <c r="J54" s="26">
        <f>ROUND(I54*E54,2)</f>
        <v/>
      </c>
    </row>
    <row r="55" hidden="1" outlineLevel="1" ht="25.5" customFormat="1" customHeight="1" s="12">
      <c r="A55" s="223" t="n">
        <v>26</v>
      </c>
      <c r="B55" s="223" t="inlineStr">
        <is>
          <t>20.1.01.02-0050</t>
        </is>
      </c>
      <c r="C55" s="231" t="inlineStr">
        <is>
          <t>Зажим аппаратный прессуемый: А2А-150-2</t>
        </is>
      </c>
      <c r="D55" s="223" t="inlineStr">
        <is>
          <t>100 шт</t>
        </is>
      </c>
      <c r="E55" s="313" t="n">
        <v>0.1236</v>
      </c>
      <c r="F55" s="233" t="n">
        <v>2695</v>
      </c>
      <c r="G55" s="26">
        <f>ROUND(E55*F55,2)</f>
        <v/>
      </c>
      <c r="H55" s="120">
        <f>G55/$G$84</f>
        <v/>
      </c>
      <c r="I55" s="26">
        <f>ROUND(F55*Прил.10!$D$13,2)</f>
        <v/>
      </c>
      <c r="J55" s="26">
        <f>ROUND(I55*E55,2)</f>
        <v/>
      </c>
    </row>
    <row r="56" hidden="1" outlineLevel="1" ht="14.25" customFormat="1" customHeight="1" s="12">
      <c r="A56" s="223" t="n">
        <v>27</v>
      </c>
      <c r="B56" s="223" t="inlineStr">
        <is>
          <t>01.3.02.08-0001</t>
        </is>
      </c>
      <c r="C56" s="231" t="inlineStr">
        <is>
          <t>Кислород технический: газообразный</t>
        </is>
      </c>
      <c r="D56" s="223" t="inlineStr">
        <is>
          <t>м3</t>
        </is>
      </c>
      <c r="E56" s="313" t="n">
        <v>49.6</v>
      </c>
      <c r="F56" s="233" t="n">
        <v>6.22</v>
      </c>
      <c r="G56" s="26">
        <f>ROUND(E56*F56,2)</f>
        <v/>
      </c>
      <c r="H56" s="120">
        <f>G56/$G$84</f>
        <v/>
      </c>
      <c r="I56" s="26">
        <f>ROUND(F56*Прил.10!$D$13,2)</f>
        <v/>
      </c>
      <c r="J56" s="26">
        <f>ROUND(I56*E56,2)</f>
        <v/>
      </c>
    </row>
    <row r="57" hidden="1" outlineLevel="1" ht="14.25" customFormat="1" customHeight="1" s="12">
      <c r="A57" s="223" t="n">
        <v>28</v>
      </c>
      <c r="B57" s="223" t="inlineStr">
        <is>
          <t>01.7.07.29-0221</t>
        </is>
      </c>
      <c r="C57" s="231" t="inlineStr">
        <is>
          <t>Уплотнительный состав</t>
        </is>
      </c>
      <c r="D57" s="223" t="inlineStr">
        <is>
          <t>кг</t>
        </is>
      </c>
      <c r="E57" s="313" t="n">
        <v>17.28</v>
      </c>
      <c r="F57" s="233" t="n">
        <v>16.7</v>
      </c>
      <c r="G57" s="26">
        <f>ROUND(E57*F57,2)</f>
        <v/>
      </c>
      <c r="H57" s="120">
        <f>G57/$G$84</f>
        <v/>
      </c>
      <c r="I57" s="26">
        <f>ROUND(F57*Прил.10!$D$13,2)</f>
        <v/>
      </c>
      <c r="J57" s="26">
        <f>ROUND(I57*E57,2)</f>
        <v/>
      </c>
    </row>
    <row r="58" hidden="1" outlineLevel="1" ht="14.25" customFormat="1" customHeight="1" s="12">
      <c r="A58" s="223" t="n">
        <v>29</v>
      </c>
      <c r="B58" s="223" t="inlineStr">
        <is>
          <t>01.3.02.03-0001</t>
        </is>
      </c>
      <c r="C58" s="231" t="inlineStr">
        <is>
          <t>Ацетилен газообразный технический</t>
        </is>
      </c>
      <c r="D58" s="223" t="inlineStr">
        <is>
          <t>м3</t>
        </is>
      </c>
      <c r="E58" s="313" t="n">
        <v>6.448</v>
      </c>
      <c r="F58" s="233" t="n">
        <v>38.51</v>
      </c>
      <c r="G58" s="26">
        <f>ROUND(E58*F58,2)</f>
        <v/>
      </c>
      <c r="H58" s="120">
        <f>G58/$G$84</f>
        <v/>
      </c>
      <c r="I58" s="26">
        <f>ROUND(F58*Прил.10!$D$13,2)</f>
        <v/>
      </c>
      <c r="J58" s="26">
        <f>ROUND(I58*E58,2)</f>
        <v/>
      </c>
    </row>
    <row r="59" hidden="1" outlineLevel="1" ht="25.5" customFormat="1" customHeight="1" s="12">
      <c r="A59" s="223" t="n">
        <v>30</v>
      </c>
      <c r="B59" s="223" t="inlineStr">
        <is>
          <t>08.3.08.02-0052</t>
        </is>
      </c>
      <c r="C59" s="231" t="inlineStr">
        <is>
          <t>Сталь угловая равнополочная, марка стали: ВСт3кп2, размером 50x50x5 мм</t>
        </is>
      </c>
      <c r="D59" s="223" t="inlineStr">
        <is>
          <t>т</t>
        </is>
      </c>
      <c r="E59" s="313" t="n">
        <v>0.0356</v>
      </c>
      <c r="F59" s="233" t="n">
        <v>5763</v>
      </c>
      <c r="G59" s="26">
        <f>ROUND(E59*F59,2)</f>
        <v/>
      </c>
      <c r="H59" s="120">
        <f>G59/$G$84</f>
        <v/>
      </c>
      <c r="I59" s="26">
        <f>ROUND(F59*Прил.10!$D$13,2)</f>
        <v/>
      </c>
      <c r="J59" s="26">
        <f>ROUND(I59*E59,2)</f>
        <v/>
      </c>
    </row>
    <row r="60" hidden="1" outlineLevel="1" ht="25.5" customFormat="1" customHeight="1" s="12">
      <c r="A60" s="223" t="n">
        <v>31</v>
      </c>
      <c r="B60" s="223" t="inlineStr">
        <is>
          <t>01.7.15.03-0032</t>
        </is>
      </c>
      <c r="C60" s="231" t="inlineStr">
        <is>
          <t>Болты с гайками и шайбами оцинкованные, диаметр: 8 мм</t>
        </is>
      </c>
      <c r="D60" s="223" t="inlineStr">
        <is>
          <t>кг</t>
        </is>
      </c>
      <c r="E60" s="313" t="n">
        <v>6.01556</v>
      </c>
      <c r="F60" s="233" t="n">
        <v>26.94</v>
      </c>
      <c r="G60" s="26">
        <f>ROUND(E60*F60,2)</f>
        <v/>
      </c>
      <c r="H60" s="120">
        <f>G60/$G$84</f>
        <v/>
      </c>
      <c r="I60" s="26">
        <f>ROUND(F60*Прил.10!$D$13,2)</f>
        <v/>
      </c>
      <c r="J60" s="26">
        <f>ROUND(I60*E60,2)</f>
        <v/>
      </c>
    </row>
    <row r="61" hidden="1" outlineLevel="1" ht="14.25" customFormat="1" customHeight="1" s="12">
      <c r="A61" s="223" t="n">
        <v>32</v>
      </c>
      <c r="B61" s="223" t="inlineStr">
        <is>
          <t>01.7.06.08-0011</t>
        </is>
      </c>
      <c r="C61" s="231" t="inlineStr">
        <is>
          <t>Лента сигнальная "Электра" ЛСЭ 150</t>
        </is>
      </c>
      <c r="D61" s="223" t="inlineStr">
        <is>
          <t>100 м</t>
        </is>
      </c>
      <c r="E61" s="313" t="n">
        <v>1.3668</v>
      </c>
      <c r="F61" s="233" t="n">
        <v>70.37</v>
      </c>
      <c r="G61" s="26">
        <f>ROUND(E61*F61,2)</f>
        <v/>
      </c>
      <c r="H61" s="120">
        <f>G61/$G$84</f>
        <v/>
      </c>
      <c r="I61" s="26">
        <f>ROUND(F61*Прил.10!$D$13,2)</f>
        <v/>
      </c>
      <c r="J61" s="26">
        <f>ROUND(I61*E61,2)</f>
        <v/>
      </c>
    </row>
    <row r="62" hidden="1" outlineLevel="1" ht="25.5" customFormat="1" customHeight="1" s="12">
      <c r="A62" s="223" t="n">
        <v>33</v>
      </c>
      <c r="B62" s="223" t="inlineStr">
        <is>
          <t>01.7.15.03-0034</t>
        </is>
      </c>
      <c r="C62" s="231" t="inlineStr">
        <is>
          <t>Болты с гайками и шайбами оцинкованные, диаметр: 12 мм</t>
        </is>
      </c>
      <c r="D62" s="223" t="inlineStr">
        <is>
          <t>кг</t>
        </is>
      </c>
      <c r="E62" s="313" t="n">
        <v>3.56328</v>
      </c>
      <c r="F62" s="233" t="n">
        <v>25.76</v>
      </c>
      <c r="G62" s="26">
        <f>ROUND(E62*F62,2)</f>
        <v/>
      </c>
      <c r="H62" s="120">
        <f>G62/$G$84</f>
        <v/>
      </c>
      <c r="I62" s="26">
        <f>ROUND(F62*Прил.10!$D$13,2)</f>
        <v/>
      </c>
      <c r="J62" s="26">
        <f>ROUND(I62*E62,2)</f>
        <v/>
      </c>
    </row>
    <row r="63" hidden="1" outlineLevel="1" ht="25.5" customFormat="1" customHeight="1" s="12">
      <c r="A63" s="223" t="n">
        <v>34</v>
      </c>
      <c r="B63" s="223" t="inlineStr">
        <is>
          <t>14.4.04.11-0010</t>
        </is>
      </c>
      <c r="C63" s="231" t="inlineStr">
        <is>
          <t>Эмаль ХС-720 серебристая антикоррозийная</t>
        </is>
      </c>
      <c r="D63" s="223" t="inlineStr">
        <is>
          <t>т</t>
        </is>
      </c>
      <c r="E63" s="313" t="n">
        <v>0.0014</v>
      </c>
      <c r="F63" s="233" t="n">
        <v>35001</v>
      </c>
      <c r="G63" s="26">
        <f>ROUND(E63*F63,2)</f>
        <v/>
      </c>
      <c r="H63" s="120">
        <f>G63/$G$84</f>
        <v/>
      </c>
      <c r="I63" s="26">
        <f>ROUND(F63*Прил.10!$D$13,2)</f>
        <v/>
      </c>
      <c r="J63" s="26">
        <f>ROUND(I63*E63,2)</f>
        <v/>
      </c>
    </row>
    <row r="64" hidden="1" outlineLevel="1" ht="38.25" customFormat="1" customHeight="1" s="12">
      <c r="A64" s="223" t="n">
        <v>35</v>
      </c>
      <c r="B64" s="223" t="inlineStr">
        <is>
          <t>08.3.05.02-0101</t>
        </is>
      </c>
      <c r="C64" s="231" t="inlineStr">
        <is>
          <t>Сталь листовая углеродистая обыкновенного качества марки ВСт3пс5 толщиной: 4-6 мм</t>
        </is>
      </c>
      <c r="D64" s="223" t="inlineStr">
        <is>
          <t>т</t>
        </is>
      </c>
      <c r="E64" s="313" t="n">
        <v>0.0074</v>
      </c>
      <c r="F64" s="233" t="n">
        <v>5763</v>
      </c>
      <c r="G64" s="26">
        <f>ROUND(E64*F64,2)</f>
        <v/>
      </c>
      <c r="H64" s="120">
        <f>G64/$G$84</f>
        <v/>
      </c>
      <c r="I64" s="26">
        <f>ROUND(F64*Прил.10!$D$13,2)</f>
        <v/>
      </c>
      <c r="J64" s="26">
        <f>ROUND(I64*E64,2)</f>
        <v/>
      </c>
    </row>
    <row r="65" hidden="1" outlineLevel="1" ht="25.5" customFormat="1" customHeight="1" s="12">
      <c r="A65" s="223" t="n">
        <v>36</v>
      </c>
      <c r="B65" s="223" t="inlineStr">
        <is>
          <t>01.1.01.09-0024</t>
        </is>
      </c>
      <c r="C65" s="231" t="inlineStr">
        <is>
          <t>Шнур асбестовый общего назначения марки: ШАОН диаметром 3-5 мм</t>
        </is>
      </c>
      <c r="D65" s="223" t="inlineStr">
        <is>
          <t>т</t>
        </is>
      </c>
      <c r="E65" s="313" t="n">
        <v>0.0014</v>
      </c>
      <c r="F65" s="233" t="n">
        <v>26950</v>
      </c>
      <c r="G65" s="26">
        <f>ROUND(E65*F65,2)</f>
        <v/>
      </c>
      <c r="H65" s="120">
        <f>G65/$G$84</f>
        <v/>
      </c>
      <c r="I65" s="26">
        <f>ROUND(F65*Прил.10!$D$13,2)</f>
        <v/>
      </c>
      <c r="J65" s="26">
        <f>ROUND(I65*E65,2)</f>
        <v/>
      </c>
    </row>
    <row r="66" hidden="1" outlineLevel="1" ht="14.25" customFormat="1" customHeight="1" s="12">
      <c r="A66" s="223" t="n">
        <v>37</v>
      </c>
      <c r="B66" s="223" t="inlineStr">
        <is>
          <t>01.7.07.29-0111</t>
        </is>
      </c>
      <c r="C66" s="231" t="inlineStr">
        <is>
          <t>Пакля пропитанная</t>
        </is>
      </c>
      <c r="D66" s="223" t="inlineStr">
        <is>
          <t>кг</t>
        </is>
      </c>
      <c r="E66" s="313" t="n">
        <v>3.6</v>
      </c>
      <c r="F66" s="233" t="n">
        <v>9.039999999999999</v>
      </c>
      <c r="G66" s="26">
        <f>ROUND(E66*F66,2)</f>
        <v/>
      </c>
      <c r="H66" s="120">
        <f>G66/$G$84</f>
        <v/>
      </c>
      <c r="I66" s="26">
        <f>ROUND(F66*Прил.10!$D$13,2)</f>
        <v/>
      </c>
      <c r="J66" s="26">
        <f>ROUND(I66*E66,2)</f>
        <v/>
      </c>
    </row>
    <row r="67" hidden="1" outlineLevel="1" ht="14.25" customFormat="1" customHeight="1" s="12">
      <c r="A67" s="223" t="n">
        <v>38</v>
      </c>
      <c r="B67" s="223" t="inlineStr">
        <is>
          <t>01.3.01.01-0001</t>
        </is>
      </c>
      <c r="C67" s="231" t="inlineStr">
        <is>
          <t>Бензин авиационный Б-70</t>
        </is>
      </c>
      <c r="D67" s="223" t="inlineStr">
        <is>
          <t>т</t>
        </is>
      </c>
      <c r="E67" s="313" t="n">
        <v>0.0072</v>
      </c>
      <c r="F67" s="233" t="n">
        <v>4488.4</v>
      </c>
      <c r="G67" s="26">
        <f>ROUND(E67*F67,2)</f>
        <v/>
      </c>
      <c r="H67" s="120">
        <f>G67/$G$84</f>
        <v/>
      </c>
      <c r="I67" s="26">
        <f>ROUND(F67*Прил.10!$D$13,2)</f>
        <v/>
      </c>
      <c r="J67" s="26">
        <f>ROUND(I67*E67,2)</f>
        <v/>
      </c>
    </row>
    <row r="68" hidden="1" outlineLevel="1" ht="25.5" customFormat="1" customHeight="1" s="12">
      <c r="A68" s="223" t="n">
        <v>39</v>
      </c>
      <c r="B68" s="223" t="inlineStr">
        <is>
          <t>999-9950</t>
        </is>
      </c>
      <c r="C68" s="231" t="inlineStr">
        <is>
          <t>Вспомогательные ненормируемые ресурсы (2% от Оплаты труда рабочих)</t>
        </is>
      </c>
      <c r="D68" s="223" t="inlineStr">
        <is>
          <t>руб.</t>
        </is>
      </c>
      <c r="E68" s="313" t="n">
        <v>31.7677</v>
      </c>
      <c r="F68" s="233" t="n">
        <v>1</v>
      </c>
      <c r="G68" s="26">
        <f>ROUND(E68*F68,2)</f>
        <v/>
      </c>
      <c r="H68" s="120">
        <f>G68/$G$84</f>
        <v/>
      </c>
      <c r="I68" s="26">
        <f>ROUND(F68*Прил.10!$D$13,2)</f>
        <v/>
      </c>
      <c r="J68" s="26">
        <f>ROUND(I68*E68,2)</f>
        <v/>
      </c>
    </row>
    <row r="69" hidden="1" outlineLevel="1" ht="38.25" customFormat="1" customHeight="1" s="12">
      <c r="A69" s="223" t="n">
        <v>40</v>
      </c>
      <c r="B69" s="223" t="inlineStr">
        <is>
          <t>11.1.03.03-0003</t>
        </is>
      </c>
      <c r="C69" s="231" t="inlineStr">
        <is>
          <t>Брусья необрезные хвойных пород длиной: 2-3,75 м, все ширины, толщиной 100-125 мм, III сорта</t>
        </is>
      </c>
      <c r="D69" s="223" t="inlineStr">
        <is>
          <t>м3</t>
        </is>
      </c>
      <c r="E69" s="313" t="n">
        <v>0.0225</v>
      </c>
      <c r="F69" s="233" t="n">
        <v>802.46</v>
      </c>
      <c r="G69" s="26">
        <f>ROUND(E69*F69,2)</f>
        <v/>
      </c>
      <c r="H69" s="120">
        <f>G69/$G$84</f>
        <v/>
      </c>
      <c r="I69" s="26">
        <f>ROUND(F69*Прил.10!$D$13,2)</f>
        <v/>
      </c>
      <c r="J69" s="26">
        <f>ROUND(I69*E69,2)</f>
        <v/>
      </c>
    </row>
    <row r="70" hidden="1" outlineLevel="1" ht="38.25" customFormat="1" customHeight="1" s="12">
      <c r="A70" s="223" t="n">
        <v>41</v>
      </c>
      <c r="B70" s="223" t="inlineStr">
        <is>
          <t>02.2.05.04-0093</t>
        </is>
      </c>
      <c r="C70" s="231" t="inlineStr">
        <is>
          <t>Щебень из природного камня для строительных работ марка: 800, фракция 20-40 мм</t>
        </is>
      </c>
      <c r="D70" s="223" t="inlineStr">
        <is>
          <t>м3</t>
        </is>
      </c>
      <c r="E70" s="313" t="n">
        <v>0.1309</v>
      </c>
      <c r="F70" s="233" t="n">
        <v>108.4</v>
      </c>
      <c r="G70" s="26">
        <f>ROUND(E70*F70,2)</f>
        <v/>
      </c>
      <c r="H70" s="120">
        <f>G70/$G$84</f>
        <v/>
      </c>
      <c r="I70" s="26">
        <f>ROUND(F70*Прил.10!$D$13,2)</f>
        <v/>
      </c>
      <c r="J70" s="26">
        <f>ROUND(I70*E70,2)</f>
        <v/>
      </c>
    </row>
    <row r="71" hidden="1" outlineLevel="1" ht="14.25" customFormat="1" customHeight="1" s="12">
      <c r="A71" s="223" t="n">
        <v>42</v>
      </c>
      <c r="B71" s="223" t="inlineStr">
        <is>
          <t>01.7.11.07-0034</t>
        </is>
      </c>
      <c r="C71" s="231" t="inlineStr">
        <is>
          <t>Электроды диаметром: 4 мм Э42А</t>
        </is>
      </c>
      <c r="D71" s="223" t="inlineStr">
        <is>
          <t>кг</t>
        </is>
      </c>
      <c r="E71" s="313" t="n">
        <v>1.2487</v>
      </c>
      <c r="F71" s="233" t="n">
        <v>10.57</v>
      </c>
      <c r="G71" s="26">
        <f>ROUND(E71*F71,2)</f>
        <v/>
      </c>
      <c r="H71" s="120">
        <f>G71/$G$84</f>
        <v/>
      </c>
      <c r="I71" s="26">
        <f>ROUND(F71*Прил.10!$D$13,2)</f>
        <v/>
      </c>
      <c r="J71" s="26">
        <f>ROUND(I71*E71,2)</f>
        <v/>
      </c>
    </row>
    <row r="72" hidden="1" outlineLevel="1" ht="14.25" customFormat="1" customHeight="1" s="12">
      <c r="A72" s="223" t="n">
        <v>43</v>
      </c>
      <c r="B72" s="223" t="inlineStr">
        <is>
          <t>20.2.08.07-0033</t>
        </is>
      </c>
      <c r="C72" s="231" t="inlineStr">
        <is>
          <t>Скоба: У1078</t>
        </is>
      </c>
      <c r="D72" s="223" t="inlineStr">
        <is>
          <t>100 шт</t>
        </is>
      </c>
      <c r="E72" s="313" t="n">
        <v>0.0176</v>
      </c>
      <c r="F72" s="233" t="n">
        <v>617</v>
      </c>
      <c r="G72" s="26">
        <f>ROUND(E72*F72,2)</f>
        <v/>
      </c>
      <c r="H72" s="120">
        <f>G72/$G$84</f>
        <v/>
      </c>
      <c r="I72" s="26">
        <f>ROUND(F72*Прил.10!$D$13,2)</f>
        <v/>
      </c>
      <c r="J72" s="26">
        <f>ROUND(I72*E72,2)</f>
        <v/>
      </c>
    </row>
    <row r="73" hidden="1" outlineLevel="1" ht="14.25" customFormat="1" customHeight="1" s="12">
      <c r="A73" s="223" t="n">
        <v>44</v>
      </c>
      <c r="B73" s="223" t="inlineStr">
        <is>
          <t>01.7.15.07-0014</t>
        </is>
      </c>
      <c r="C73" s="231" t="inlineStr">
        <is>
          <t>Дюбели распорные полипропиленовые</t>
        </is>
      </c>
      <c r="D73" s="223" t="inlineStr">
        <is>
          <t>100 шт</t>
        </is>
      </c>
      <c r="E73" s="313" t="n">
        <v>0.064</v>
      </c>
      <c r="F73" s="233" t="n">
        <v>86</v>
      </c>
      <c r="G73" s="26">
        <f>ROUND(E73*F73,2)</f>
        <v/>
      </c>
      <c r="H73" s="120">
        <f>G73/$G$84</f>
        <v/>
      </c>
      <c r="I73" s="26">
        <f>ROUND(F73*Прил.10!$D$13,2)</f>
        <v/>
      </c>
      <c r="J73" s="26">
        <f>ROUND(I73*E73,2)</f>
        <v/>
      </c>
    </row>
    <row r="74" hidden="1" outlineLevel="1" ht="14.25" customFormat="1" customHeight="1" s="12">
      <c r="A74" s="223" t="n">
        <v>45</v>
      </c>
      <c r="B74" s="223" t="inlineStr">
        <is>
          <t>14.4.03.03-0002</t>
        </is>
      </c>
      <c r="C74" s="231" t="inlineStr">
        <is>
          <t>Лак битумный: БТ-123</t>
        </is>
      </c>
      <c r="D74" s="223" t="inlineStr">
        <is>
          <t>т</t>
        </is>
      </c>
      <c r="E74" s="313" t="n">
        <v>0.0005999999999999999</v>
      </c>
      <c r="F74" s="233" t="n">
        <v>7826.9</v>
      </c>
      <c r="G74" s="26">
        <f>ROUND(E74*F74,2)</f>
        <v/>
      </c>
      <c r="H74" s="120">
        <f>G74/$G$84</f>
        <v/>
      </c>
      <c r="I74" s="26">
        <f>ROUND(F74*Прил.10!$D$13,2)</f>
        <v/>
      </c>
      <c r="J74" s="26">
        <f>ROUND(I74*E74,2)</f>
        <v/>
      </c>
    </row>
    <row r="75" hidden="1" outlineLevel="1" ht="14.25" customFormat="1" customHeight="1" s="12">
      <c r="A75" s="223" t="n">
        <v>46</v>
      </c>
      <c r="B75" s="223" t="inlineStr">
        <is>
          <t>14.4.02.09-0001</t>
        </is>
      </c>
      <c r="C75" s="231" t="inlineStr">
        <is>
          <t>Краска</t>
        </is>
      </c>
      <c r="D75" s="223" t="inlineStr">
        <is>
          <t>кг</t>
        </is>
      </c>
      <c r="E75" s="313" t="n">
        <v>0.13</v>
      </c>
      <c r="F75" s="233" t="n">
        <v>28.6</v>
      </c>
      <c r="G75" s="26">
        <f>ROUND(E75*F75,2)</f>
        <v/>
      </c>
      <c r="H75" s="120">
        <f>G75/$G$84</f>
        <v/>
      </c>
      <c r="I75" s="26">
        <f>ROUND(F75*Прил.10!$D$13,2)</f>
        <v/>
      </c>
      <c r="J75" s="26">
        <f>ROUND(I75*E75,2)</f>
        <v/>
      </c>
    </row>
    <row r="76" hidden="1" outlineLevel="1" ht="14.25" customFormat="1" customHeight="1" s="12">
      <c r="A76" s="223" t="n">
        <v>47</v>
      </c>
      <c r="B76" s="223" t="inlineStr">
        <is>
          <t>01.7.06.07-0001</t>
        </is>
      </c>
      <c r="C76" s="231" t="inlineStr">
        <is>
          <t>Лента К226</t>
        </is>
      </c>
      <c r="D76" s="223" t="inlineStr">
        <is>
          <t>100 м</t>
        </is>
      </c>
      <c r="E76" s="313" t="n">
        <v>0.0216</v>
      </c>
      <c r="F76" s="233" t="n">
        <v>120</v>
      </c>
      <c r="G76" s="26">
        <f>ROUND(E76*F76,2)</f>
        <v/>
      </c>
      <c r="H76" s="120">
        <f>G76/$G$84</f>
        <v/>
      </c>
      <c r="I76" s="26">
        <f>ROUND(F76*Прил.10!$D$13,2)</f>
        <v/>
      </c>
      <c r="J76" s="26">
        <f>ROUND(I76*E76,2)</f>
        <v/>
      </c>
    </row>
    <row r="77" hidden="1" outlineLevel="1" ht="25.5" customFormat="1" customHeight="1" s="12">
      <c r="A77" s="223" t="n">
        <v>48</v>
      </c>
      <c r="B77" s="223" t="inlineStr">
        <is>
          <t>01.3.01.01-0002</t>
        </is>
      </c>
      <c r="C77" s="231" t="inlineStr">
        <is>
          <t>Бензин автомобильный АИ-98, АИ-95 «Экстра», АИ-93</t>
        </is>
      </c>
      <c r="D77" s="223" t="inlineStr">
        <is>
          <t>т</t>
        </is>
      </c>
      <c r="E77" s="313" t="n">
        <v>0.0003</v>
      </c>
      <c r="F77" s="233" t="n">
        <v>4770</v>
      </c>
      <c r="G77" s="26">
        <f>ROUND(E77*F77,2)</f>
        <v/>
      </c>
      <c r="H77" s="120">
        <f>G77/$G$84</f>
        <v/>
      </c>
      <c r="I77" s="26">
        <f>ROUND(F77*Прил.10!$D$13,2)</f>
        <v/>
      </c>
      <c r="J77" s="26">
        <f>ROUND(I77*E77,2)</f>
        <v/>
      </c>
    </row>
    <row r="78" hidden="1" outlineLevel="1" ht="14.25" customFormat="1" customHeight="1" s="12">
      <c r="A78" s="223" t="n">
        <v>49</v>
      </c>
      <c r="B78" s="223" t="inlineStr">
        <is>
          <t>01.7.15.03-0042</t>
        </is>
      </c>
      <c r="C78" s="231" t="inlineStr">
        <is>
          <t>Болты с гайками и шайбами строительные</t>
        </is>
      </c>
      <c r="D78" s="223" t="inlineStr">
        <is>
          <t>кг</t>
        </is>
      </c>
      <c r="E78" s="313" t="n">
        <v>0.148</v>
      </c>
      <c r="F78" s="233" t="n">
        <v>9.039999999999999</v>
      </c>
      <c r="G78" s="26">
        <f>ROUND(E78*F78,2)</f>
        <v/>
      </c>
      <c r="H78" s="120">
        <f>G78/$G$84</f>
        <v/>
      </c>
      <c r="I78" s="26">
        <f>ROUND(F78*Прил.10!$D$13,2)</f>
        <v/>
      </c>
      <c r="J78" s="26">
        <f>ROUND(I78*E78,2)</f>
        <v/>
      </c>
    </row>
    <row r="79" hidden="1" outlineLevel="1" ht="14.25" customFormat="1" customHeight="1" s="12">
      <c r="A79" s="223" t="n">
        <v>50</v>
      </c>
      <c r="B79" s="223" t="inlineStr">
        <is>
          <t>20.2.02.01-0019</t>
        </is>
      </c>
      <c r="C79" s="231" t="inlineStr">
        <is>
          <t>Втулки изолирующие</t>
        </is>
      </c>
      <c r="D79" s="223" t="inlineStr">
        <is>
          <t>1000 шт</t>
        </is>
      </c>
      <c r="E79" s="313" t="n">
        <v>0.004</v>
      </c>
      <c r="F79" s="233" t="n">
        <v>270</v>
      </c>
      <c r="G79" s="26">
        <f>ROUND(E79*F79,2)</f>
        <v/>
      </c>
      <c r="H79" s="120">
        <f>G79/$G$84</f>
        <v/>
      </c>
      <c r="I79" s="26">
        <f>ROUND(F79*Прил.10!$D$13,2)</f>
        <v/>
      </c>
      <c r="J79" s="26">
        <f>ROUND(I79*E79,2)</f>
        <v/>
      </c>
    </row>
    <row r="80" hidden="1" outlineLevel="1" ht="14.25" customFormat="1" customHeight="1" s="12">
      <c r="A80" s="223" t="n">
        <v>51</v>
      </c>
      <c r="B80" s="223" t="inlineStr">
        <is>
          <t>01.7.06.12-0008</t>
        </is>
      </c>
      <c r="C80" s="231" t="inlineStr">
        <is>
          <t>Лента ПХВ-304</t>
        </is>
      </c>
      <c r="D80" s="223" t="inlineStr">
        <is>
          <t>кг</t>
        </is>
      </c>
      <c r="E80" s="313" t="n">
        <v>0.04</v>
      </c>
      <c r="F80" s="233" t="n">
        <v>24.04</v>
      </c>
      <c r="G80" s="26">
        <f>ROUND(E80*F80,2)</f>
        <v/>
      </c>
      <c r="H80" s="120">
        <f>G80/$G$84</f>
        <v/>
      </c>
      <c r="I80" s="26">
        <f>ROUND(F80*Прил.10!$D$13,2)</f>
        <v/>
      </c>
      <c r="J80" s="26">
        <f>ROUND(I80*E80,2)</f>
        <v/>
      </c>
    </row>
    <row r="81" hidden="1" outlineLevel="1" ht="14.25" customFormat="1" customHeight="1" s="12">
      <c r="A81" s="223" t="n">
        <v>52</v>
      </c>
      <c r="B81" s="223" t="inlineStr">
        <is>
          <t>01.3.01.05-0009</t>
        </is>
      </c>
      <c r="C81" s="231" t="inlineStr">
        <is>
          <t>Парафины нефтяные твердые марки Т-1</t>
        </is>
      </c>
      <c r="D81" s="223" t="inlineStr">
        <is>
          <t>т</t>
        </is>
      </c>
      <c r="E81" s="313" t="n">
        <v>0.0001</v>
      </c>
      <c r="F81" s="233" t="n">
        <v>8105.71</v>
      </c>
      <c r="G81" s="26">
        <f>ROUND(E81*F81,2)</f>
        <v/>
      </c>
      <c r="H81" s="120">
        <f>G81/$G$84</f>
        <v/>
      </c>
      <c r="I81" s="26">
        <f>ROUND(F81*Прил.10!$D$13,2)</f>
        <v/>
      </c>
      <c r="J81" s="26">
        <f>ROUND(I81*E81,2)</f>
        <v/>
      </c>
    </row>
    <row r="82" hidden="1" outlineLevel="1" ht="25.5" customFormat="1" customHeight="1" s="12">
      <c r="A82" s="223" t="n">
        <v>53</v>
      </c>
      <c r="B82" s="223" t="inlineStr">
        <is>
          <t>03.2.01.01-0001</t>
        </is>
      </c>
      <c r="C82" s="231" t="inlineStr">
        <is>
          <t>Портландцемент общестроительного назначения бездобавочный, марки: 400</t>
        </is>
      </c>
      <c r="D82" s="223" t="inlineStr">
        <is>
          <t>т</t>
        </is>
      </c>
      <c r="E82" s="313" t="n">
        <v>0.0004</v>
      </c>
      <c r="F82" s="233" t="n">
        <v>412</v>
      </c>
      <c r="G82" s="26">
        <f>ROUND(E82*F82,2)</f>
        <v/>
      </c>
      <c r="H82" s="120">
        <f>G82/$G$84</f>
        <v/>
      </c>
      <c r="I82" s="26">
        <f>ROUND(F82*Прил.10!$D$13,2)</f>
        <v/>
      </c>
      <c r="J82" s="26">
        <f>ROUND(I82*E82,2)</f>
        <v/>
      </c>
    </row>
    <row r="83" collapsed="1" ht="14.25" customFormat="1" customHeight="1" s="12">
      <c r="A83" s="223" t="n"/>
      <c r="B83" s="223" t="n"/>
      <c r="C83" s="231" t="inlineStr">
        <is>
          <t>Итого прочие материалы</t>
        </is>
      </c>
      <c r="D83" s="223" t="n"/>
      <c r="E83" s="232" t="n"/>
      <c r="F83" s="233" t="n"/>
      <c r="G83" s="26">
        <f>SUM(G50:G82)</f>
        <v/>
      </c>
      <c r="H83" s="120">
        <f>G83/$G$84</f>
        <v/>
      </c>
      <c r="I83" s="26" t="n"/>
      <c r="J83" s="26">
        <f>SUM(J50:J82)</f>
        <v/>
      </c>
    </row>
    <row r="84" ht="14.25" customFormat="1" customHeight="1" s="12">
      <c r="A84" s="223" t="n"/>
      <c r="B84" s="223" t="n"/>
      <c r="C84" s="209" t="inlineStr">
        <is>
          <t>Итого по разделу «Материалы»</t>
        </is>
      </c>
      <c r="D84" s="223" t="n"/>
      <c r="E84" s="232" t="n"/>
      <c r="F84" s="233" t="n"/>
      <c r="G84" s="26">
        <f>G49+G83</f>
        <v/>
      </c>
      <c r="H84" s="234">
        <f>G84/$G$84</f>
        <v/>
      </c>
      <c r="I84" s="26" t="n"/>
      <c r="J84" s="26">
        <f>J49+J83</f>
        <v/>
      </c>
    </row>
    <row r="85" ht="14.25" customFormat="1" customHeight="1" s="12">
      <c r="A85" s="223" t="n"/>
      <c r="B85" s="223" t="n"/>
      <c r="C85" s="231" t="inlineStr">
        <is>
          <t>ИТОГО ПО РМ</t>
        </is>
      </c>
      <c r="D85" s="223" t="n"/>
      <c r="E85" s="232" t="n"/>
      <c r="F85" s="233" t="n"/>
      <c r="G85" s="26">
        <f>G15+G37+G84</f>
        <v/>
      </c>
      <c r="H85" s="234" t="n"/>
      <c r="I85" s="26" t="n"/>
      <c r="J85" s="26">
        <f>J15+J37+J84</f>
        <v/>
      </c>
    </row>
    <row r="86" ht="14.25" customFormat="1" customHeight="1" s="12">
      <c r="A86" s="223" t="n"/>
      <c r="B86" s="223" t="n"/>
      <c r="C86" s="231" t="inlineStr">
        <is>
          <t>Накладные расходы</t>
        </is>
      </c>
      <c r="D86" s="163">
        <f>ROUND(G86/(G$17+$G$15),2)</f>
        <v/>
      </c>
      <c r="E86" s="232" t="n"/>
      <c r="F86" s="233" t="n"/>
      <c r="G86" s="26">
        <f>13388.72+13580.12</f>
        <v/>
      </c>
      <c r="H86" s="234" t="n"/>
      <c r="I86" s="26" t="n"/>
      <c r="J86" s="26">
        <f>ROUND(D86*(J15+J17),2)</f>
        <v/>
      </c>
    </row>
    <row r="87" ht="14.25" customFormat="1" customHeight="1" s="12">
      <c r="A87" s="223" t="n"/>
      <c r="B87" s="223" t="n"/>
      <c r="C87" s="231" t="inlineStr">
        <is>
          <t>Сметная прибыль</t>
        </is>
      </c>
      <c r="D87" s="163">
        <f>ROUND(G87/(G$15+G$17),2)</f>
        <v/>
      </c>
      <c r="E87" s="232" t="n"/>
      <c r="F87" s="233" t="n"/>
      <c r="G87" s="26">
        <f>7953.9+6865.75</f>
        <v/>
      </c>
      <c r="H87" s="234" t="n"/>
      <c r="I87" s="26" t="n"/>
      <c r="J87" s="26">
        <f>ROUND(D87*(J15+J17),2)</f>
        <v/>
      </c>
    </row>
    <row r="88" ht="14.25" customFormat="1" customHeight="1" s="12">
      <c r="A88" s="223" t="n"/>
      <c r="B88" s="223" t="n"/>
      <c r="C88" s="231" t="inlineStr">
        <is>
          <t>Итого СМР (с НР и СП)</t>
        </is>
      </c>
      <c r="D88" s="223" t="n"/>
      <c r="E88" s="232" t="n"/>
      <c r="F88" s="233" t="n"/>
      <c r="G88" s="26">
        <f>G15+G37+G84+G86+G87</f>
        <v/>
      </c>
      <c r="H88" s="234" t="n"/>
      <c r="I88" s="26" t="n"/>
      <c r="J88" s="26">
        <f>J15+J37+J84+J86+J87</f>
        <v/>
      </c>
    </row>
    <row r="89" ht="14.25" customFormat="1" customHeight="1" s="12">
      <c r="A89" s="223" t="n"/>
      <c r="B89" s="223" t="n"/>
      <c r="C89" s="231" t="inlineStr">
        <is>
          <t>ВСЕГО СМР + ОБОРУДОВАНИЕ</t>
        </is>
      </c>
      <c r="D89" s="223" t="n"/>
      <c r="E89" s="232" t="n"/>
      <c r="F89" s="233" t="n"/>
      <c r="G89" s="26">
        <f>G88+G42</f>
        <v/>
      </c>
      <c r="H89" s="234" t="n"/>
      <c r="I89" s="26" t="n"/>
      <c r="J89" s="26">
        <f>J88+J42</f>
        <v/>
      </c>
    </row>
    <row r="90" ht="14.25" customFormat="1" customHeight="1" s="12">
      <c r="A90" s="223" t="n"/>
      <c r="B90" s="223" t="n"/>
      <c r="C90" s="231" t="inlineStr">
        <is>
          <t>ИТОГО ПОКАЗАТЕЛЬ НА ЕД. ИЗМ.</t>
        </is>
      </c>
      <c r="D90" s="223" t="inlineStr">
        <is>
          <t>1 км.</t>
        </is>
      </c>
      <c r="E90" s="317" t="n">
        <v>0.475</v>
      </c>
      <c r="F90" s="233" t="n"/>
      <c r="G90" s="26">
        <f>G89/E90</f>
        <v/>
      </c>
      <c r="H90" s="234" t="n"/>
      <c r="I90" s="26" t="n"/>
      <c r="J90" s="26">
        <f>J89/E90</f>
        <v/>
      </c>
    </row>
    <row r="92" ht="14.25" customFormat="1" customHeight="1" s="12">
      <c r="A92" s="4" t="inlineStr">
        <is>
          <t>Составил ______________________    Д.Ю. Нефедова</t>
        </is>
      </c>
    </row>
    <row r="93" ht="14.25" customFormat="1" customHeight="1" s="12">
      <c r="A93" s="27" t="inlineStr">
        <is>
          <t xml:space="preserve">                         (подпись, инициалы, фамилия)</t>
        </is>
      </c>
    </row>
    <row r="94" ht="14.25" customFormat="1" customHeight="1" s="12">
      <c r="A94" s="4" t="n"/>
    </row>
    <row r="95" ht="14.25" customFormat="1" customHeight="1" s="12">
      <c r="A95" s="4" t="inlineStr">
        <is>
          <t>Проверил ______________________        А.В. Костянецкая</t>
        </is>
      </c>
    </row>
    <row r="96" ht="14.25" customFormat="1" customHeight="1" s="12">
      <c r="A96" s="27" t="inlineStr">
        <is>
          <t xml:space="preserve">                        (подпись, инициалы, фамилия)</t>
        </is>
      </c>
    </row>
    <row r="100">
      <c r="G100" s="318" t="inlineStr">
        <is>
          <t> </t>
        </is>
      </c>
      <c r="H100" s="318" t="n"/>
      <c r="I100" s="318" t="n"/>
      <c r="J100" s="318" t="n"/>
    </row>
  </sheetData>
  <mergeCells count="21">
    <mergeCell ref="F10:G10"/>
    <mergeCell ref="A4:J4"/>
    <mergeCell ref="C10:C11"/>
    <mergeCell ref="H2:J2"/>
    <mergeCell ref="E10:E11"/>
    <mergeCell ref="B45:H45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B44:H44"/>
    <mergeCell ref="I10:J10"/>
    <mergeCell ref="B38:H38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39" t="inlineStr">
        <is>
          <t>Приложение №6</t>
        </is>
      </c>
    </row>
    <row r="2" ht="21.75" customHeight="1">
      <c r="A2" s="239" t="n"/>
      <c r="B2" s="239" t="n"/>
      <c r="C2" s="239" t="n"/>
      <c r="D2" s="239" t="n"/>
      <c r="E2" s="239" t="n"/>
      <c r="F2" s="239" t="n"/>
      <c r="G2" s="239" t="n"/>
    </row>
    <row r="3">
      <c r="A3" s="193" t="inlineStr">
        <is>
          <t>Расчет стоимости оборудования</t>
        </is>
      </c>
    </row>
    <row r="4" ht="27" customHeight="1">
      <c r="A4" s="196" t="inlineStr">
        <is>
          <t>Наименование разрабатываемого показателя УНЦ — Устройство траншеи КЛ (две цепи) и восстановление благоустройства по трассе без учета восстановления газонов (все регионы) напряжение 20-35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44" t="inlineStr">
        <is>
          <t>№ пп.</t>
        </is>
      </c>
      <c r="B6" s="244" t="inlineStr">
        <is>
          <t>Код ресурса</t>
        </is>
      </c>
      <c r="C6" s="244" t="inlineStr">
        <is>
          <t>Наименование</t>
        </is>
      </c>
      <c r="D6" s="244" t="inlineStr">
        <is>
          <t>Ед. изм.</t>
        </is>
      </c>
      <c r="E6" s="223" t="inlineStr">
        <is>
          <t>Кол-во единиц по проектным данным</t>
        </is>
      </c>
      <c r="F6" s="244" t="inlineStr">
        <is>
          <t>Сметная стоимость в ценах на 01.01.2000 (руб.)</t>
        </is>
      </c>
      <c r="G6" s="304" t="n"/>
    </row>
    <row r="7">
      <c r="A7" s="306" t="n"/>
      <c r="B7" s="306" t="n"/>
      <c r="C7" s="306" t="n"/>
      <c r="D7" s="306" t="n"/>
      <c r="E7" s="306" t="n"/>
      <c r="F7" s="223" t="inlineStr">
        <is>
          <t>на ед. изм.</t>
        </is>
      </c>
      <c r="G7" s="223" t="inlineStr">
        <is>
          <t>общая</t>
        </is>
      </c>
    </row>
    <row r="8">
      <c r="A8" s="223" t="n">
        <v>1</v>
      </c>
      <c r="B8" s="223" t="n">
        <v>2</v>
      </c>
      <c r="C8" s="223" t="n">
        <v>3</v>
      </c>
      <c r="D8" s="223" t="n">
        <v>4</v>
      </c>
      <c r="E8" s="223" t="n">
        <v>5</v>
      </c>
      <c r="F8" s="223" t="n">
        <v>6</v>
      </c>
      <c r="G8" s="223" t="n">
        <v>7</v>
      </c>
    </row>
    <row r="9" ht="15" customHeight="1">
      <c r="A9" s="145" t="n"/>
      <c r="B9" s="231" t="inlineStr">
        <is>
          <t>ИНЖЕНЕРНОЕ ОБОРУДОВАНИЕ</t>
        </is>
      </c>
      <c r="C9" s="303" t="n"/>
      <c r="D9" s="303" t="n"/>
      <c r="E9" s="303" t="n"/>
      <c r="F9" s="303" t="n"/>
      <c r="G9" s="304" t="n"/>
    </row>
    <row r="10" ht="27" customHeight="1">
      <c r="A10" s="223" t="n"/>
      <c r="B10" s="209" t="n"/>
      <c r="C10" s="231" t="inlineStr">
        <is>
          <t>ИТОГО ИНЖЕНЕРНОЕ ОБОРУДОВАНИЕ</t>
        </is>
      </c>
      <c r="D10" s="209" t="n"/>
      <c r="E10" s="161" t="n"/>
      <c r="F10" s="233" t="n"/>
      <c r="G10" s="233" t="n">
        <v>0</v>
      </c>
    </row>
    <row r="11">
      <c r="A11" s="223" t="n"/>
      <c r="B11" s="231" t="inlineStr">
        <is>
          <t>ТЕХНОЛОГИЧЕСКОЕ ОБОРУДОВАНИЕ</t>
        </is>
      </c>
      <c r="C11" s="303" t="n"/>
      <c r="D11" s="303" t="n"/>
      <c r="E11" s="303" t="n"/>
      <c r="F11" s="303" t="n"/>
      <c r="G11" s="304" t="n"/>
    </row>
    <row r="12" ht="25.5" customHeight="1">
      <c r="A12" s="223" t="n"/>
      <c r="B12" s="231" t="n"/>
      <c r="C12" s="231" t="inlineStr">
        <is>
          <t>ИТОГО ТЕХНОЛОГИЧЕСКОЕ ОБОРУДОВАНИЕ</t>
        </is>
      </c>
      <c r="D12" s="231" t="n"/>
      <c r="E12" s="243" t="n"/>
      <c r="F12" s="233" t="n"/>
      <c r="G12" s="26" t="n">
        <v>0</v>
      </c>
    </row>
    <row r="13" ht="19.5" customHeight="1">
      <c r="A13" s="223" t="n"/>
      <c r="B13" s="231" t="n"/>
      <c r="C13" s="231" t="inlineStr">
        <is>
          <t>Всего по разделу «Оборудование»</t>
        </is>
      </c>
      <c r="D13" s="231" t="n"/>
      <c r="E13" s="243" t="n"/>
      <c r="F13" s="233" t="n"/>
      <c r="G13" s="26">
        <f>G10+G12</f>
        <v/>
      </c>
    </row>
    <row r="14">
      <c r="A14" s="24" t="n"/>
      <c r="B14" s="162" t="n"/>
      <c r="C14" s="24" t="n"/>
      <c r="D14" s="24" t="n"/>
      <c r="E14" s="24" t="n"/>
      <c r="F14" s="24" t="n"/>
      <c r="G14" s="24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24" t="n"/>
      <c r="E15" s="24" t="n"/>
      <c r="F15" s="24" t="n"/>
      <c r="G15" s="24" t="n"/>
    </row>
    <row r="16">
      <c r="A16" s="27" t="inlineStr">
        <is>
          <t xml:space="preserve">                         (подпись, инициалы, фамилия)</t>
        </is>
      </c>
      <c r="B16" s="12" t="n"/>
      <c r="C16" s="12" t="n"/>
      <c r="D16" s="24" t="n"/>
      <c r="E16" s="24" t="n"/>
      <c r="F16" s="24" t="n"/>
      <c r="G16" s="24" t="n"/>
    </row>
    <row r="17">
      <c r="A17" s="4" t="n"/>
      <c r="B17" s="12" t="n"/>
      <c r="C17" s="12" t="n"/>
      <c r="D17" s="24" t="n"/>
      <c r="E17" s="24" t="n"/>
      <c r="F17" s="24" t="n"/>
      <c r="G17" s="24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24" t="n"/>
      <c r="E18" s="24" t="n"/>
      <c r="F18" s="24" t="n"/>
      <c r="G18" s="24" t="n"/>
    </row>
    <row r="19">
      <c r="A19" s="27" t="inlineStr">
        <is>
          <t xml:space="preserve">                        (подпись, инициалы, фамилия)</t>
        </is>
      </c>
      <c r="B19" s="12" t="n"/>
      <c r="C19" s="12" t="n"/>
      <c r="D19" s="24" t="n"/>
      <c r="E19" s="24" t="n"/>
      <c r="F19" s="24" t="n"/>
      <c r="G19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39" t="inlineStr">
        <is>
          <t>Приложение №7</t>
        </is>
      </c>
    </row>
    <row r="2">
      <c r="A2" s="239" t="n"/>
      <c r="B2" s="239" t="n"/>
      <c r="C2" s="239" t="n"/>
      <c r="D2" s="239" t="n"/>
    </row>
    <row r="3" ht="24.75" customHeight="1">
      <c r="A3" s="193" t="inlineStr">
        <is>
          <t>Расчет показателя УНЦ</t>
        </is>
      </c>
    </row>
    <row r="4" ht="24.75" customHeight="1">
      <c r="A4" s="193" t="n"/>
      <c r="B4" s="193" t="n"/>
      <c r="C4" s="193" t="n"/>
      <c r="D4" s="193" t="n"/>
    </row>
    <row r="5" ht="89.25" customHeight="1">
      <c r="A5" s="196" t="inlineStr">
        <is>
          <t xml:space="preserve">Наименование разрабатываемого показателя УНЦ - </t>
        </is>
      </c>
      <c r="D5" s="196">
        <f>'Прил.5 Расчет СМР и ОБ'!D6:J6</f>
        <v/>
      </c>
    </row>
    <row r="6" ht="19.9" customHeight="1">
      <c r="A6" s="196" t="inlineStr">
        <is>
          <t>Единица измерения  — 1 км</t>
        </is>
      </c>
      <c r="D6" s="196" t="n"/>
    </row>
    <row r="7">
      <c r="A7" s="4" t="n"/>
      <c r="B7" s="4" t="n"/>
      <c r="C7" s="4" t="n"/>
      <c r="D7" s="4" t="n"/>
    </row>
    <row r="8" ht="14.45" customHeight="1">
      <c r="A8" s="205" t="inlineStr">
        <is>
          <t>Код показателя</t>
        </is>
      </c>
      <c r="B8" s="205" t="inlineStr">
        <is>
          <t>Наименование показателя</t>
        </is>
      </c>
      <c r="C8" s="205" t="inlineStr">
        <is>
          <t>Наименование РМ, входящих в состав показателя</t>
        </is>
      </c>
      <c r="D8" s="205" t="inlineStr">
        <is>
          <t>Норматив цены на 01.01.2023, тыс.руб.</t>
        </is>
      </c>
    </row>
    <row r="9" ht="15" customHeight="1">
      <c r="A9" s="306" t="n"/>
      <c r="B9" s="306" t="n"/>
      <c r="C9" s="306" t="n"/>
      <c r="D9" s="306" t="n"/>
    </row>
    <row r="10">
      <c r="A10" s="223" t="n">
        <v>1</v>
      </c>
      <c r="B10" s="223" t="n">
        <v>2</v>
      </c>
      <c r="C10" s="223" t="n">
        <v>3</v>
      </c>
      <c r="D10" s="223" t="n">
        <v>4</v>
      </c>
    </row>
    <row r="11" ht="51" customHeight="1">
      <c r="A11" s="223" t="inlineStr">
        <is>
          <t>Б2-03-2</t>
        </is>
      </c>
      <c r="B11" s="223" t="inlineStr">
        <is>
          <t xml:space="preserve">УНЦ на устройство траншеи КЛ и восстановление благоустройства по трассе </t>
        </is>
      </c>
      <c r="C11" s="146">
        <f>D5</f>
        <v/>
      </c>
      <c r="D11" s="3">
        <f>'Прил.4 РМ'!C41/1000</f>
        <v/>
      </c>
      <c r="E11" s="144" t="n"/>
    </row>
    <row r="12">
      <c r="A12" s="24" t="n"/>
      <c r="B12" s="162" t="n"/>
      <c r="C12" s="24" t="n"/>
      <c r="D12" s="24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24" t="n"/>
    </row>
    <row r="14">
      <c r="A14" s="27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27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4" sqref="D24"/>
    </sheetView>
  </sheetViews>
  <sheetFormatPr baseColWidth="8" defaultRowHeight="15"/>
  <cols>
    <col width="9.140625" customWidth="1" min="1" max="1"/>
    <col width="40.7109375" customWidth="1" min="2" max="2"/>
    <col width="37.5703125" customWidth="1" min="3" max="3"/>
    <col width="32" customWidth="1" min="4" max="4"/>
    <col width="9.140625" customWidth="1" min="5" max="5"/>
  </cols>
  <sheetData>
    <row r="4" ht="15.75" customHeight="1">
      <c r="B4" s="200" t="inlineStr">
        <is>
          <t>Приложение № 10</t>
        </is>
      </c>
    </row>
    <row r="5" ht="18.75" customHeight="1">
      <c r="B5" s="107" t="n"/>
    </row>
    <row r="6" ht="15.75" customHeight="1">
      <c r="B6" s="201" t="inlineStr">
        <is>
          <t>Используемые индексы изменений сметной стоимости и нормы сопутствующих затрат</t>
        </is>
      </c>
    </row>
    <row r="7">
      <c r="B7" s="245" t="n"/>
    </row>
    <row r="8">
      <c r="B8" s="245" t="n"/>
      <c r="C8" s="245" t="n"/>
      <c r="D8" s="245" t="n"/>
      <c r="E8" s="245" t="n"/>
    </row>
    <row r="9" ht="47.25" customHeight="1">
      <c r="B9" s="205" t="inlineStr">
        <is>
          <t>Наименование индекса / норм сопутствующих затрат</t>
        </is>
      </c>
      <c r="C9" s="205" t="inlineStr">
        <is>
          <t>Дата применения и обоснование индекса / норм сопутствующих затрат</t>
        </is>
      </c>
      <c r="D9" s="205" t="inlineStr">
        <is>
          <t>Размер индекса / норма сопутствующих затрат</t>
        </is>
      </c>
    </row>
    <row r="10" ht="15.75" customHeight="1">
      <c r="B10" s="205" t="n">
        <v>1</v>
      </c>
      <c r="C10" s="205" t="n">
        <v>2</v>
      </c>
      <c r="D10" s="205" t="n">
        <v>3</v>
      </c>
    </row>
    <row r="11" ht="45" customHeight="1">
      <c r="B11" s="205" t="inlineStr">
        <is>
          <t xml:space="preserve">Индекс изменения сметной стоимости на 1 квартал 2023 года. ОЗП </t>
        </is>
      </c>
      <c r="C11" s="205" t="inlineStr">
        <is>
          <t>Письмо Минстроя России от 30.03.2023г. №17106-ИФ/09  прил.1</t>
        </is>
      </c>
      <c r="D11" s="205" t="n">
        <v>44.29</v>
      </c>
    </row>
    <row r="12" ht="31.5" customHeight="1">
      <c r="B12" s="205" t="inlineStr">
        <is>
          <t>Индекс изменения сметной стоимости на 1 квартал 2023 года. ЭМ</t>
        </is>
      </c>
      <c r="C12" s="205" t="inlineStr">
        <is>
          <t>Письмо Минстроя России от 30.03.2023г. №17106-ИФ/09  прил.1</t>
        </is>
      </c>
      <c r="D12" s="205" t="n">
        <v>10.77</v>
      </c>
    </row>
    <row r="13" ht="31.5" customHeight="1">
      <c r="B13" s="205" t="inlineStr">
        <is>
          <t>Индекс изменения сметной стоимости на 1 квартал 2023 года. МАТ</t>
        </is>
      </c>
      <c r="C13" s="205" t="inlineStr">
        <is>
          <t>Письмо Минстроя России от 30.03.2023г. №17106-ИФ/09  прил.1</t>
        </is>
      </c>
      <c r="D13" s="205" t="n">
        <v>4.39</v>
      </c>
    </row>
    <row r="14" ht="31.5" customHeight="1">
      <c r="B14" s="205" t="inlineStr">
        <is>
          <t>Индекс изменения сметной стоимости на 1 квартал 2023 года. ОБ</t>
        </is>
      </c>
      <c r="C14" s="106" t="inlineStr">
        <is>
          <t>Письмо Минстроя России от 23.02.2023г. №9791-ИФ/09 прил.6</t>
        </is>
      </c>
      <c r="D14" s="205" t="n">
        <v>6.26</v>
      </c>
    </row>
    <row r="15" ht="89.25" customHeight="1">
      <c r="B15" s="205" t="inlineStr">
        <is>
          <t>Временные здания и сооружения</t>
        </is>
      </c>
      <c r="C15" s="205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10" t="n">
        <v>0.025</v>
      </c>
    </row>
    <row r="16" ht="78.75" customHeight="1">
      <c r="B16" s="205" t="inlineStr">
        <is>
          <t>Дополнительные затраты при производстве строительно-монтажных работ в зимнее время</t>
        </is>
      </c>
      <c r="C16" s="205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10" t="n">
        <v>0.021</v>
      </c>
    </row>
    <row r="17" ht="31.5" customHeight="1">
      <c r="B17" s="205" t="inlineStr">
        <is>
          <t>Строительный контроль</t>
        </is>
      </c>
      <c r="C17" s="205" t="inlineStr">
        <is>
          <t>Постановление Правительства РФ от 21.06.10 г. № 468</t>
        </is>
      </c>
      <c r="D17" s="110" t="n">
        <v>0.0214</v>
      </c>
    </row>
    <row r="18" ht="31.5" customHeight="1">
      <c r="B18" s="205" t="inlineStr">
        <is>
          <t>Авторский надзор - 0,2%</t>
        </is>
      </c>
      <c r="C18" s="205" t="inlineStr">
        <is>
          <t>Приказ от 4.08.2020 № 421/пр п.173</t>
        </is>
      </c>
      <c r="D18" s="110" t="n">
        <v>0.002</v>
      </c>
    </row>
    <row r="19" ht="24" customHeight="1">
      <c r="B19" s="205" t="inlineStr">
        <is>
          <t>Непредвиденные расходы</t>
        </is>
      </c>
      <c r="C19" s="205" t="inlineStr">
        <is>
          <t>Приказ от 4.08.2020 № 421/пр п.179</t>
        </is>
      </c>
      <c r="D19" s="110" t="n">
        <v>0.03</v>
      </c>
    </row>
    <row r="20" ht="18.75" customHeight="1">
      <c r="B20" s="108" t="n"/>
    </row>
    <row r="21" ht="18.75" customHeight="1">
      <c r="B21" s="108" t="n"/>
    </row>
    <row r="22" ht="18.75" customHeight="1">
      <c r="B22" s="108" t="n"/>
    </row>
    <row r="23" ht="18.75" customHeight="1">
      <c r="B23" s="108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27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27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G18" sqref="G18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5.85546875" customWidth="1" min="6" max="6"/>
  </cols>
  <sheetData>
    <row r="2" ht="17.25" customHeight="1">
      <c r="A2" s="20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1" t="inlineStr">
        <is>
          <t>Составлен в уровне цен на 01.01.2023 г.</t>
        </is>
      </c>
      <c r="B4" s="130" t="n"/>
      <c r="C4" s="130" t="n"/>
      <c r="D4" s="130" t="n"/>
      <c r="E4" s="130" t="n"/>
      <c r="F4" s="130" t="n"/>
      <c r="G4" s="130" t="n"/>
    </row>
    <row r="5" ht="15.75" customHeight="1">
      <c r="A5" s="290" t="inlineStr">
        <is>
          <t>№ пп.</t>
        </is>
      </c>
      <c r="B5" s="290" t="inlineStr">
        <is>
          <t>Наименование элемента</t>
        </is>
      </c>
      <c r="C5" s="290" t="inlineStr">
        <is>
          <t>Обозначение</t>
        </is>
      </c>
      <c r="D5" s="290" t="inlineStr">
        <is>
          <t>Формула</t>
        </is>
      </c>
      <c r="E5" s="290" t="inlineStr">
        <is>
          <t>Величина элемента</t>
        </is>
      </c>
      <c r="F5" s="290" t="inlineStr">
        <is>
          <t>Наименования обосновывающих документов</t>
        </is>
      </c>
      <c r="G5" s="130" t="n"/>
    </row>
    <row r="6" ht="15.75" customHeight="1">
      <c r="A6" s="290" t="n">
        <v>1</v>
      </c>
      <c r="B6" s="290" t="n">
        <v>2</v>
      </c>
      <c r="C6" s="290" t="n">
        <v>3</v>
      </c>
      <c r="D6" s="290" t="n">
        <v>4</v>
      </c>
      <c r="E6" s="290" t="n">
        <v>5</v>
      </c>
      <c r="F6" s="290" t="n">
        <v>6</v>
      </c>
      <c r="G6" s="130" t="n"/>
    </row>
    <row r="7" ht="110.25" customHeight="1">
      <c r="A7" s="291" t="inlineStr">
        <is>
          <t>1.1</t>
        </is>
      </c>
      <c r="B7" s="29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93" t="inlineStr">
        <is>
          <t>С1ср</t>
        </is>
      </c>
      <c r="D7" s="293" t="inlineStr">
        <is>
          <t>-</t>
        </is>
      </c>
      <c r="E7" s="294" t="n">
        <v>47872.94</v>
      </c>
      <c r="F7" s="29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0" t="n"/>
    </row>
    <row r="8" ht="31.5" customHeight="1">
      <c r="A8" s="291" t="inlineStr">
        <is>
          <t>1.2</t>
        </is>
      </c>
      <c r="B8" s="292" t="inlineStr">
        <is>
          <t>Среднегодовое нормативное число часов работы одного рабочего в месяц, часы (ч.)</t>
        </is>
      </c>
      <c r="C8" s="293" t="inlineStr">
        <is>
          <t>tср</t>
        </is>
      </c>
      <c r="D8" s="293" t="inlineStr">
        <is>
          <t>1973ч/12мес.</t>
        </is>
      </c>
      <c r="E8" s="295">
        <f>1973/12</f>
        <v/>
      </c>
      <c r="F8" s="292" t="inlineStr">
        <is>
          <t>Производственный календарь 2023 год
(40-часов.неделя)</t>
        </is>
      </c>
      <c r="G8" s="192" t="n"/>
    </row>
    <row r="9" ht="15.75" customHeight="1">
      <c r="A9" s="291" t="inlineStr">
        <is>
          <t>1.3</t>
        </is>
      </c>
      <c r="B9" s="292" t="inlineStr">
        <is>
          <t>Коэффициент увеличения</t>
        </is>
      </c>
      <c r="C9" s="293" t="inlineStr">
        <is>
          <t>Кув</t>
        </is>
      </c>
      <c r="D9" s="293" t="inlineStr">
        <is>
          <t>-</t>
        </is>
      </c>
      <c r="E9" s="295" t="n">
        <v>1</v>
      </c>
      <c r="F9" s="292" t="n"/>
      <c r="G9" s="192" t="n"/>
    </row>
    <row r="10" ht="15.75" customHeight="1">
      <c r="A10" s="291" t="inlineStr">
        <is>
          <t>1.4</t>
        </is>
      </c>
      <c r="B10" s="292" t="inlineStr">
        <is>
          <t>Средний разряд работ</t>
        </is>
      </c>
      <c r="C10" s="293" t="n"/>
      <c r="D10" s="293" t="n"/>
      <c r="E10" s="319" t="n">
        <v>2.2</v>
      </c>
      <c r="F10" s="292" t="inlineStr">
        <is>
          <t>РТМ</t>
        </is>
      </c>
      <c r="G10" s="192" t="n"/>
    </row>
    <row r="11" ht="78.75" customHeight="1">
      <c r="A11" s="291" t="inlineStr">
        <is>
          <t>1.5</t>
        </is>
      </c>
      <c r="B11" s="292" t="inlineStr">
        <is>
          <t>Тарифный коэффициент среднего разряда работ</t>
        </is>
      </c>
      <c r="C11" s="293" t="inlineStr">
        <is>
          <t>КТ</t>
        </is>
      </c>
      <c r="D11" s="293" t="inlineStr">
        <is>
          <t>-</t>
        </is>
      </c>
      <c r="E11" s="320" t="n">
        <v>1.105</v>
      </c>
      <c r="F11" s="29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0" t="n"/>
    </row>
    <row r="12" ht="78.75" customHeight="1">
      <c r="A12" s="291" t="inlineStr">
        <is>
          <t>1.6</t>
        </is>
      </c>
      <c r="B12" s="298" t="inlineStr">
        <is>
          <t>Коэффициент инфляции, определяемый поквартально</t>
        </is>
      </c>
      <c r="C12" s="293" t="inlineStr">
        <is>
          <t>Кинф</t>
        </is>
      </c>
      <c r="D12" s="293" t="inlineStr">
        <is>
          <t>-</t>
        </is>
      </c>
      <c r="E12" s="321" t="n">
        <v>1.139</v>
      </c>
      <c r="F12" s="30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91" t="inlineStr">
        <is>
          <t>1.7</t>
        </is>
      </c>
      <c r="B13" s="301" t="inlineStr">
        <is>
          <t>Размер средств на оплату труда рабочих-строителей в текущем уровне цен (ФОТр.тек.), руб/чел.-ч</t>
        </is>
      </c>
      <c r="C13" s="293" t="inlineStr">
        <is>
          <t>ФОТр.тек.</t>
        </is>
      </c>
      <c r="D13" s="293" t="inlineStr">
        <is>
          <t>(С1ср/tср*КТ*Т*Кув)*Кинф</t>
        </is>
      </c>
      <c r="E13" s="302">
        <f>((E7*E9/E8)*E11)*E12</f>
        <v/>
      </c>
      <c r="F13" s="29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2025-01-24T11:53:53Z</dcterms:modified>
  <cp:lastModifiedBy>112</cp:lastModifiedBy>
  <cp:lastPrinted>2023-11-27T08:05:56Z</cp:lastPrinted>
</cp:coreProperties>
</file>