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708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0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45" t="n"/>
      <c r="C6" s="245" t="n"/>
      <c r="D6" s="245" t="n"/>
    </row>
    <row r="7" ht="64.5" customHeight="1" s="320">
      <c r="B7" s="349" t="inlineStr">
        <is>
          <t>Наименование разрабатываемого показателя УНЦ - Устройство траншеи КЛ 110-220 кВ 2ц (Все регионы за исключением Москвы и Санкт-Петербурга)</t>
        </is>
      </c>
    </row>
    <row r="8" ht="31.5" customHeight="1" s="320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0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05" t="n"/>
    </row>
    <row r="12">
      <c r="B12" s="353" t="n">
        <v>1</v>
      </c>
      <c r="C12" s="334" t="inlineStr">
        <is>
          <t>Наименование объекта-представителя</t>
        </is>
      </c>
      <c r="D12" s="353" t="inlineStr">
        <is>
          <t>КЛ 220 кВ Хованская-Лесная, 1 и 2 цепь</t>
        </is>
      </c>
    </row>
    <row r="13">
      <c r="B13" s="353" t="n">
        <v>2</v>
      </c>
      <c r="C13" s="334" t="inlineStr">
        <is>
          <t>Наименование субъекта Российской Федерации</t>
        </is>
      </c>
      <c r="D13" s="353" t="inlineStr">
        <is>
          <t>г. Москва, Московская обл.</t>
        </is>
      </c>
    </row>
    <row r="14">
      <c r="B14" s="353" t="n">
        <v>3</v>
      </c>
      <c r="C14" s="334" t="inlineStr">
        <is>
          <t>Климатический район и подрайон</t>
        </is>
      </c>
      <c r="D14" s="353" t="inlineStr">
        <is>
          <t>IIIВ</t>
        </is>
      </c>
    </row>
    <row r="15">
      <c r="B15" s="353" t="n">
        <v>4</v>
      </c>
      <c r="C15" s="334" t="inlineStr">
        <is>
          <t>Мощность объекта</t>
        </is>
      </c>
      <c r="D15" s="353" t="n">
        <v>8.449999999999999</v>
      </c>
    </row>
    <row r="16" ht="63" customHeight="1" s="320">
      <c r="B16" s="353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 xml:space="preserve">Плиты железобетонные размерами 500х500х50 мм, смесь песчано-гравийная </t>
        </is>
      </c>
    </row>
    <row r="17" ht="63" customHeight="1" s="320">
      <c r="B17" s="353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23" t="n"/>
    </row>
    <row r="18">
      <c r="B18" s="204" t="inlineStr">
        <is>
          <t>6.1</t>
        </is>
      </c>
      <c r="C18" s="334" t="inlineStr">
        <is>
          <t>строительно-монтажные работы</t>
        </is>
      </c>
      <c r="D18" s="309">
        <f>'Прил.2 Расч стоим'!J13</f>
        <v/>
      </c>
    </row>
    <row r="19">
      <c r="B19" s="204" t="inlineStr">
        <is>
          <t>6.2</t>
        </is>
      </c>
      <c r="C19" s="334" t="inlineStr">
        <is>
          <t>оборудование и инвентарь</t>
        </is>
      </c>
      <c r="D19" s="309" t="n">
        <v>0</v>
      </c>
    </row>
    <row r="20">
      <c r="B20" s="204" t="inlineStr">
        <is>
          <t>6.3</t>
        </is>
      </c>
      <c r="C20" s="334" t="inlineStr">
        <is>
          <t>пусконаладочные работы</t>
        </is>
      </c>
      <c r="D20" s="309" t="n">
        <v>0</v>
      </c>
    </row>
    <row r="21">
      <c r="B21" s="204" t="inlineStr">
        <is>
          <t>6.4</t>
        </is>
      </c>
      <c r="C21" s="203" t="inlineStr">
        <is>
          <t>прочие и лимитированные затраты</t>
        </is>
      </c>
      <c r="D21" s="309">
        <f>D18*0.022+(D18*0.022+D18)*0.021</f>
        <v/>
      </c>
    </row>
    <row r="22">
      <c r="B22" s="353" t="n">
        <v>7</v>
      </c>
      <c r="C22" s="203" t="inlineStr">
        <is>
          <t>Сопоставимый уровень цен</t>
        </is>
      </c>
      <c r="D22" s="310" t="inlineStr">
        <is>
          <t>3 кв. 2017 г.</t>
        </is>
      </c>
      <c r="E22" s="201" t="n"/>
    </row>
    <row r="23" ht="78.75" customHeight="1" s="320">
      <c r="B23" s="353" t="n">
        <v>8</v>
      </c>
      <c r="C23" s="2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23" t="n"/>
    </row>
    <row r="24" ht="31.5" customHeight="1" s="320">
      <c r="B24" s="353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01" t="n"/>
    </row>
    <row r="25">
      <c r="B25" s="353" t="n">
        <v>10</v>
      </c>
      <c r="C25" s="334" t="inlineStr">
        <is>
          <t>Примечание</t>
        </is>
      </c>
      <c r="D25" s="353" t="n"/>
    </row>
    <row r="26">
      <c r="B26" s="199" t="n"/>
      <c r="C26" s="198" t="n"/>
      <c r="D26" s="198" t="n"/>
    </row>
    <row r="27" ht="37.5" customHeight="1" s="320">
      <c r="B27" s="307" t="n"/>
    </row>
    <row r="28">
      <c r="B28" s="322" t="inlineStr">
        <is>
          <t>Составил ______________________    Д.Ю. Нефедова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J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9.140625" customWidth="1" style="322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ht="29.25" customHeight="1" s="320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0">
      <c r="B8" s="233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0">
      <c r="B10" s="443" t="n"/>
      <c r="C10" s="443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2017 г., тыс. руб.</t>
        </is>
      </c>
      <c r="G10" s="441" t="n"/>
      <c r="H10" s="441" t="n"/>
      <c r="I10" s="441" t="n"/>
      <c r="J10" s="442" t="n"/>
    </row>
    <row r="11" ht="31.5" customHeight="1" s="320">
      <c r="B11" s="444" t="n"/>
      <c r="C11" s="444" t="n"/>
      <c r="D11" s="444" t="n"/>
      <c r="E11" s="444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54" customHeight="1" s="320">
      <c r="B12" s="312" t="n">
        <v>1</v>
      </c>
      <c r="C12" s="313">
        <f>'Прил.1 Сравнит табл'!D16</f>
        <v/>
      </c>
      <c r="D12" s="314" t="inlineStr">
        <is>
          <t>02-01-01</t>
        </is>
      </c>
      <c r="E12" s="334" t="inlineStr">
        <is>
          <t>Прокладка КЛ 220 кВ</t>
        </is>
      </c>
      <c r="F12" s="316" t="n">
        <v>48942.77393</v>
      </c>
      <c r="G12" s="316" t="n">
        <v>37725.09389</v>
      </c>
      <c r="H12" s="316" t="n">
        <v>0</v>
      </c>
      <c r="I12" s="316" t="n"/>
      <c r="J12" s="317">
        <f>SUM(F12:I12)</f>
        <v/>
      </c>
    </row>
    <row r="13" ht="15" customHeight="1" s="320">
      <c r="B13" s="352" t="inlineStr">
        <is>
          <t>Всего по объекту:</t>
        </is>
      </c>
      <c r="C13" s="441" t="n"/>
      <c r="D13" s="441" t="n"/>
      <c r="E13" s="442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</row>
    <row r="14" ht="15.75" customHeight="1" s="320">
      <c r="B14" s="352" t="inlineStr">
        <is>
          <t>Всего по объекту в сопоставимом уровне цен 3 кв. 2017 г. :</t>
        </is>
      </c>
      <c r="C14" s="441" t="n"/>
      <c r="D14" s="441" t="n"/>
      <c r="E14" s="442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</row>
    <row r="15" ht="15" customHeight="1" s="320"/>
    <row r="16" ht="15" customHeight="1" s="320"/>
    <row r="17" ht="15" customHeight="1" s="320"/>
    <row r="18" ht="15" customHeight="1" s="320">
      <c r="C18" s="295" t="inlineStr">
        <is>
          <t>Составил ______________________     Д.Ю. Нефедова</t>
        </is>
      </c>
      <c r="D18" s="305" t="n"/>
      <c r="E18" s="305" t="n"/>
    </row>
    <row r="19" ht="15" customHeight="1" s="320">
      <c r="C19" s="304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0">
      <c r="C20" s="295" t="n"/>
      <c r="D20" s="305" t="n"/>
      <c r="E20" s="305" t="n"/>
    </row>
    <row r="21" ht="15" customHeight="1" s="320">
      <c r="C21" s="295" t="inlineStr">
        <is>
          <t>Проверил ______________________        А.В. Костянецкая</t>
        </is>
      </c>
      <c r="D21" s="305" t="n"/>
      <c r="E21" s="305" t="n"/>
    </row>
    <row r="22" ht="15" customHeight="1" s="320">
      <c r="C22" s="304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0"/>
    <row r="24" ht="15" customHeight="1" s="320"/>
    <row r="25" ht="15" customHeight="1" s="320"/>
    <row r="26" ht="15" customHeight="1" s="320"/>
    <row r="27" ht="15" customHeight="1" s="320"/>
    <row r="28" ht="15" customHeight="1" s="32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5"/>
  <sheetViews>
    <sheetView view="pageBreakPreview" topLeftCell="A37" zoomScale="55" zoomScaleSheetLayoutView="55" workbookViewId="0">
      <selection activeCell="E63" sqref="E63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9"/>
    <col width="15.5703125" customWidth="1" style="322" min="10" max="10"/>
    <col width="15" customWidth="1" style="322" min="11" max="11"/>
    <col width="9.140625" customWidth="1" style="322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0">
      <c r="A4" s="228" t="n"/>
      <c r="B4" s="228" t="n"/>
      <c r="C4" s="359" t="n"/>
    </row>
    <row r="5">
      <c r="A5" s="350" t="n"/>
    </row>
    <row r="6" ht="33.75" customHeight="1" s="320">
      <c r="A6" s="358" t="inlineStr">
        <is>
          <t>Наименование разрабатываемого показателя УНЦ -  Устройство траншеи КЛ 110-220 кВ 2ц (Все регионы за исключением Москвы и Санкт-Петербурга)</t>
        </is>
      </c>
    </row>
    <row r="7">
      <c r="A7" s="206" t="n"/>
      <c r="B7" s="206" t="n"/>
      <c r="C7" s="206" t="n"/>
      <c r="D7" s="206" t="n"/>
      <c r="E7" s="206" t="n"/>
      <c r="F7" s="206" t="n"/>
      <c r="G7" s="206" t="n"/>
      <c r="H7" s="206" t="n"/>
    </row>
    <row r="8" ht="38.25" customHeight="1" s="320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42" t="n"/>
    </row>
    <row r="9" ht="40.5" customHeight="1" s="320">
      <c r="A9" s="444" t="n"/>
      <c r="B9" s="444" t="n"/>
      <c r="C9" s="444" t="n"/>
      <c r="D9" s="444" t="n"/>
      <c r="E9" s="444" t="n"/>
      <c r="F9" s="444" t="n"/>
      <c r="G9" s="353" t="inlineStr">
        <is>
          <t>на ед.изм.</t>
        </is>
      </c>
      <c r="H9" s="353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07">
      <c r="A11" s="355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SUM(F12:F19)</f>
        <v/>
      </c>
      <c r="G11" s="226" t="n"/>
      <c r="H11" s="445">
        <f>SUM(H12:H19)</f>
        <v/>
      </c>
    </row>
    <row r="12">
      <c r="A12" s="385" t="n">
        <v>1</v>
      </c>
      <c r="B12" s="267" t="n"/>
      <c r="C12" s="263" t="inlineStr">
        <is>
          <t>1-2-8</t>
        </is>
      </c>
      <c r="D12" s="264" t="inlineStr">
        <is>
          <t>Затраты труда рабочих (средний разряд работы 2,8)</t>
        </is>
      </c>
      <c r="E12" s="385" t="inlineStr">
        <is>
          <t>чел.-ч</t>
        </is>
      </c>
      <c r="F12" s="446" t="n">
        <v>10019.42</v>
      </c>
      <c r="G12" s="256" t="n">
        <v>8.380000000000001</v>
      </c>
      <c r="H12" s="256">
        <f>ROUND(F12*G12,2)</f>
        <v/>
      </c>
      <c r="M12" s="447" t="n"/>
    </row>
    <row r="13">
      <c r="A13" s="385" t="n">
        <v>2</v>
      </c>
      <c r="B13" s="267" t="n"/>
      <c r="C13" s="263" t="inlineStr">
        <is>
          <t>1-3-0</t>
        </is>
      </c>
      <c r="D13" s="264" t="inlineStr">
        <is>
          <t>Затраты труда рабочих (средний разряд работы 3,0)</t>
        </is>
      </c>
      <c r="E13" s="385" t="inlineStr">
        <is>
          <t>чел.-ч</t>
        </is>
      </c>
      <c r="F13" s="446" t="n">
        <v>4743.34</v>
      </c>
      <c r="G13" s="256" t="n">
        <v>8.529999999999999</v>
      </c>
      <c r="H13" s="256">
        <f>ROUND(F13*G13,2)</f>
        <v/>
      </c>
    </row>
    <row r="14">
      <c r="A14" s="385" t="n">
        <v>3</v>
      </c>
      <c r="B14" s="267" t="n"/>
      <c r="C14" s="263" t="inlineStr">
        <is>
          <t>1-4-0</t>
        </is>
      </c>
      <c r="D14" s="264" t="inlineStr">
        <is>
          <t>Затраты труда рабочих (средний разряд работы 4,0)</t>
        </is>
      </c>
      <c r="E14" s="385" t="inlineStr">
        <is>
          <t>чел.-ч</t>
        </is>
      </c>
      <c r="F14" s="446" t="n">
        <v>2048.95</v>
      </c>
      <c r="G14" s="256" t="n">
        <v>9.619999999999999</v>
      </c>
      <c r="H14" s="256">
        <f>ROUND(F14*G14,2)</f>
        <v/>
      </c>
    </row>
    <row r="15">
      <c r="A15" s="385" t="n">
        <v>4</v>
      </c>
      <c r="B15" s="267" t="n"/>
      <c r="C15" s="263" t="inlineStr">
        <is>
          <t>1-2-0</t>
        </is>
      </c>
      <c r="D15" s="264" t="inlineStr">
        <is>
          <t>Затраты труда рабочих (средний разряд работы 2,0)</t>
        </is>
      </c>
      <c r="E15" s="385" t="inlineStr">
        <is>
          <t>чел.-ч</t>
        </is>
      </c>
      <c r="F15" s="446" t="n">
        <v>999.0700000000001</v>
      </c>
      <c r="G15" s="256" t="n">
        <v>7.8</v>
      </c>
      <c r="H15" s="256">
        <f>ROUND(F15*G15,2)</f>
        <v/>
      </c>
    </row>
    <row r="16">
      <c r="A16" s="385" t="n">
        <v>5</v>
      </c>
      <c r="B16" s="267" t="n"/>
      <c r="C16" s="263" t="inlineStr">
        <is>
          <t>1-1-5</t>
        </is>
      </c>
      <c r="D16" s="264" t="inlineStr">
        <is>
          <t>Затраты труда рабочих (средний разряд работы 1,5)</t>
        </is>
      </c>
      <c r="E16" s="385" t="inlineStr">
        <is>
          <t>чел.-ч</t>
        </is>
      </c>
      <c r="F16" s="446">
        <f>901.1+4.3230579</f>
        <v/>
      </c>
      <c r="G16" s="256" t="n">
        <v>7.5</v>
      </c>
      <c r="H16" s="256">
        <f>ROUND(F16*G16,2)</f>
        <v/>
      </c>
    </row>
    <row r="17">
      <c r="A17" s="385" t="n">
        <v>6</v>
      </c>
      <c r="B17" s="267" t="n"/>
      <c r="C17" s="263" t="inlineStr">
        <is>
          <t>1-5-0</t>
        </is>
      </c>
      <c r="D17" s="264" t="inlineStr">
        <is>
          <t>Затраты труда рабочих (средний разряд работы 5,0)</t>
        </is>
      </c>
      <c r="E17" s="385" t="inlineStr">
        <is>
          <t>чел.-ч</t>
        </is>
      </c>
      <c r="F17" s="446" t="n">
        <v>375</v>
      </c>
      <c r="G17" s="256" t="n">
        <v>11.09</v>
      </c>
      <c r="H17" s="256">
        <f>ROUND(F17*G17,2)</f>
        <v/>
      </c>
    </row>
    <row r="18">
      <c r="A18" s="385" t="n">
        <v>7</v>
      </c>
      <c r="B18" s="267" t="n"/>
      <c r="C18" s="263" t="inlineStr">
        <is>
          <t>1-6-0</t>
        </is>
      </c>
      <c r="D18" s="264" t="inlineStr">
        <is>
          <t>Затраты труда рабочих (средний разряд работы 6,0)</t>
        </is>
      </c>
      <c r="E18" s="385" t="inlineStr">
        <is>
          <t>чел.-ч</t>
        </is>
      </c>
      <c r="F18" s="446" t="n">
        <v>35.76</v>
      </c>
      <c r="G18" s="256" t="n">
        <v>12.92</v>
      </c>
      <c r="H18" s="256">
        <f>ROUND(F18*G18,2)</f>
        <v/>
      </c>
    </row>
    <row r="19">
      <c r="A19" s="385" t="n">
        <v>8</v>
      </c>
      <c r="B19" s="267" t="n"/>
      <c r="C19" s="263" t="inlineStr">
        <is>
          <t>1-1-0</t>
        </is>
      </c>
      <c r="D19" s="264" t="inlineStr">
        <is>
          <t>Затраты труда рабочих (средний разряд работы 1,0)</t>
        </is>
      </c>
      <c r="E19" s="385" t="inlineStr">
        <is>
          <t>чел.-ч</t>
        </is>
      </c>
      <c r="F19" s="446" t="n">
        <v>0.1</v>
      </c>
      <c r="G19" s="256" t="n">
        <v>7.19</v>
      </c>
      <c r="H19" s="256">
        <f>ROUND(F19*G19,2)</f>
        <v/>
      </c>
    </row>
    <row r="20">
      <c r="A20" s="354" t="inlineStr">
        <is>
          <t>Затраты труда машинистов</t>
        </is>
      </c>
      <c r="B20" s="441" t="n"/>
      <c r="C20" s="441" t="n"/>
      <c r="D20" s="441" t="n"/>
      <c r="E20" s="442" t="n"/>
      <c r="F20" s="355" t="n"/>
      <c r="G20" s="208" t="n"/>
      <c r="H20" s="445">
        <f>H21</f>
        <v/>
      </c>
    </row>
    <row r="21">
      <c r="A21" s="385" t="n">
        <v>9</v>
      </c>
      <c r="B21" s="356" t="n"/>
      <c r="C21" s="263" t="n">
        <v>2</v>
      </c>
      <c r="D21" s="264" t="inlineStr">
        <is>
          <t>Затраты труда машинистов</t>
        </is>
      </c>
      <c r="E21" s="385" t="inlineStr">
        <is>
          <t>чел.-ч</t>
        </is>
      </c>
      <c r="F21" s="446">
        <f>5593.16+9053.54</f>
        <v/>
      </c>
      <c r="G21" s="256" t="n"/>
      <c r="H21" s="448">
        <f>68723.92+122222.79</f>
        <v/>
      </c>
    </row>
    <row r="22" customFormat="1" s="207">
      <c r="A22" s="355" t="inlineStr">
        <is>
          <t>Машины и механизмы</t>
        </is>
      </c>
      <c r="B22" s="441" t="n"/>
      <c r="C22" s="441" t="n"/>
      <c r="D22" s="441" t="n"/>
      <c r="E22" s="442" t="n"/>
      <c r="F22" s="355" t="n"/>
      <c r="G22" s="208" t="n"/>
      <c r="H22" s="445">
        <f>SUM(H23:H35)</f>
        <v/>
      </c>
    </row>
    <row r="23">
      <c r="A23" s="385" t="n">
        <v>10</v>
      </c>
      <c r="B23" s="356" t="n"/>
      <c r="C23" s="263" t="inlineStr">
        <is>
          <t>91.14.03-002</t>
        </is>
      </c>
      <c r="D23" s="264" t="inlineStr">
        <is>
          <t>Автомобили-самосвалы, грузоподъемность до 10 т</t>
        </is>
      </c>
      <c r="E23" s="385" t="inlineStr">
        <is>
          <t>маш.-ч</t>
        </is>
      </c>
      <c r="F23" s="385" t="n">
        <v>9053.540000000001</v>
      </c>
      <c r="G23" s="260" t="n">
        <v>87.48999999999999</v>
      </c>
      <c r="H23" s="256">
        <f>ROUND(F23*G23,2)</f>
        <v/>
      </c>
      <c r="I23" s="230" t="n"/>
      <c r="J23" s="230" t="n"/>
      <c r="L23" s="230" t="n"/>
    </row>
    <row r="24" ht="25.5" customHeight="1" s="320">
      <c r="A24" s="385" t="n">
        <v>11</v>
      </c>
      <c r="B24" s="356" t="n"/>
      <c r="C24" s="263" t="inlineStr">
        <is>
          <t>91.01.05-086</t>
        </is>
      </c>
      <c r="D24" s="264" t="inlineStr">
        <is>
          <t>Экскаваторы одноковшовые дизельные на гусеничном ходу, емкость ковша 0,65 м3</t>
        </is>
      </c>
      <c r="E24" s="385" t="inlineStr">
        <is>
          <t>маш.-ч</t>
        </is>
      </c>
      <c r="F24" s="385" t="n">
        <v>1878.15</v>
      </c>
      <c r="G24" s="260" t="n">
        <v>115.27</v>
      </c>
      <c r="H24" s="256">
        <f>ROUND(F24*G24,2)</f>
        <v/>
      </c>
      <c r="I24" s="230" t="n"/>
      <c r="J24" s="230" t="n"/>
      <c r="L24" s="230" t="n"/>
    </row>
    <row r="25" ht="38.25" customFormat="1" customHeight="1" s="207">
      <c r="A25" s="385" t="n">
        <v>12</v>
      </c>
      <c r="B25" s="356" t="n"/>
      <c r="C25" s="263" t="inlineStr">
        <is>
          <t>91.18.01-007</t>
        </is>
      </c>
      <c r="D25" s="2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5" t="inlineStr">
        <is>
          <t>маш.-ч</t>
        </is>
      </c>
      <c r="F25" s="385" t="n">
        <v>1150.82</v>
      </c>
      <c r="G25" s="260" t="n">
        <v>90</v>
      </c>
      <c r="H25" s="256">
        <f>ROUND(F25*G25,2)</f>
        <v/>
      </c>
      <c r="I25" s="230" t="n"/>
      <c r="J25" s="230" t="n"/>
      <c r="K25" s="230" t="n"/>
      <c r="L25" s="230" t="n"/>
    </row>
    <row r="26" customFormat="1" s="207">
      <c r="A26" s="385" t="n">
        <v>13</v>
      </c>
      <c r="B26" s="356" t="n"/>
      <c r="C26" s="263" t="inlineStr">
        <is>
          <t>91.01.01-035</t>
        </is>
      </c>
      <c r="D26" s="264" t="inlineStr">
        <is>
          <t>Бульдозеры, мощность 79 кВт (108 л.с.)</t>
        </is>
      </c>
      <c r="E26" s="385" t="inlineStr">
        <is>
          <t>маш.-ч</t>
        </is>
      </c>
      <c r="F26" s="385" t="n">
        <v>746.7</v>
      </c>
      <c r="G26" s="260" t="n">
        <v>79.06999999999999</v>
      </c>
      <c r="H26" s="256">
        <f>ROUND(F26*G26,2)</f>
        <v/>
      </c>
      <c r="I26" s="230" t="n"/>
      <c r="J26" s="230" t="n"/>
      <c r="L26" s="230" t="n"/>
    </row>
    <row r="27" customFormat="1" s="207">
      <c r="A27" s="385" t="n">
        <v>14</v>
      </c>
      <c r="B27" s="356" t="n"/>
      <c r="C27" s="263" t="inlineStr">
        <is>
          <t>91.14.02-001</t>
        </is>
      </c>
      <c r="D27" s="264" t="inlineStr">
        <is>
          <t>Автомобили бортовые, грузоподъемность до 5 т</t>
        </is>
      </c>
      <c r="E27" s="385" t="inlineStr">
        <is>
          <t>маш.-ч</t>
        </is>
      </c>
      <c r="F27" s="385" t="n">
        <v>794.08</v>
      </c>
      <c r="G27" s="260" t="n">
        <v>65.70999999999999</v>
      </c>
      <c r="H27" s="256">
        <f>ROUND(F27*G27,2)</f>
        <v/>
      </c>
      <c r="I27" s="230" t="n"/>
      <c r="J27" s="230" t="n"/>
      <c r="L27" s="230" t="n"/>
    </row>
    <row r="28" customFormat="1" s="207">
      <c r="A28" s="385" t="n">
        <v>15</v>
      </c>
      <c r="B28" s="356" t="n"/>
      <c r="C28" s="263" t="inlineStr">
        <is>
          <t>91.01.01-034</t>
        </is>
      </c>
      <c r="D28" s="264" t="inlineStr">
        <is>
          <t>Бульдозеры, мощность 59 кВт (80 л.с.)</t>
        </is>
      </c>
      <c r="E28" s="385" t="inlineStr">
        <is>
          <t>маш.-ч</t>
        </is>
      </c>
      <c r="F28" s="385" t="n">
        <v>689.33</v>
      </c>
      <c r="G28" s="260" t="n">
        <v>59.47</v>
      </c>
      <c r="H28" s="256">
        <f>ROUND(F28*G28,2)</f>
        <v/>
      </c>
      <c r="I28" s="230" t="n"/>
      <c r="J28" s="230" t="n"/>
      <c r="L28" s="230" t="n"/>
    </row>
    <row r="29" ht="25.5" customFormat="1" customHeight="1" s="207">
      <c r="A29" s="385" t="n">
        <v>16</v>
      </c>
      <c r="B29" s="356" t="n"/>
      <c r="C29" s="263" t="inlineStr">
        <is>
          <t>91.05.05-014</t>
        </is>
      </c>
      <c r="D29" s="264" t="inlineStr">
        <is>
          <t>Краны на автомобильном ходу, грузоподъемность 10 т</t>
        </is>
      </c>
      <c r="E29" s="385" t="inlineStr">
        <is>
          <t>маш.час</t>
        </is>
      </c>
      <c r="F29" s="385" t="n">
        <v>330.68</v>
      </c>
      <c r="G29" s="260" t="n">
        <v>111.99</v>
      </c>
      <c r="H29" s="256">
        <f>ROUND(F29*G29,2)</f>
        <v/>
      </c>
      <c r="I29" s="230" t="n"/>
      <c r="J29" s="230" t="n"/>
      <c r="L29" s="230" t="n"/>
    </row>
    <row r="30" ht="25.5" customFormat="1" customHeight="1" s="207">
      <c r="A30" s="385" t="n">
        <v>17</v>
      </c>
      <c r="B30" s="356" t="n"/>
      <c r="C30" s="263" t="inlineStr">
        <is>
          <t>91.08.09-023</t>
        </is>
      </c>
      <c r="D30" s="264" t="inlineStr">
        <is>
          <t>Трамбовки пневматические при работе от: передвижных компрессорных станций</t>
        </is>
      </c>
      <c r="E30" s="385" t="inlineStr">
        <is>
          <t>маш.час</t>
        </is>
      </c>
      <c r="F30" s="385" t="n">
        <v>4610.84</v>
      </c>
      <c r="G30" s="260" t="n">
        <v>0.55</v>
      </c>
      <c r="H30" s="256">
        <f>ROUND(F30*G30,2)</f>
        <v/>
      </c>
      <c r="I30" s="230" t="n"/>
      <c r="J30" s="230" t="n"/>
      <c r="L30" s="230" t="n"/>
    </row>
    <row r="31" customFormat="1" s="207">
      <c r="A31" s="385" t="n">
        <v>18</v>
      </c>
      <c r="B31" s="356" t="n"/>
      <c r="C31" s="263" t="inlineStr">
        <is>
          <t>91.21.22-341</t>
        </is>
      </c>
      <c r="D31" s="264" t="inlineStr">
        <is>
          <t>Рефлектометр</t>
        </is>
      </c>
      <c r="E31" s="385" t="inlineStr">
        <is>
          <t>маш.час</t>
        </is>
      </c>
      <c r="F31" s="385" t="n">
        <v>28.92</v>
      </c>
      <c r="G31" s="260" t="n">
        <v>10.62</v>
      </c>
      <c r="H31" s="256">
        <f>ROUND(F31*G31,2)</f>
        <v/>
      </c>
      <c r="I31" s="230" t="n"/>
      <c r="J31" s="230" t="n"/>
      <c r="L31" s="230" t="n"/>
    </row>
    <row r="32" customFormat="1" s="207">
      <c r="A32" s="385" t="n">
        <v>19</v>
      </c>
      <c r="B32" s="356" t="n"/>
      <c r="C32" s="263" t="inlineStr">
        <is>
          <t>91.14.03-001</t>
        </is>
      </c>
      <c r="D32" s="264" t="inlineStr">
        <is>
          <t>Автомобиль-самосвал, грузоподъемность: до 7 т</t>
        </is>
      </c>
      <c r="E32" s="385" t="inlineStr">
        <is>
          <t>маш.час</t>
        </is>
      </c>
      <c r="F32" s="385" t="n">
        <v>3.3</v>
      </c>
      <c r="G32" s="260" t="n">
        <v>89.54000000000001</v>
      </c>
      <c r="H32" s="256">
        <f>ROUND(F32*G32,2)</f>
        <v/>
      </c>
      <c r="I32" s="230" t="n"/>
      <c r="J32" s="230" t="n"/>
      <c r="L32" s="230" t="n"/>
    </row>
    <row r="33" ht="25.5" customFormat="1" customHeight="1" s="207">
      <c r="A33" s="385" t="n">
        <v>20</v>
      </c>
      <c r="B33" s="356" t="n"/>
      <c r="C33" s="263" t="inlineStr">
        <is>
          <t>91.17.04-194</t>
        </is>
      </c>
      <c r="D33" s="264" t="inlineStr">
        <is>
          <t>Сварочный аппарат для сварки оптических кабелей со скалывателем</t>
        </is>
      </c>
      <c r="E33" s="385" t="inlineStr">
        <is>
          <t>маш.час</t>
        </is>
      </c>
      <c r="F33" s="385" t="n">
        <v>13.08</v>
      </c>
      <c r="G33" s="260" t="n">
        <v>12.14</v>
      </c>
      <c r="H33" s="256">
        <f>ROUND(F33*G33,2)</f>
        <v/>
      </c>
      <c r="I33" s="230" t="n"/>
      <c r="J33" s="230" t="n"/>
      <c r="L33" s="230" t="n"/>
    </row>
    <row r="34" ht="25.5" customFormat="1" customHeight="1" s="207">
      <c r="A34" s="385" t="n">
        <v>21</v>
      </c>
      <c r="B34" s="356" t="n"/>
      <c r="C34" s="263" t="inlineStr">
        <is>
          <t>91.17.04-233</t>
        </is>
      </c>
      <c r="D34" s="264" t="inlineStr">
        <is>
          <t>Установки для сварки: ручной дуговой (постоянного тока)</t>
        </is>
      </c>
      <c r="E34" s="385" t="inlineStr">
        <is>
          <t>маш.час</t>
        </is>
      </c>
      <c r="F34" s="385" t="n">
        <v>6.18</v>
      </c>
      <c r="G34" s="260" t="n">
        <v>8.1</v>
      </c>
      <c r="H34" s="256">
        <f>ROUND(F34*G34,2)</f>
        <v/>
      </c>
      <c r="I34" s="230" t="n"/>
      <c r="J34" s="230" t="n"/>
      <c r="L34" s="230" t="n"/>
    </row>
    <row r="35" customFormat="1" s="207">
      <c r="A35" s="385" t="n">
        <v>22</v>
      </c>
      <c r="B35" s="356" t="n"/>
      <c r="C35" s="263" t="inlineStr">
        <is>
          <t>91.13.01-038</t>
        </is>
      </c>
      <c r="D35" s="264" t="inlineStr">
        <is>
          <t>Машины поливомоечные 6000 л</t>
        </is>
      </c>
      <c r="E35" s="385" t="inlineStr">
        <is>
          <t>маш.час</t>
        </is>
      </c>
      <c r="F35" s="385" t="n">
        <v>0.1</v>
      </c>
      <c r="G35" s="260" t="n">
        <v>110</v>
      </c>
      <c r="H35" s="256">
        <f>ROUND(F35*G35,2)</f>
        <v/>
      </c>
      <c r="I35" s="230" t="n"/>
      <c r="J35" s="230" t="n"/>
      <c r="L35" s="230" t="n"/>
    </row>
    <row r="36" ht="15" customHeight="1" s="320">
      <c r="A36" s="355" t="inlineStr">
        <is>
          <t>Оборудование</t>
        </is>
      </c>
      <c r="B36" s="441" t="n"/>
      <c r="C36" s="441" t="n"/>
      <c r="D36" s="441" t="n"/>
      <c r="E36" s="442" t="n"/>
      <c r="F36" s="226" t="n"/>
      <c r="G36" s="226" t="n"/>
      <c r="H36" s="445" t="n">
        <v>0</v>
      </c>
    </row>
    <row r="37">
      <c r="A37" s="355" t="inlineStr">
        <is>
          <t>Материалы</t>
        </is>
      </c>
      <c r="B37" s="441" t="n"/>
      <c r="C37" s="441" t="n"/>
      <c r="D37" s="441" t="n"/>
      <c r="E37" s="442" t="n"/>
      <c r="F37" s="355" t="n"/>
      <c r="G37" s="208" t="n"/>
      <c r="H37" s="445">
        <f>SUM(H38:H57)</f>
        <v/>
      </c>
    </row>
    <row r="38">
      <c r="A38" s="266" t="n">
        <v>23</v>
      </c>
      <c r="B38" s="356" t="n"/>
      <c r="C38" s="263" t="inlineStr">
        <is>
          <t>Прайс из СД ОП</t>
        </is>
      </c>
      <c r="D38" s="264" t="inlineStr">
        <is>
          <t>Маркер интеллектуальный 1422-xR/iD</t>
        </is>
      </c>
      <c r="E38" s="385" t="inlineStr">
        <is>
          <t>шт.</t>
        </is>
      </c>
      <c r="F38" s="385" t="n">
        <v>375</v>
      </c>
      <c r="G38" s="256" t="n">
        <v>673.64</v>
      </c>
      <c r="H38" s="256" t="n">
        <v>252615</v>
      </c>
      <c r="I38" s="225" t="n"/>
      <c r="J38" s="230" t="n"/>
      <c r="K38" s="230" t="n"/>
    </row>
    <row r="39" ht="38.25" customHeight="1" s="320">
      <c r="A39" s="266" t="n">
        <v>24</v>
      </c>
      <c r="B39" s="356" t="n"/>
      <c r="C39" s="263" t="inlineStr">
        <is>
          <t>05.1.01.12-0001</t>
        </is>
      </c>
      <c r="D39" s="264" t="inlineStr">
        <is>
          <t>Плита перекрытия лотков и каналов доборная П4-15, бетон В25 (М350), объем 0,04 м3, расход арматуры 1,3 кг</t>
        </is>
      </c>
      <c r="E39" s="385" t="inlineStr">
        <is>
          <t>шт.</t>
        </is>
      </c>
      <c r="F39" s="385" t="n">
        <v>86500</v>
      </c>
      <c r="G39" s="256" t="n">
        <v>156.83</v>
      </c>
      <c r="H39" s="256" t="n">
        <v>13565795</v>
      </c>
      <c r="I39" s="225" t="n"/>
      <c r="J39" s="230" t="n"/>
      <c r="K39" s="230" t="n"/>
    </row>
    <row r="40" ht="25.5" customHeight="1" s="320">
      <c r="A40" s="266" t="n">
        <v>25</v>
      </c>
      <c r="B40" s="356" t="n"/>
      <c r="C40" s="263" t="inlineStr">
        <is>
          <t>02.2.04.03-0014</t>
        </is>
      </c>
      <c r="D40" s="264" t="inlineStr">
        <is>
          <t>Смесь песчано-гравийная обогащенная с содержанием гравия 50-65%</t>
        </is>
      </c>
      <c r="E40" s="385" t="inlineStr">
        <is>
          <t>м3</t>
        </is>
      </c>
      <c r="F40" s="385" t="n">
        <v>14036</v>
      </c>
      <c r="G40" s="256" t="n">
        <v>82.8</v>
      </c>
      <c r="H40" s="256" t="n">
        <v>1162180.8</v>
      </c>
      <c r="I40" s="225" t="n"/>
      <c r="J40" s="230" t="n"/>
      <c r="K40" s="230" t="n"/>
    </row>
    <row r="41">
      <c r="A41" s="266" t="n">
        <v>26</v>
      </c>
      <c r="B41" s="356" t="n"/>
      <c r="C41" s="263" t="inlineStr">
        <is>
          <t>Прайс из СД ОП</t>
        </is>
      </c>
      <c r="D41" s="264" t="inlineStr">
        <is>
          <t>Ложемент для соединительных муфт с креплениями</t>
        </is>
      </c>
      <c r="E41" s="385" t="inlineStr">
        <is>
          <t>шт.</t>
        </is>
      </c>
      <c r="F41" s="385" t="n">
        <v>18</v>
      </c>
      <c r="G41" s="256" t="n">
        <v>9500</v>
      </c>
      <c r="H41" s="256" t="n">
        <v>171000</v>
      </c>
      <c r="I41" s="225" t="n"/>
      <c r="J41" s="230" t="n"/>
      <c r="K41" s="230" t="n"/>
    </row>
    <row r="42" ht="25.5" customHeight="1" s="320">
      <c r="A42" s="266" t="n">
        <v>27</v>
      </c>
      <c r="B42" s="356" t="n"/>
      <c r="C42" s="263" t="inlineStr">
        <is>
          <t>02.3.01.02-0003</t>
        </is>
      </c>
      <c r="D42" s="264" t="inlineStr">
        <is>
          <t>Песок для строительных работ природный 50%; обогащенный 50%</t>
        </is>
      </c>
      <c r="E42" s="385" t="inlineStr">
        <is>
          <t>м3</t>
        </is>
      </c>
      <c r="F42" s="385" t="n">
        <v>396.6694</v>
      </c>
      <c r="G42" s="256" t="n">
        <v>54.95</v>
      </c>
      <c r="H42" s="256" t="n">
        <v>21796.98</v>
      </c>
      <c r="I42" s="225" t="n"/>
      <c r="J42" s="230" t="n"/>
      <c r="K42" s="230" t="n"/>
    </row>
    <row r="43" ht="25.5" customHeight="1" s="320">
      <c r="A43" s="266" t="n">
        <v>28</v>
      </c>
      <c r="B43" s="356" t="n"/>
      <c r="C43" s="263" t="inlineStr">
        <is>
          <t>08.3.08.02-0052</t>
        </is>
      </c>
      <c r="D43" s="264" t="inlineStr">
        <is>
          <t>Сталь угловая равнополочная, марка стали: ВСт3кп2, размером 50x50x5 мм</t>
        </is>
      </c>
      <c r="E43" s="385" t="inlineStr">
        <is>
          <t>т</t>
        </is>
      </c>
      <c r="F43" s="385" t="n">
        <v>1.9851</v>
      </c>
      <c r="G43" s="256" t="n">
        <v>5763</v>
      </c>
      <c r="H43" s="256" t="n">
        <v>11440.13</v>
      </c>
      <c r="I43" s="225" t="n"/>
      <c r="J43" s="230" t="n"/>
      <c r="K43" s="230" t="n"/>
    </row>
    <row r="44">
      <c r="A44" s="266" t="n">
        <v>29</v>
      </c>
      <c r="B44" s="356" t="n"/>
      <c r="C44" s="263" t="inlineStr">
        <is>
          <t>01.7.15.01-0001</t>
        </is>
      </c>
      <c r="D44" s="264" t="inlineStr">
        <is>
          <t>Анкер-шпилька Hilti HST М12х115/20</t>
        </is>
      </c>
      <c r="E44" s="385" t="inlineStr">
        <is>
          <t>шт</t>
        </is>
      </c>
      <c r="F44" s="385" t="n">
        <v>144</v>
      </c>
      <c r="G44" s="256" t="n">
        <v>42.49</v>
      </c>
      <c r="H44" s="256" t="n">
        <v>6118.56</v>
      </c>
      <c r="I44" s="225" t="n"/>
      <c r="J44" s="230" t="n"/>
      <c r="K44" s="230" t="n"/>
    </row>
    <row r="45">
      <c r="A45" s="266" t="n">
        <v>30</v>
      </c>
      <c r="B45" s="356" t="n"/>
      <c r="C45" s="263" t="inlineStr">
        <is>
          <t>01.7.07.26-0031</t>
        </is>
      </c>
      <c r="D45" s="264" t="inlineStr">
        <is>
          <t>Шнур плетеный хлопчатобумажный</t>
        </is>
      </c>
      <c r="E45" s="385" t="inlineStr">
        <is>
          <t>м</t>
        </is>
      </c>
      <c r="F45" s="385" t="n">
        <v>1500</v>
      </c>
      <c r="G45" s="256" t="n">
        <v>2.05</v>
      </c>
      <c r="H45" s="256" t="n">
        <v>3075</v>
      </c>
      <c r="I45" s="225" t="n"/>
      <c r="J45" s="230" t="n"/>
      <c r="K45" s="230" t="n"/>
    </row>
    <row r="46">
      <c r="A46" s="266" t="n">
        <v>31</v>
      </c>
      <c r="B46" s="356" t="n"/>
      <c r="C46" s="263" t="inlineStr">
        <is>
          <t>14.4.04.11-0010</t>
        </is>
      </c>
      <c r="D46" s="264" t="inlineStr">
        <is>
          <t>Эмаль ХС-720 серебристая антикоррозийная</t>
        </is>
      </c>
      <c r="E46" s="385" t="inlineStr">
        <is>
          <t>т</t>
        </is>
      </c>
      <c r="F46" s="385" t="n">
        <v>0.078</v>
      </c>
      <c r="G46" s="256" t="n">
        <v>35001</v>
      </c>
      <c r="H46" s="256" t="n">
        <v>2730.08</v>
      </c>
      <c r="I46" s="225" t="n"/>
      <c r="J46" s="230" t="n"/>
      <c r="K46" s="230" t="n"/>
    </row>
    <row r="47" ht="25.5" customHeight="1" s="320">
      <c r="A47" s="266" t="n">
        <v>32</v>
      </c>
      <c r="B47" s="356" t="n"/>
      <c r="C47" s="263" t="inlineStr">
        <is>
          <t>08.3.05.02-0101</t>
        </is>
      </c>
      <c r="D47" s="264" t="inlineStr">
        <is>
          <t>Сталь листовая углеродистая обыкновенного качества марки ВСт3пс5 толщиной: 4-6 мм</t>
        </is>
      </c>
      <c r="E47" s="385" t="inlineStr">
        <is>
          <t>т</t>
        </is>
      </c>
      <c r="F47" s="385" t="n">
        <v>0.4134</v>
      </c>
      <c r="G47" s="256" t="n">
        <v>5763</v>
      </c>
      <c r="H47" s="256" t="n">
        <v>2382.42</v>
      </c>
      <c r="I47" s="225" t="n"/>
      <c r="J47" s="230" t="n"/>
      <c r="K47" s="230" t="n"/>
    </row>
    <row r="48" ht="25.5" customHeight="1" s="320">
      <c r="A48" s="266" t="n">
        <v>33</v>
      </c>
      <c r="B48" s="356" t="n"/>
      <c r="C48" s="263" t="inlineStr">
        <is>
          <t>02.2.05.04-0093</t>
        </is>
      </c>
      <c r="D48" s="264" t="inlineStr">
        <is>
          <t>Щебень из природного камня для строительных работ марка: 800, фракция 20-40 мм</t>
        </is>
      </c>
      <c r="E48" s="385" t="inlineStr">
        <is>
          <t>м3</t>
        </is>
      </c>
      <c r="F48" s="385" t="n">
        <v>4.6177</v>
      </c>
      <c r="G48" s="256" t="n">
        <v>108.4</v>
      </c>
      <c r="H48" s="256" t="n">
        <v>500.56</v>
      </c>
      <c r="I48" s="225" t="n"/>
      <c r="J48" s="230" t="n"/>
      <c r="K48" s="230" t="n"/>
    </row>
    <row r="49" ht="25.5" customHeight="1" s="320">
      <c r="A49" s="266" t="n">
        <v>34</v>
      </c>
      <c r="B49" s="356" t="n"/>
      <c r="C49" s="263" t="inlineStr">
        <is>
          <t>999-9950</t>
        </is>
      </c>
      <c r="D49" s="264" t="inlineStr">
        <is>
          <t>Вспомогательные ненормируемые ресурсы (2% от Оплаты труда рабочих)</t>
        </is>
      </c>
      <c r="E49" s="385" t="inlineStr">
        <is>
          <t>руб.</t>
        </is>
      </c>
      <c r="F49" s="385" t="n">
        <v>485.3071</v>
      </c>
      <c r="G49" s="256" t="n">
        <v>1</v>
      </c>
      <c r="H49" s="256" t="n">
        <v>485.31</v>
      </c>
      <c r="I49" s="225" t="n"/>
      <c r="J49" s="230" t="n"/>
      <c r="K49" s="230" t="n"/>
    </row>
    <row r="50">
      <c r="A50" s="266" t="n">
        <v>35</v>
      </c>
      <c r="B50" s="356" t="n"/>
      <c r="C50" s="263" t="inlineStr">
        <is>
          <t>10.1.02.02-0012</t>
        </is>
      </c>
      <c r="D50" s="264" t="inlineStr">
        <is>
          <t>Алюминий листовой толщиной: 1,0-2,5 мм, гладкий</t>
        </is>
      </c>
      <c r="E50" s="385" t="inlineStr">
        <is>
          <t>кг</t>
        </is>
      </c>
      <c r="F50" s="385" t="n">
        <v>8.630000000000001</v>
      </c>
      <c r="G50" s="256" t="n">
        <v>47.66</v>
      </c>
      <c r="H50" s="256" t="n">
        <v>411.31</v>
      </c>
      <c r="I50" s="225" t="n"/>
      <c r="J50" s="230" t="n"/>
      <c r="K50" s="230" t="n"/>
    </row>
    <row r="51">
      <c r="A51" s="266" t="n">
        <v>36</v>
      </c>
      <c r="B51" s="356" t="n"/>
      <c r="C51" s="263" t="inlineStr">
        <is>
          <t>01.7.06.08-0003</t>
        </is>
      </c>
      <c r="D51" s="264" t="inlineStr">
        <is>
          <t>Лента сигнальная</t>
        </is>
      </c>
      <c r="E51" s="385" t="inlineStr">
        <is>
          <t>100 м</t>
        </is>
      </c>
      <c r="F51" s="385" t="n">
        <v>3.75</v>
      </c>
      <c r="G51" s="256" t="n">
        <v>108</v>
      </c>
      <c r="H51" s="256" t="n">
        <v>405</v>
      </c>
      <c r="I51" s="225" t="n"/>
      <c r="J51" s="230" t="n"/>
      <c r="K51" s="230" t="n"/>
    </row>
    <row r="52">
      <c r="A52" s="266" t="n">
        <v>37</v>
      </c>
      <c r="B52" s="356" t="n"/>
      <c r="C52" s="263" t="inlineStr">
        <is>
          <t>01.7.19.07-0002</t>
        </is>
      </c>
      <c r="D52" s="264" t="inlineStr">
        <is>
          <t>Резина листовая вулканизованная цветная</t>
        </is>
      </c>
      <c r="E52" s="385" t="inlineStr">
        <is>
          <t>кг</t>
        </is>
      </c>
      <c r="F52" s="385" t="n">
        <v>3.798</v>
      </c>
      <c r="G52" s="256" t="n">
        <v>24.86</v>
      </c>
      <c r="H52" s="256" t="n">
        <v>94.42</v>
      </c>
      <c r="I52" s="225" t="n"/>
      <c r="J52" s="230" t="n"/>
      <c r="K52" s="230" t="n"/>
    </row>
    <row r="53">
      <c r="A53" s="266" t="n">
        <v>38</v>
      </c>
      <c r="B53" s="356" t="n"/>
      <c r="C53" s="263" t="inlineStr">
        <is>
          <t>14.4.03.03-0002</t>
        </is>
      </c>
      <c r="D53" s="264" t="inlineStr">
        <is>
          <t>Лак битумный: БТ-123</t>
        </is>
      </c>
      <c r="E53" s="385" t="inlineStr">
        <is>
          <t>т</t>
        </is>
      </c>
      <c r="F53" s="385" t="n">
        <v>0.0015</v>
      </c>
      <c r="G53" s="256" t="n">
        <v>7826.9</v>
      </c>
      <c r="H53" s="256" t="n">
        <v>11.74</v>
      </c>
      <c r="I53" s="225" t="n"/>
      <c r="J53" s="230" t="n"/>
      <c r="K53" s="230" t="n"/>
    </row>
    <row r="54">
      <c r="A54" s="266" t="n">
        <v>39</v>
      </c>
      <c r="B54" s="356" t="n"/>
      <c r="C54" s="263" t="inlineStr">
        <is>
          <t>01.7.11.07-0034</t>
        </is>
      </c>
      <c r="D54" s="264" t="inlineStr">
        <is>
          <t>Электроды диаметром: 4 мм Э42А</t>
        </is>
      </c>
      <c r="E54" s="385" t="inlineStr">
        <is>
          <t>кг</t>
        </is>
      </c>
      <c r="F54" s="385" t="n">
        <v>1.0452</v>
      </c>
      <c r="G54" s="256" t="n">
        <v>10.57</v>
      </c>
      <c r="H54" s="256" t="n">
        <v>11.05</v>
      </c>
      <c r="I54" s="225" t="n"/>
      <c r="J54" s="230" t="n"/>
      <c r="K54" s="230" t="n"/>
    </row>
    <row r="55">
      <c r="A55" s="266" t="n">
        <v>40</v>
      </c>
      <c r="B55" s="356" t="n"/>
      <c r="C55" s="263" t="inlineStr">
        <is>
          <t>01.7.20.03-0003</t>
        </is>
      </c>
      <c r="D55" s="264" t="inlineStr">
        <is>
          <t>Мешки полипропиленовые (50 кг)</t>
        </is>
      </c>
      <c r="E55" s="385" t="inlineStr">
        <is>
          <t>100 шт</t>
        </is>
      </c>
      <c r="F55" s="385" t="n">
        <v>0.0648</v>
      </c>
      <c r="G55" s="256" t="n">
        <v>82</v>
      </c>
      <c r="H55" s="256" t="n">
        <v>5.31</v>
      </c>
      <c r="I55" s="225" t="n"/>
      <c r="J55" s="230" t="n"/>
      <c r="K55" s="230" t="n"/>
    </row>
    <row r="56">
      <c r="A56" s="266" t="n">
        <v>41</v>
      </c>
      <c r="B56" s="356" t="n"/>
      <c r="C56" s="263" t="inlineStr">
        <is>
          <t>01.7.03.01-0001</t>
        </is>
      </c>
      <c r="D56" s="264" t="inlineStr">
        <is>
          <t>Вода</t>
        </is>
      </c>
      <c r="E56" s="385" t="inlineStr">
        <is>
          <t>м3</t>
        </is>
      </c>
      <c r="F56" s="385" t="n">
        <v>0.701</v>
      </c>
      <c r="G56" s="256" t="n">
        <v>2.44</v>
      </c>
      <c r="H56" s="256" t="n">
        <v>1.71</v>
      </c>
      <c r="I56" s="225" t="n"/>
      <c r="J56" s="230" t="n"/>
      <c r="K56" s="230" t="n"/>
    </row>
    <row r="57" ht="25.5" customHeight="1" s="320">
      <c r="A57" s="266" t="n">
        <v>42</v>
      </c>
      <c r="B57" s="356" t="n"/>
      <c r="C57" s="263" t="inlineStr">
        <is>
          <t>03.2.01.01-0001</t>
        </is>
      </c>
      <c r="D57" s="264" t="inlineStr">
        <is>
          <t>Портландцемент общестроительного назначения бездобавочный, марки: 400</t>
        </is>
      </c>
      <c r="E57" s="385" t="inlineStr">
        <is>
          <t>т</t>
        </is>
      </c>
      <c r="F57" s="385" t="n">
        <v>0.0003</v>
      </c>
      <c r="G57" s="256" t="n">
        <v>412</v>
      </c>
      <c r="H57" s="256" t="n">
        <v>0.12</v>
      </c>
      <c r="I57" s="225" t="n"/>
      <c r="J57" s="230" t="n"/>
      <c r="K57" s="230" t="n"/>
    </row>
    <row r="58" ht="25.5" customHeight="1" s="320">
      <c r="A58" s="435" t="n"/>
      <c r="B58" s="436" t="n"/>
      <c r="C58" s="437" t="n"/>
      <c r="D58" s="438" t="n"/>
      <c r="E58" s="439" t="n"/>
      <c r="F58" s="439" t="n"/>
      <c r="G58" s="440" t="n"/>
      <c r="H58" s="440" t="n"/>
      <c r="I58" s="225" t="n"/>
      <c r="J58" s="230" t="n"/>
      <c r="K58" s="230" t="n"/>
      <c r="L58" s="322" t="n"/>
    </row>
    <row r="61">
      <c r="B61" s="322" t="inlineStr">
        <is>
          <t>Составил ______________________     Д.Ю. Нефедова</t>
        </is>
      </c>
    </row>
    <row r="62">
      <c r="B62" s="307" t="inlineStr">
        <is>
          <t xml:space="preserve">                         (подпись, инициалы, фамилия)</t>
        </is>
      </c>
    </row>
    <row r="64">
      <c r="B64" s="322" t="inlineStr">
        <is>
          <t>Проверил ______________________        А.В. Костянецкая</t>
        </is>
      </c>
    </row>
    <row r="65">
      <c r="B65" s="307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A20:E20"/>
    <mergeCell ref="C8:C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80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37" t="inlineStr">
        <is>
          <t>Ресурсная модель</t>
        </is>
      </c>
    </row>
    <row r="6">
      <c r="B6" s="220" t="n"/>
      <c r="C6" s="295" t="n"/>
      <c r="D6" s="295" t="n"/>
      <c r="E6" s="295" t="n"/>
    </row>
    <row r="7" ht="38.25" customHeight="1" s="320">
      <c r="B7" s="346" t="inlineStr">
        <is>
          <t xml:space="preserve">Наименование разрабатываемого показателя УНЦ — Устройство траншеи КЛ 110-220 кВ 2ц (Все регионы за исключением Москвы и Санкт-Петербурга)
</t>
        </is>
      </c>
    </row>
    <row r="8">
      <c r="B8" s="360" t="inlineStr">
        <is>
          <t>Единица измерения  — 1 км.</t>
        </is>
      </c>
    </row>
    <row r="9">
      <c r="B9" s="220" t="n"/>
      <c r="C9" s="295" t="n"/>
      <c r="D9" s="295" t="n"/>
      <c r="E9" s="295" t="n"/>
    </row>
    <row r="10" ht="51" customHeight="1" s="320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7">
        <f>'Прил.5 Расчет СМР и ОБ'!J15</f>
        <v/>
      </c>
      <c r="D11" s="214">
        <f>C11/$C$24</f>
        <v/>
      </c>
      <c r="E11" s="214">
        <f>C11/$C$40</f>
        <v/>
      </c>
    </row>
    <row r="12">
      <c r="B12" s="236" t="inlineStr">
        <is>
          <t>Эксплуатация машин основных</t>
        </is>
      </c>
      <c r="C12" s="297">
        <f>'Прил.5 Расчет СМР и ОБ'!J23</f>
        <v/>
      </c>
      <c r="D12" s="214">
        <f>C12/$C$24</f>
        <v/>
      </c>
      <c r="E12" s="214">
        <f>C12/$C$40</f>
        <v/>
      </c>
    </row>
    <row r="13">
      <c r="B13" s="236" t="inlineStr">
        <is>
          <t>Эксплуатация машин прочих</t>
        </is>
      </c>
      <c r="C13" s="297">
        <f>'Прил.5 Расчет СМР и ОБ'!J34</f>
        <v/>
      </c>
      <c r="D13" s="214">
        <f>C13/$C$24</f>
        <v/>
      </c>
      <c r="E13" s="214">
        <f>C13/$C$40</f>
        <v/>
      </c>
    </row>
    <row r="14">
      <c r="B14" s="236" t="inlineStr">
        <is>
          <t>ЭКСПЛУАТАЦИЯ МАШИН, ВСЕГО:</t>
        </is>
      </c>
      <c r="C14" s="297">
        <f>C13+C12</f>
        <v/>
      </c>
      <c r="D14" s="214">
        <f>C14/$C$24</f>
        <v/>
      </c>
      <c r="E14" s="214">
        <f>C14/$C$40</f>
        <v/>
      </c>
    </row>
    <row r="15">
      <c r="B15" s="236" t="inlineStr">
        <is>
          <t>в том числе зарплата машинистов</t>
        </is>
      </c>
      <c r="C15" s="297">
        <f>'Прил.5 Расчет СМР и ОБ'!J17</f>
        <v/>
      </c>
      <c r="D15" s="214">
        <f>C15/$C$24</f>
        <v/>
      </c>
      <c r="E15" s="214">
        <f>C15/$C$40</f>
        <v/>
      </c>
    </row>
    <row r="16">
      <c r="B16" s="236" t="inlineStr">
        <is>
          <t>Материалы основные</t>
        </is>
      </c>
      <c r="C16" s="297">
        <f>'Прил.5 Расчет СМР и ОБ'!J45</f>
        <v/>
      </c>
      <c r="D16" s="214">
        <f>C16/$C$24</f>
        <v/>
      </c>
      <c r="E16" s="214">
        <f>C16/$C$40</f>
        <v/>
      </c>
    </row>
    <row r="17">
      <c r="B17" s="236" t="inlineStr">
        <is>
          <t>Материалы прочие</t>
        </is>
      </c>
      <c r="C17" s="297">
        <f>'Прил.5 Расчет СМР и ОБ'!J65</f>
        <v/>
      </c>
      <c r="D17" s="214">
        <f>C17/$C$24</f>
        <v/>
      </c>
      <c r="E17" s="214">
        <f>C17/$C$40</f>
        <v/>
      </c>
      <c r="G17" s="449" t="n"/>
    </row>
    <row r="18">
      <c r="B18" s="236" t="inlineStr">
        <is>
          <t>МАТЕРИАЛЫ, ВСЕГО:</t>
        </is>
      </c>
      <c r="C18" s="297">
        <f>C17+C16</f>
        <v/>
      </c>
      <c r="D18" s="214">
        <f>C18/$C$24</f>
        <v/>
      </c>
      <c r="E18" s="214">
        <f>C18/$C$40</f>
        <v/>
      </c>
    </row>
    <row r="19">
      <c r="B19" s="236" t="inlineStr">
        <is>
          <t>ИТОГО</t>
        </is>
      </c>
      <c r="C19" s="297">
        <f>C18+C14+C11</f>
        <v/>
      </c>
      <c r="D19" s="214" t="n"/>
      <c r="E19" s="236" t="n"/>
    </row>
    <row r="20">
      <c r="B20" s="236" t="inlineStr">
        <is>
          <t>Сметная прибыль, руб.</t>
        </is>
      </c>
      <c r="C20" s="297">
        <f>ROUND(C21*(C11+C15),2)</f>
        <v/>
      </c>
      <c r="D20" s="214">
        <f>C20/$C$24</f>
        <v/>
      </c>
      <c r="E20" s="214">
        <f>C20/$C$40</f>
        <v/>
      </c>
    </row>
    <row r="21">
      <c r="B21" s="236" t="inlineStr">
        <is>
          <t>Сметная прибыль, %</t>
        </is>
      </c>
      <c r="C21" s="217">
        <f>'Прил.5 Расчет СМР и ОБ'!D69</f>
        <v/>
      </c>
      <c r="D21" s="214" t="n"/>
      <c r="E21" s="236" t="n"/>
    </row>
    <row r="22">
      <c r="B22" s="236" t="inlineStr">
        <is>
          <t>Накладные расходы, руб.</t>
        </is>
      </c>
      <c r="C22" s="297">
        <f>ROUND(C23*(C11+C15),2)</f>
        <v/>
      </c>
      <c r="D22" s="214">
        <f>C22/$C$24</f>
        <v/>
      </c>
      <c r="E22" s="214">
        <f>C22/$C$40</f>
        <v/>
      </c>
    </row>
    <row r="23">
      <c r="B23" s="236" t="inlineStr">
        <is>
          <t>Накладные расходы, %</t>
        </is>
      </c>
      <c r="C23" s="217">
        <f>'Прил.5 Расчет СМР и ОБ'!D68</f>
        <v/>
      </c>
      <c r="D23" s="214" t="n"/>
      <c r="E23" s="236" t="n"/>
    </row>
    <row r="24">
      <c r="B24" s="236" t="inlineStr">
        <is>
          <t>ВСЕГО СМР с НР и СП</t>
        </is>
      </c>
      <c r="C24" s="297">
        <f>C19+C20+C22</f>
        <v/>
      </c>
      <c r="D24" s="214">
        <f>C24/$C$24</f>
        <v/>
      </c>
      <c r="E24" s="214">
        <f>C24/$C$40</f>
        <v/>
      </c>
    </row>
    <row r="25" ht="25.5" customHeight="1" s="320">
      <c r="B25" s="236" t="inlineStr">
        <is>
          <t>ВСЕГО стоимость оборудования, в том числе</t>
        </is>
      </c>
      <c r="C25" s="297">
        <f>'Прил.5 Расчет СМР и ОБ'!J40</f>
        <v/>
      </c>
      <c r="D25" s="214" t="n"/>
      <c r="E25" s="214">
        <f>C25/$C$40</f>
        <v/>
      </c>
    </row>
    <row r="26" ht="25.5" customHeight="1" s="320">
      <c r="B26" s="236" t="inlineStr">
        <is>
          <t>стоимость оборудования технологического</t>
        </is>
      </c>
      <c r="C26" s="297">
        <f>'Прил.5 Расчет СМР и ОБ'!J41</f>
        <v/>
      </c>
      <c r="D26" s="214" t="n"/>
      <c r="E26" s="214">
        <f>C26/$C$40</f>
        <v/>
      </c>
    </row>
    <row r="27">
      <c r="B27" s="236" t="inlineStr">
        <is>
          <t>ИТОГО (СМР + ОБОРУДОВАНИЕ)</t>
        </is>
      </c>
      <c r="C27" s="216">
        <f>C24+C25</f>
        <v/>
      </c>
      <c r="D27" s="214" t="n"/>
      <c r="E27" s="214">
        <f>C27/$C$40</f>
        <v/>
      </c>
    </row>
    <row r="28" ht="33" customHeight="1" s="320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15" t="n"/>
    </row>
    <row r="29" ht="25.5" customHeight="1" s="320">
      <c r="B29" s="236" t="inlineStr">
        <is>
          <t>Временные здания и сооружения - 3,9%</t>
        </is>
      </c>
      <c r="C29" s="216">
        <f>ROUND(C24*3.9%,2)</f>
        <v/>
      </c>
      <c r="D29" s="236" t="n"/>
      <c r="E29" s="214">
        <f>C29/$C$40</f>
        <v/>
      </c>
    </row>
    <row r="30" ht="38.25" customHeight="1" s="320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16">
        <f>ROUND((C24+C29)*2.1%,2)</f>
        <v/>
      </c>
      <c r="D30" s="236" t="n"/>
      <c r="E30" s="214">
        <f>C30/$C$40</f>
        <v/>
      </c>
      <c r="F30" s="215" t="n"/>
    </row>
    <row r="31">
      <c r="B31" s="236" t="inlineStr">
        <is>
          <t>Пусконаладочные работы</t>
        </is>
      </c>
      <c r="C31" s="216" t="n">
        <v>0</v>
      </c>
      <c r="D31" s="236" t="n"/>
      <c r="E31" s="214">
        <f>C31/$C$40</f>
        <v/>
      </c>
    </row>
    <row r="32" ht="25.5" customHeight="1" s="320">
      <c r="B32" s="236" t="inlineStr">
        <is>
          <t>Затраты по перевозке работников к месту работы и обратно</t>
        </is>
      </c>
      <c r="C32" s="216">
        <f>ROUND(C27*0%,2)</f>
        <v/>
      </c>
      <c r="D32" s="236" t="n"/>
      <c r="E32" s="214">
        <f>C32/$C$40</f>
        <v/>
      </c>
    </row>
    <row r="33" ht="25.5" customHeight="1" s="320">
      <c r="B33" s="236" t="inlineStr">
        <is>
          <t>Затраты, связанные с осуществлением работ вахтовым методом</t>
        </is>
      </c>
      <c r="C33" s="216">
        <f>ROUND(C28*0%,2)</f>
        <v/>
      </c>
      <c r="D33" s="236" t="n"/>
      <c r="E33" s="214">
        <f>C33/$C$40</f>
        <v/>
      </c>
    </row>
    <row r="34" ht="51" customHeight="1" s="320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6">
        <f>ROUND(C29*0%,2)</f>
        <v/>
      </c>
      <c r="D34" s="236" t="n"/>
      <c r="E34" s="214">
        <f>C34/$C$40</f>
        <v/>
      </c>
      <c r="H34" s="225" t="n"/>
    </row>
    <row r="35" ht="76.5" customHeight="1" s="320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6">
        <f>ROUND(C30*0%,2)</f>
        <v/>
      </c>
      <c r="D35" s="236" t="n"/>
      <c r="E35" s="214">
        <f>C35/$C$40</f>
        <v/>
      </c>
    </row>
    <row r="36" ht="25.5" customHeight="1" s="320">
      <c r="B36" s="236" t="inlineStr">
        <is>
          <t>Строительный контроль и содержание службы заказчика - 2,14%</t>
        </is>
      </c>
      <c r="C36" s="216">
        <f>ROUND((C27+C32+C33+C34+C35+C29+C31+C30)*2.14%,2)</f>
        <v/>
      </c>
      <c r="D36" s="236" t="n"/>
      <c r="E36" s="214">
        <f>C36/$C$40</f>
        <v/>
      </c>
      <c r="L36" s="215" t="n"/>
    </row>
    <row r="37">
      <c r="B37" s="236" t="inlineStr">
        <is>
          <t>Авторский надзор - 0,2%</t>
        </is>
      </c>
      <c r="C37" s="216">
        <f>ROUND((C27+C32+C33+C34+C35+C29+C31+C30)*0.2%,2)</f>
        <v/>
      </c>
      <c r="D37" s="236" t="n"/>
      <c r="E37" s="214">
        <f>C37/$C$40</f>
        <v/>
      </c>
      <c r="L37" s="215" t="n"/>
    </row>
    <row r="38" ht="38.25" customHeight="1" s="320">
      <c r="B38" s="236" t="inlineStr">
        <is>
          <t>ИТОГО (СМР+ОБОРУДОВАНИЕ+ПРОЧ. ЗАТР., УЧТЕННЫЕ ПОКАЗАТЕЛЕМ)</t>
        </is>
      </c>
      <c r="C38" s="297">
        <f>C27+C32+C33+C34+C35+C29+C31+C30+C36+C37</f>
        <v/>
      </c>
      <c r="D38" s="236" t="n"/>
      <c r="E38" s="214">
        <f>C38/$C$40</f>
        <v/>
      </c>
    </row>
    <row r="39" ht="13.5" customHeight="1" s="320">
      <c r="B39" s="236" t="inlineStr">
        <is>
          <t>Непредвиденные расходы</t>
        </is>
      </c>
      <c r="C39" s="297">
        <f>ROUND(C38*3%,2)</f>
        <v/>
      </c>
      <c r="D39" s="236" t="n"/>
      <c r="E39" s="214">
        <f>C39/$C$38</f>
        <v/>
      </c>
    </row>
    <row r="40">
      <c r="B40" s="236" t="inlineStr">
        <is>
          <t>ВСЕГО:</t>
        </is>
      </c>
      <c r="C40" s="297">
        <f>C39+C38</f>
        <v/>
      </c>
      <c r="D40" s="236" t="n"/>
      <c r="E40" s="214">
        <f>C40/$C$40</f>
        <v/>
      </c>
    </row>
    <row r="41">
      <c r="B41" s="236" t="inlineStr">
        <is>
          <t>ИТОГО ПОКАЗАТЕЛЬ НА ЕД. ИЗМ.</t>
        </is>
      </c>
      <c r="C41" s="297">
        <f>C40/'Прил.5 Расчет СМР и ОБ'!E72</f>
        <v/>
      </c>
      <c r="D41" s="236" t="n"/>
      <c r="E41" s="236" t="n"/>
      <c r="G41" s="215" t="n"/>
    </row>
    <row r="42">
      <c r="B42" s="299" t="n"/>
      <c r="C42" s="295" t="n"/>
      <c r="D42" s="295" t="n"/>
      <c r="E42" s="295" t="n"/>
      <c r="G42" s="215" t="n"/>
    </row>
    <row r="43">
      <c r="B43" s="299" t="inlineStr">
        <is>
          <t>Составил ____________________________ Д.Ю. Нефедова</t>
        </is>
      </c>
      <c r="C43" s="295" t="n"/>
      <c r="D43" s="295" t="n"/>
      <c r="E43" s="295" t="n"/>
      <c r="G43" s="225" t="n"/>
    </row>
    <row r="44">
      <c r="B44" s="299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99" t="n"/>
      <c r="C45" s="295" t="n"/>
      <c r="D45" s="295" t="n"/>
      <c r="E45" s="295" t="n"/>
    </row>
    <row r="46">
      <c r="B46" s="299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60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  <rowBreaks count="1" manualBreakCount="1">
    <brk id="40" min="0" max="4" man="1"/>
  </rowBreaks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46" zoomScale="70" zoomScaleSheetLayoutView="70" workbookViewId="0">
      <selection activeCell="F109" sqref="F109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0" min="13" max="13"/>
  </cols>
  <sheetData>
    <row r="1" s="320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0">
      <c r="A2" s="305" t="n"/>
      <c r="B2" s="305" t="n"/>
      <c r="C2" s="305" t="n"/>
      <c r="D2" s="305" t="n"/>
      <c r="E2" s="305" t="n"/>
      <c r="F2" s="305" t="n"/>
      <c r="G2" s="305" t="n"/>
      <c r="H2" s="361" t="inlineStr">
        <is>
          <t>Приложение №5</t>
        </is>
      </c>
      <c r="K2" s="305" t="n"/>
      <c r="L2" s="305" t="n"/>
      <c r="M2" s="305" t="n"/>
      <c r="N2" s="305" t="n"/>
    </row>
    <row r="3" s="320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295">
      <c r="A4" s="337" t="inlineStr">
        <is>
          <t>Расчет стоимости СМР и оборудования</t>
        </is>
      </c>
    </row>
    <row r="5" ht="12.75" customFormat="1" customHeight="1" s="295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95">
      <c r="A6" s="246" t="inlineStr">
        <is>
          <t>Наименование разрабатываемого показателя УНЦ</t>
        </is>
      </c>
      <c r="B6" s="247" t="n"/>
      <c r="C6" s="247" t="n"/>
      <c r="D6" s="367" t="inlineStr">
        <is>
          <t>Устройство траншеи КЛ 110-220 кВ 2ц (Все регионы за исключением Москвы и Санкт-Петербурга)</t>
        </is>
      </c>
    </row>
    <row r="7" ht="12.75" customFormat="1" customHeight="1" s="295">
      <c r="A7" s="340" t="inlineStr">
        <is>
          <t>Единица измерения  — 1 км.</t>
        </is>
      </c>
      <c r="I7" s="346" t="n"/>
      <c r="J7" s="346" t="n"/>
    </row>
    <row r="8" ht="13.5" customFormat="1" customHeight="1" s="295">
      <c r="A8" s="340" t="n"/>
    </row>
    <row r="9" ht="13.15" customFormat="1" customHeight="1" s="295"/>
    <row r="10" ht="27" customHeight="1" s="320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2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2" t="n"/>
      <c r="K10" s="305" t="n"/>
      <c r="L10" s="305" t="n"/>
      <c r="M10" s="305" t="n"/>
      <c r="N10" s="305" t="n"/>
    </row>
    <row r="11" ht="28.5" customHeight="1" s="320">
      <c r="A11" s="444" t="n"/>
      <c r="B11" s="444" t="n"/>
      <c r="C11" s="444" t="n"/>
      <c r="D11" s="444" t="n"/>
      <c r="E11" s="444" t="n"/>
      <c r="F11" s="364" t="inlineStr">
        <is>
          <t>на ед. изм.</t>
        </is>
      </c>
      <c r="G11" s="364" t="inlineStr">
        <is>
          <t>общая</t>
        </is>
      </c>
      <c r="H11" s="444" t="n"/>
      <c r="I11" s="364" t="inlineStr">
        <is>
          <t>на ед. изм.</t>
        </is>
      </c>
      <c r="J11" s="364" t="inlineStr">
        <is>
          <t>общая</t>
        </is>
      </c>
      <c r="K11" s="305" t="n"/>
      <c r="L11" s="305" t="n"/>
      <c r="M11" s="305" t="n"/>
      <c r="N11" s="305" t="n"/>
    </row>
    <row r="12" s="320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64" t="n"/>
      <c r="B13" s="35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78" t="n"/>
      <c r="J13" s="278" t="n"/>
    </row>
    <row r="14" ht="25.5" customHeight="1" s="320">
      <c r="A14" s="364" t="n">
        <v>1</v>
      </c>
      <c r="B14" s="270" t="inlineStr">
        <is>
          <t>1-2-9</t>
        </is>
      </c>
      <c r="C14" s="372" t="inlineStr">
        <is>
          <t>Затраты труда рабочих-строителей среднего разряда (2,9)</t>
        </is>
      </c>
      <c r="D14" s="364" t="inlineStr">
        <is>
          <t>чел.-ч.</t>
        </is>
      </c>
      <c r="E14" s="450">
        <f>G14/F14</f>
        <v/>
      </c>
      <c r="F14" s="274" t="n">
        <v>8.460000000000001</v>
      </c>
      <c r="G14" s="274">
        <f>'Прил. 3'!H11</f>
        <v/>
      </c>
      <c r="H14" s="186">
        <f>G14/G15</f>
        <v/>
      </c>
      <c r="I14" s="274">
        <f>ФОТр.тек.!E13</f>
        <v/>
      </c>
      <c r="J14" s="274">
        <f>ROUND(I14*E14,2)</f>
        <v/>
      </c>
    </row>
    <row r="15" ht="25.5" customFormat="1" customHeight="1" s="305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50">
        <f>SUM(E14)</f>
        <v/>
      </c>
      <c r="F15" s="274" t="n"/>
      <c r="G15" s="274">
        <f>SUM(G14:G14)</f>
        <v/>
      </c>
      <c r="H15" s="375" t="n">
        <v>1</v>
      </c>
      <c r="I15" s="278" t="n"/>
      <c r="J15" s="274">
        <f>SUM(J14:J14)</f>
        <v/>
      </c>
    </row>
    <row r="16" ht="14.25" customFormat="1" customHeight="1" s="305">
      <c r="A16" s="364" t="n"/>
      <c r="B16" s="37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78" t="n"/>
      <c r="J16" s="278" t="n"/>
    </row>
    <row r="17" ht="14.25" customFormat="1" customHeight="1" s="305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50" t="n">
        <v>14646.7</v>
      </c>
      <c r="F17" s="274">
        <f>G17/E17</f>
        <v/>
      </c>
      <c r="G17" s="274">
        <f>'Прил. 3'!H20</f>
        <v/>
      </c>
      <c r="H17" s="375" t="n">
        <v>1</v>
      </c>
      <c r="I17" s="274">
        <f>ROUND(F17*'Прил. 10'!D11,2)</f>
        <v/>
      </c>
      <c r="J17" s="274">
        <f>ROUND(I17*E17,2)</f>
        <v/>
      </c>
    </row>
    <row r="18" ht="14.25" customFormat="1" customHeight="1" s="305">
      <c r="A18" s="364" t="n"/>
      <c r="B18" s="35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78" t="n"/>
      <c r="J18" s="278" t="n"/>
    </row>
    <row r="19" ht="14.25" customFormat="1" customHeight="1" s="305">
      <c r="A19" s="364" t="n"/>
      <c r="B19" s="37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78" t="n"/>
      <c r="J19" s="278" t="n"/>
    </row>
    <row r="20" ht="25.5" customFormat="1" customHeight="1" s="305">
      <c r="A20" s="364" t="n">
        <v>3</v>
      </c>
      <c r="B20" s="270" t="inlineStr">
        <is>
          <t>91.14.03-002</t>
        </is>
      </c>
      <c r="C20" s="372" t="inlineStr">
        <is>
          <t>Автомобили-самосвалы, грузоподъемность до 10 т</t>
        </is>
      </c>
      <c r="D20" s="364" t="inlineStr">
        <is>
          <t>маш.-ч</t>
        </is>
      </c>
      <c r="E20" s="450" t="n">
        <v>9053.540000000001</v>
      </c>
      <c r="F20" s="374" t="n">
        <v>87.48999999999999</v>
      </c>
      <c r="G20" s="274">
        <f>ROUND(E20*F20,2)</f>
        <v/>
      </c>
      <c r="H20" s="186">
        <f>G20/$G$35</f>
        <v/>
      </c>
      <c r="I20" s="274">
        <f>ROUND(F20*'Прил. 10'!$D$12,2)</f>
        <v/>
      </c>
      <c r="J20" s="274">
        <f>ROUND(I20*E20,2)</f>
        <v/>
      </c>
    </row>
    <row r="21" ht="25.5" customFormat="1" customHeight="1" s="305">
      <c r="A21" s="364" t="n">
        <v>4</v>
      </c>
      <c r="B21" s="270" t="inlineStr">
        <is>
          <t>91.01.05-086</t>
        </is>
      </c>
      <c r="C21" s="372" t="inlineStr">
        <is>
          <t>Экскаваторы одноковшовые дизельные на гусеничном ходу, емкость ковша 0,65 м3</t>
        </is>
      </c>
      <c r="D21" s="364" t="inlineStr">
        <is>
          <t>маш.-ч</t>
        </is>
      </c>
      <c r="E21" s="450" t="n">
        <v>1878.15</v>
      </c>
      <c r="F21" s="374" t="n">
        <v>115.27</v>
      </c>
      <c r="G21" s="274">
        <f>ROUND(E21*F21,2)</f>
        <v/>
      </c>
      <c r="H21" s="186">
        <f>G21/$G$35</f>
        <v/>
      </c>
      <c r="I21" s="274">
        <f>ROUND(F21*'Прил. 10'!$D$12,2)</f>
        <v/>
      </c>
      <c r="J21" s="274">
        <f>ROUND(I21*E21,2)</f>
        <v/>
      </c>
    </row>
    <row r="22" ht="51" customFormat="1" customHeight="1" s="305">
      <c r="A22" s="364" t="n">
        <v>5</v>
      </c>
      <c r="B22" s="270" t="inlineStr">
        <is>
          <t>91.18.01-007</t>
        </is>
      </c>
      <c r="C22" s="3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4" t="inlineStr">
        <is>
          <t>маш.-ч</t>
        </is>
      </c>
      <c r="E22" s="450" t="n">
        <v>1150.82</v>
      </c>
      <c r="F22" s="374" t="n">
        <v>90</v>
      </c>
      <c r="G22" s="274">
        <f>ROUND(E22*F22,2)</f>
        <v/>
      </c>
      <c r="H22" s="186">
        <f>G22/$G$35</f>
        <v/>
      </c>
      <c r="I22" s="274">
        <f>ROUND(F22*'Прил. 10'!$D$12,2)</f>
        <v/>
      </c>
      <c r="J22" s="274">
        <f>ROUND(I22*E22,2)</f>
        <v/>
      </c>
    </row>
    <row r="23" ht="14.25" customFormat="1" customHeight="1" s="305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50" t="n"/>
      <c r="F23" s="274" t="n"/>
      <c r="G23" s="274">
        <f>SUM(G20:G22)</f>
        <v/>
      </c>
      <c r="H23" s="375">
        <f>G23/G35</f>
        <v/>
      </c>
      <c r="I23" s="280" t="n"/>
      <c r="J23" s="274">
        <f>SUM(J20:J22)</f>
        <v/>
      </c>
    </row>
    <row r="24" hidden="1" outlineLevel="1" ht="14.25" customFormat="1" customHeight="1" s="305">
      <c r="A24" s="364" t="n">
        <v>6</v>
      </c>
      <c r="B24" s="270" t="inlineStr">
        <is>
          <t>91.01.01-035</t>
        </is>
      </c>
      <c r="C24" s="372" t="inlineStr">
        <is>
          <t>Бульдозеры, мощность 79 кВт (108 л.с.)</t>
        </is>
      </c>
      <c r="D24" s="364" t="inlineStr">
        <is>
          <t>маш.-ч</t>
        </is>
      </c>
      <c r="E24" s="450" t="n">
        <v>746.7</v>
      </c>
      <c r="F24" s="374" t="n">
        <v>79.06999999999999</v>
      </c>
      <c r="G24" s="274">
        <f>ROUND(E24*F24,2)</f>
        <v/>
      </c>
      <c r="H24" s="186">
        <f>G24/$G$35</f>
        <v/>
      </c>
      <c r="I24" s="274">
        <f>ROUND(F24*'Прил. 10'!$D$12,2)</f>
        <v/>
      </c>
      <c r="J24" s="274">
        <f>ROUND(I24*E24,2)</f>
        <v/>
      </c>
    </row>
    <row r="25" hidden="1" outlineLevel="1" ht="25.5" customFormat="1" customHeight="1" s="305">
      <c r="A25" s="364" t="n">
        <v>7</v>
      </c>
      <c r="B25" s="270" t="inlineStr">
        <is>
          <t>91.14.02-001</t>
        </is>
      </c>
      <c r="C25" s="372" t="inlineStr">
        <is>
          <t>Автомобили бортовые, грузоподъемность до 5 т</t>
        </is>
      </c>
      <c r="D25" s="364" t="inlineStr">
        <is>
          <t>маш.-ч</t>
        </is>
      </c>
      <c r="E25" s="450" t="n">
        <v>794.08</v>
      </c>
      <c r="F25" s="374" t="n">
        <v>65.70999999999999</v>
      </c>
      <c r="G25" s="274">
        <f>ROUND(E25*F25,2)</f>
        <v/>
      </c>
      <c r="H25" s="186">
        <f>G25/$G$35</f>
        <v/>
      </c>
      <c r="I25" s="274">
        <f>ROUND(F25*'Прил. 10'!$D$12,2)</f>
        <v/>
      </c>
      <c r="J25" s="274">
        <f>ROUND(I25*E25,2)</f>
        <v/>
      </c>
    </row>
    <row r="26" hidden="1" outlineLevel="1" ht="14.25" customFormat="1" customHeight="1" s="305">
      <c r="A26" s="364" t="n">
        <v>8</v>
      </c>
      <c r="B26" s="270" t="inlineStr">
        <is>
          <t>91.01.01-034</t>
        </is>
      </c>
      <c r="C26" s="372" t="inlineStr">
        <is>
          <t>Бульдозеры, мощность 59 кВт (80 л.с.)</t>
        </is>
      </c>
      <c r="D26" s="364" t="inlineStr">
        <is>
          <t>маш.-ч</t>
        </is>
      </c>
      <c r="E26" s="450" t="n">
        <v>689.33</v>
      </c>
      <c r="F26" s="374" t="n">
        <v>59.47</v>
      </c>
      <c r="G26" s="274">
        <f>ROUND(E26*F26,2)</f>
        <v/>
      </c>
      <c r="H26" s="186">
        <f>G26/$G$35</f>
        <v/>
      </c>
      <c r="I26" s="274">
        <f>ROUND(F26*'Прил. 10'!$D$12,2)</f>
        <v/>
      </c>
      <c r="J26" s="274">
        <f>ROUND(I26*E26,2)</f>
        <v/>
      </c>
    </row>
    <row r="27" hidden="1" outlineLevel="1" ht="25.5" customFormat="1" customHeight="1" s="305">
      <c r="A27" s="364" t="n">
        <v>9</v>
      </c>
      <c r="B27" s="270" t="inlineStr">
        <is>
          <t>91.05.05-014</t>
        </is>
      </c>
      <c r="C27" s="372" t="inlineStr">
        <is>
          <t>Краны на автомобильном ходу, грузоподъемность 10 т</t>
        </is>
      </c>
      <c r="D27" s="364" t="inlineStr">
        <is>
          <t>маш.час</t>
        </is>
      </c>
      <c r="E27" s="450" t="n">
        <v>330.68</v>
      </c>
      <c r="F27" s="374" t="n">
        <v>111.99</v>
      </c>
      <c r="G27" s="274">
        <f>ROUND(E27*F27,2)</f>
        <v/>
      </c>
      <c r="H27" s="186">
        <f>G27/$G$35</f>
        <v/>
      </c>
      <c r="I27" s="274">
        <f>ROUND(F27*'Прил. 10'!$D$12,2)</f>
        <v/>
      </c>
      <c r="J27" s="274">
        <f>ROUND(I27*E27,2)</f>
        <v/>
      </c>
    </row>
    <row r="28" hidden="1" outlineLevel="1" ht="25.5" customFormat="1" customHeight="1" s="305">
      <c r="A28" s="364" t="n">
        <v>10</v>
      </c>
      <c r="B28" s="270" t="inlineStr">
        <is>
          <t>91.08.09-023</t>
        </is>
      </c>
      <c r="C28" s="372" t="inlineStr">
        <is>
          <t>Трамбовки пневматические при работе от: передвижных компрессорных станций</t>
        </is>
      </c>
      <c r="D28" s="364" t="inlineStr">
        <is>
          <t>маш.час</t>
        </is>
      </c>
      <c r="E28" s="450" t="n">
        <v>4610.84</v>
      </c>
      <c r="F28" s="374" t="n">
        <v>0.55</v>
      </c>
      <c r="G28" s="274">
        <f>ROUND(E28*F28,2)</f>
        <v/>
      </c>
      <c r="H28" s="186">
        <f>G28/$G$35</f>
        <v/>
      </c>
      <c r="I28" s="274">
        <f>ROUND(F28*'Прил. 10'!$D$12,2)</f>
        <v/>
      </c>
      <c r="J28" s="274">
        <f>ROUND(I28*E28,2)</f>
        <v/>
      </c>
    </row>
    <row r="29" hidden="1" outlineLevel="1" ht="14.25" customFormat="1" customHeight="1" s="305">
      <c r="A29" s="364" t="n">
        <v>11</v>
      </c>
      <c r="B29" s="270" t="inlineStr">
        <is>
          <t>91.21.22-341</t>
        </is>
      </c>
      <c r="C29" s="372" t="inlineStr">
        <is>
          <t>Рефлектометр</t>
        </is>
      </c>
      <c r="D29" s="364" t="inlineStr">
        <is>
          <t>маш.час</t>
        </is>
      </c>
      <c r="E29" s="450" t="n">
        <v>28.92</v>
      </c>
      <c r="F29" s="374" t="n">
        <v>10.62</v>
      </c>
      <c r="G29" s="274">
        <f>ROUND(E29*F29,2)</f>
        <v/>
      </c>
      <c r="H29" s="186">
        <f>G29/$G$35</f>
        <v/>
      </c>
      <c r="I29" s="274">
        <f>ROUND(F29*'Прил. 10'!$D$12,2)</f>
        <v/>
      </c>
      <c r="J29" s="274">
        <f>ROUND(I29*E29,2)</f>
        <v/>
      </c>
    </row>
    <row r="30" hidden="1" outlineLevel="1" ht="25.5" customFormat="1" customHeight="1" s="305">
      <c r="A30" s="364" t="n">
        <v>12</v>
      </c>
      <c r="B30" s="270" t="inlineStr">
        <is>
          <t>91.14.03-001</t>
        </is>
      </c>
      <c r="C30" s="372" t="inlineStr">
        <is>
          <t>Автомобиль-самосвал, грузоподъемность: до 7 т</t>
        </is>
      </c>
      <c r="D30" s="364" t="inlineStr">
        <is>
          <t>маш.час</t>
        </is>
      </c>
      <c r="E30" s="450" t="n">
        <v>3.3</v>
      </c>
      <c r="F30" s="374" t="n">
        <v>89.54000000000001</v>
      </c>
      <c r="G30" s="274">
        <f>ROUND(E30*F30,2)</f>
        <v/>
      </c>
      <c r="H30" s="186">
        <f>G30/$G$35</f>
        <v/>
      </c>
      <c r="I30" s="274">
        <f>ROUND(F30*'Прил. 10'!$D$12,2)</f>
        <v/>
      </c>
      <c r="J30" s="274">
        <f>ROUND(I30*E30,2)</f>
        <v/>
      </c>
    </row>
    <row r="31" hidden="1" outlineLevel="1" ht="25.5" customFormat="1" customHeight="1" s="305">
      <c r="A31" s="364" t="n">
        <v>13</v>
      </c>
      <c r="B31" s="270" t="inlineStr">
        <is>
          <t>91.17.04-194</t>
        </is>
      </c>
      <c r="C31" s="372" t="inlineStr">
        <is>
          <t>Сварочный аппарат для сварки оптических кабелей со скалывателем</t>
        </is>
      </c>
      <c r="D31" s="364" t="inlineStr">
        <is>
          <t>маш.час</t>
        </is>
      </c>
      <c r="E31" s="450" t="n">
        <v>13.08</v>
      </c>
      <c r="F31" s="374" t="n">
        <v>12.14</v>
      </c>
      <c r="G31" s="274">
        <f>ROUND(E31*F31,2)</f>
        <v/>
      </c>
      <c r="H31" s="186">
        <f>G31/$G$35</f>
        <v/>
      </c>
      <c r="I31" s="274">
        <f>ROUND(F31*'Прил. 10'!$D$12,2)</f>
        <v/>
      </c>
      <c r="J31" s="274">
        <f>ROUND(I31*E31,2)</f>
        <v/>
      </c>
    </row>
    <row r="32" hidden="1" outlineLevel="1" ht="25.5" customFormat="1" customHeight="1" s="305">
      <c r="A32" s="364" t="n">
        <v>14</v>
      </c>
      <c r="B32" s="270" t="inlineStr">
        <is>
          <t>91.17.04-233</t>
        </is>
      </c>
      <c r="C32" s="372" t="inlineStr">
        <is>
          <t>Установки для сварки: ручной дуговой (постоянного тока)</t>
        </is>
      </c>
      <c r="D32" s="364" t="inlineStr">
        <is>
          <t>маш.час</t>
        </is>
      </c>
      <c r="E32" s="450" t="n">
        <v>6.18</v>
      </c>
      <c r="F32" s="374" t="n">
        <v>8.1</v>
      </c>
      <c r="G32" s="274">
        <f>ROUND(E32*F32,2)</f>
        <v/>
      </c>
      <c r="H32" s="186">
        <f>G32/$G$35</f>
        <v/>
      </c>
      <c r="I32" s="274">
        <f>ROUND(F32*'Прил. 10'!$D$12,2)</f>
        <v/>
      </c>
      <c r="J32" s="274">
        <f>ROUND(I32*E32,2)</f>
        <v/>
      </c>
    </row>
    <row r="33" hidden="1" outlineLevel="1" ht="14.25" customFormat="1" customHeight="1" s="305">
      <c r="A33" s="364" t="n">
        <v>15</v>
      </c>
      <c r="B33" s="270" t="inlineStr">
        <is>
          <t>91.13.01-038</t>
        </is>
      </c>
      <c r="C33" s="372" t="inlineStr">
        <is>
          <t>Машины поливомоечные 6000 л</t>
        </is>
      </c>
      <c r="D33" s="364" t="inlineStr">
        <is>
          <t>маш.час</t>
        </is>
      </c>
      <c r="E33" s="450" t="n">
        <v>0.1</v>
      </c>
      <c r="F33" s="374" t="n">
        <v>110</v>
      </c>
      <c r="G33" s="274">
        <f>ROUND(E33*F33,2)</f>
        <v/>
      </c>
      <c r="H33" s="186">
        <f>G33/$G$35</f>
        <v/>
      </c>
      <c r="I33" s="274">
        <f>ROUND(F33*'Прил. 10'!$D$12,2)</f>
        <v/>
      </c>
      <c r="J33" s="274">
        <f>ROUND(I33*E33,2)</f>
        <v/>
      </c>
    </row>
    <row r="34" collapsed="1" ht="14.25" customFormat="1" customHeight="1" s="305">
      <c r="A34" s="364" t="n"/>
      <c r="B34" s="364" t="n"/>
      <c r="C34" s="372" t="inlineStr">
        <is>
          <t>Итого прочие машины и механизмы</t>
        </is>
      </c>
      <c r="D34" s="364" t="n"/>
      <c r="E34" s="373" t="n"/>
      <c r="F34" s="274" t="n"/>
      <c r="G34" s="280">
        <f>SUM(G24:G33)</f>
        <v/>
      </c>
      <c r="H34" s="186">
        <f>G34/G35</f>
        <v/>
      </c>
      <c r="I34" s="274" t="n"/>
      <c r="J34" s="274">
        <f>SUM(J24:J33)</f>
        <v/>
      </c>
    </row>
    <row r="35" ht="25.5" customFormat="1" customHeight="1" s="305">
      <c r="A35" s="364" t="n"/>
      <c r="B35" s="364" t="n"/>
      <c r="C35" s="354" t="inlineStr">
        <is>
          <t>Итого по разделу «Машины и механизмы»</t>
        </is>
      </c>
      <c r="D35" s="364" t="n"/>
      <c r="E35" s="373" t="n"/>
      <c r="F35" s="274" t="n"/>
      <c r="G35" s="274">
        <f>G34+G23</f>
        <v/>
      </c>
      <c r="H35" s="275" t="n">
        <v>1</v>
      </c>
      <c r="I35" s="276" t="n"/>
      <c r="J35" s="277">
        <f>J34+J23</f>
        <v/>
      </c>
    </row>
    <row r="36" ht="14.25" customFormat="1" customHeight="1" s="305">
      <c r="A36" s="364" t="n"/>
      <c r="B36" s="354" t="inlineStr">
        <is>
          <t>Оборудование</t>
        </is>
      </c>
      <c r="C36" s="441" t="n"/>
      <c r="D36" s="441" t="n"/>
      <c r="E36" s="441" t="n"/>
      <c r="F36" s="441" t="n"/>
      <c r="G36" s="441" t="n"/>
      <c r="H36" s="442" t="n"/>
      <c r="I36" s="278" t="n"/>
      <c r="J36" s="278" t="n"/>
    </row>
    <row r="37">
      <c r="A37" s="364" t="n"/>
      <c r="B37" s="372" t="inlineStr">
        <is>
          <t>Основное оборудование</t>
        </is>
      </c>
      <c r="C37" s="441" t="n"/>
      <c r="D37" s="441" t="n"/>
      <c r="E37" s="441" t="n"/>
      <c r="F37" s="441" t="n"/>
      <c r="G37" s="441" t="n"/>
      <c r="H37" s="442" t="n"/>
      <c r="I37" s="278" t="n"/>
      <c r="J37" s="278" t="n"/>
      <c r="K37" s="305" t="n"/>
      <c r="L37" s="305" t="n"/>
    </row>
    <row r="38">
      <c r="A38" s="364" t="n"/>
      <c r="B38" s="364" t="n"/>
      <c r="C38" s="372" t="inlineStr">
        <is>
          <t>Итого основное оборудование</t>
        </is>
      </c>
      <c r="D38" s="364" t="n"/>
      <c r="E38" s="451" t="n"/>
      <c r="F38" s="374" t="n"/>
      <c r="G38" s="274" t="n">
        <v>0</v>
      </c>
      <c r="H38" s="186" t="n">
        <v>0</v>
      </c>
      <c r="I38" s="280" t="n"/>
      <c r="J38" s="274" t="n">
        <v>0</v>
      </c>
      <c r="K38" s="305" t="n"/>
      <c r="L38" s="305" t="n"/>
    </row>
    <row r="39">
      <c r="A39" s="364" t="n"/>
      <c r="B39" s="364" t="n"/>
      <c r="C39" s="372" t="inlineStr">
        <is>
          <t>Итого прочее оборудование</t>
        </is>
      </c>
      <c r="D39" s="364" t="n"/>
      <c r="E39" s="450" t="n"/>
      <c r="F39" s="374" t="n"/>
      <c r="G39" s="274" t="n">
        <v>0</v>
      </c>
      <c r="H39" s="186" t="n">
        <v>0</v>
      </c>
      <c r="I39" s="280" t="n"/>
      <c r="J39" s="274" t="n">
        <v>0</v>
      </c>
      <c r="K39" s="305" t="n"/>
      <c r="L39" s="305" t="n"/>
    </row>
    <row r="40">
      <c r="A40" s="364" t="n"/>
      <c r="B40" s="364" t="n"/>
      <c r="C40" s="354" t="inlineStr">
        <is>
          <t>Итого по разделу «Оборудование»</t>
        </is>
      </c>
      <c r="D40" s="364" t="n"/>
      <c r="E40" s="373" t="n"/>
      <c r="F40" s="374" t="n"/>
      <c r="G40" s="274">
        <f>G38+G39</f>
        <v/>
      </c>
      <c r="H40" s="186" t="n">
        <v>0</v>
      </c>
      <c r="I40" s="280" t="n"/>
      <c r="J40" s="274">
        <f>J39+J38</f>
        <v/>
      </c>
      <c r="K40" s="305" t="n"/>
      <c r="L40" s="305" t="n"/>
    </row>
    <row r="41" ht="25.5" customHeight="1" s="320">
      <c r="A41" s="364" t="n"/>
      <c r="B41" s="364" t="n"/>
      <c r="C41" s="372" t="inlineStr">
        <is>
          <t>в том числе технологическое оборудование</t>
        </is>
      </c>
      <c r="D41" s="364" t="n"/>
      <c r="E41" s="451" t="n"/>
      <c r="F41" s="374" t="n"/>
      <c r="G41" s="274">
        <f>'Прил.6 Расчет ОБ'!G12</f>
        <v/>
      </c>
      <c r="H41" s="375" t="n"/>
      <c r="I41" s="280" t="n"/>
      <c r="J41" s="274">
        <f>J40</f>
        <v/>
      </c>
      <c r="K41" s="305" t="n"/>
      <c r="L41" s="305" t="n"/>
    </row>
    <row r="42" ht="14.25" customFormat="1" customHeight="1" s="305">
      <c r="A42" s="364" t="n"/>
      <c r="B42" s="354" t="inlineStr">
        <is>
          <t>Материалы</t>
        </is>
      </c>
      <c r="C42" s="441" t="n"/>
      <c r="D42" s="441" t="n"/>
      <c r="E42" s="441" t="n"/>
      <c r="F42" s="441" t="n"/>
      <c r="G42" s="441" t="n"/>
      <c r="H42" s="442" t="n"/>
      <c r="I42" s="278" t="n"/>
      <c r="J42" s="278" t="n"/>
    </row>
    <row r="43" ht="14.25" customFormat="1" customHeight="1" s="305">
      <c r="A43" s="365" t="n"/>
      <c r="B43" s="368" t="inlineStr">
        <is>
          <t>Основные материалы</t>
        </is>
      </c>
      <c r="C43" s="452" t="n"/>
      <c r="D43" s="452" t="n"/>
      <c r="E43" s="452" t="n"/>
      <c r="F43" s="452" t="n"/>
      <c r="G43" s="452" t="n"/>
      <c r="H43" s="453" t="n"/>
      <c r="I43" s="188" t="n"/>
      <c r="J43" s="188" t="n"/>
    </row>
    <row r="44" ht="38.25" customFormat="1" customHeight="1" s="305">
      <c r="A44" s="364" t="n">
        <v>16</v>
      </c>
      <c r="B44" s="364" t="inlineStr">
        <is>
          <t>05.1.01.12-0001</t>
        </is>
      </c>
      <c r="C44" s="372" t="inlineStr">
        <is>
          <t>Плита перекрытия лотков и каналов доборная П4-15, бетон В25 (М350), объем 0,04 м3, расход арматуры 1,3 кг</t>
        </is>
      </c>
      <c r="D44" s="364" t="inlineStr">
        <is>
          <t>шт.</t>
        </is>
      </c>
      <c r="E44" s="451" t="n">
        <v>86500</v>
      </c>
      <c r="F44" s="374" t="n">
        <v>156.83</v>
      </c>
      <c r="G44" s="274">
        <f>ROUND(E44*F44,2)</f>
        <v/>
      </c>
      <c r="H44" s="186">
        <f>G44/$G$66</f>
        <v/>
      </c>
      <c r="I44" s="274">
        <f>ROUND(F44*'Прил. 10'!$D$13,2)</f>
        <v/>
      </c>
      <c r="J44" s="274">
        <f>ROUND(I44*E44,2)</f>
        <v/>
      </c>
    </row>
    <row r="45" ht="14.25" customFormat="1" customHeight="1" s="305">
      <c r="A45" s="366" t="n"/>
      <c r="B45" s="190" t="n"/>
      <c r="C45" s="191" t="inlineStr">
        <is>
          <t>Итого основные материалы</t>
        </is>
      </c>
      <c r="D45" s="366" t="n"/>
      <c r="E45" s="454" t="n"/>
      <c r="F45" s="277" t="n"/>
      <c r="G45" s="277">
        <f>SUM(G44:G44)</f>
        <v/>
      </c>
      <c r="H45" s="186">
        <f>G45/$G$66</f>
        <v/>
      </c>
      <c r="I45" s="274" t="n"/>
      <c r="J45" s="277">
        <f>SUM(J44:J44)</f>
        <v/>
      </c>
    </row>
    <row r="46" ht="14.25" customFormat="1" customHeight="1" s="305">
      <c r="A46" s="364" t="n">
        <v>17</v>
      </c>
      <c r="B46" s="364" t="inlineStr">
        <is>
          <t>Прайс из СД ОП</t>
        </is>
      </c>
      <c r="C46" s="372" t="inlineStr">
        <is>
          <t>Маркер интеллектуальный 1422-xR/iD</t>
        </is>
      </c>
      <c r="D46" s="364" t="inlineStr">
        <is>
          <t>шт.</t>
        </is>
      </c>
      <c r="E46" s="450" t="n">
        <v>375</v>
      </c>
      <c r="F46" s="374" t="n">
        <v>673.64</v>
      </c>
      <c r="G46" s="274">
        <f>ROUND(E46*F46,2)</f>
        <v/>
      </c>
      <c r="H46" s="186">
        <f>G46/$G$66</f>
        <v/>
      </c>
      <c r="I46" s="274">
        <f>ROUND(F46*'Прил. 10'!$D$13,2)</f>
        <v/>
      </c>
      <c r="J46" s="274">
        <f>ROUND(I46*E46,2)</f>
        <v/>
      </c>
    </row>
    <row r="47" hidden="1" outlineLevel="1" ht="25.5" customFormat="1" customHeight="1" s="305">
      <c r="A47" s="364" t="n">
        <v>18</v>
      </c>
      <c r="B47" s="364" t="inlineStr">
        <is>
          <t>02.2.04.03-0014</t>
        </is>
      </c>
      <c r="C47" s="372" t="inlineStr">
        <is>
          <t>Смесь песчано-гравийная обогащенная с содержанием гравия 50-65%</t>
        </is>
      </c>
      <c r="D47" s="364" t="inlineStr">
        <is>
          <t>м3</t>
        </is>
      </c>
      <c r="E47" s="451" t="n">
        <v>14036</v>
      </c>
      <c r="F47" s="374" t="n">
        <v>82.8</v>
      </c>
      <c r="G47" s="274">
        <f>ROUND(E47*F47,2)</f>
        <v/>
      </c>
      <c r="H47" s="186">
        <f>G47/$G$66</f>
        <v/>
      </c>
      <c r="I47" s="274">
        <f>ROUND(F47*'Прил. 10'!$D$13,2)</f>
        <v/>
      </c>
      <c r="J47" s="274">
        <f>ROUND(I47*E47,2)</f>
        <v/>
      </c>
    </row>
    <row r="48" hidden="1" outlineLevel="1" ht="25.5" customFormat="1" customHeight="1" s="305">
      <c r="A48" s="364" t="n">
        <v>19</v>
      </c>
      <c r="B48" s="364" t="inlineStr">
        <is>
          <t>Прайс из СД ОП</t>
        </is>
      </c>
      <c r="C48" s="372" t="inlineStr">
        <is>
          <t>Ложемент для соединительных муфт с креплениями</t>
        </is>
      </c>
      <c r="D48" s="364" t="inlineStr">
        <is>
          <t>шт.</t>
        </is>
      </c>
      <c r="E48" s="451" t="n">
        <v>18</v>
      </c>
      <c r="F48" s="374" t="n">
        <v>9500</v>
      </c>
      <c r="G48" s="274">
        <f>ROUND(E48*F48,2)</f>
        <v/>
      </c>
      <c r="H48" s="186">
        <f>G48/$G$66</f>
        <v/>
      </c>
      <c r="I48" s="274">
        <f>ROUND(F48*'Прил. 10'!$D$13,2)</f>
        <v/>
      </c>
      <c r="J48" s="274">
        <f>ROUND(I48*E48,2)</f>
        <v/>
      </c>
    </row>
    <row r="49" hidden="1" outlineLevel="1" ht="25.5" customFormat="1" customHeight="1" s="305">
      <c r="A49" s="364" t="n">
        <v>20</v>
      </c>
      <c r="B49" s="364" t="inlineStr">
        <is>
          <t>02.3.01.02-0003</t>
        </is>
      </c>
      <c r="C49" s="372" t="inlineStr">
        <is>
          <t>Песок для строительных работ природный 50%; обогащенный 50%</t>
        </is>
      </c>
      <c r="D49" s="364" t="inlineStr">
        <is>
          <t>м3</t>
        </is>
      </c>
      <c r="E49" s="451" t="n">
        <v>396.6694</v>
      </c>
      <c r="F49" s="374" t="n">
        <v>54.95</v>
      </c>
      <c r="G49" s="274">
        <f>ROUND(E49*F49,2)</f>
        <v/>
      </c>
      <c r="H49" s="186">
        <f>G49/$G$66</f>
        <v/>
      </c>
      <c r="I49" s="274">
        <f>ROUND(F49*'Прил. 10'!$D$13,2)</f>
        <v/>
      </c>
      <c r="J49" s="274">
        <f>ROUND(I49*E49,2)</f>
        <v/>
      </c>
    </row>
    <row r="50" hidden="1" outlineLevel="1" ht="25.5" customFormat="1" customHeight="1" s="305">
      <c r="A50" s="364" t="n">
        <v>21</v>
      </c>
      <c r="B50" s="364" t="inlineStr">
        <is>
          <t>08.3.08.02-0052</t>
        </is>
      </c>
      <c r="C50" s="372" t="inlineStr">
        <is>
          <t>Сталь угловая равнополочная, марка стали: ВСт3кп2, размером 50x50x5 мм</t>
        </is>
      </c>
      <c r="D50" s="364" t="inlineStr">
        <is>
          <t>т</t>
        </is>
      </c>
      <c r="E50" s="451" t="n">
        <v>1.9851</v>
      </c>
      <c r="F50" s="374" t="n">
        <v>5763</v>
      </c>
      <c r="G50" s="274">
        <f>ROUND(E50*F50,2)</f>
        <v/>
      </c>
      <c r="H50" s="186">
        <f>G50/$G$66</f>
        <v/>
      </c>
      <c r="I50" s="274">
        <f>ROUND(F50*'Прил. 10'!$D$13,2)</f>
        <v/>
      </c>
      <c r="J50" s="274">
        <f>ROUND(I50*E50,2)</f>
        <v/>
      </c>
    </row>
    <row r="51" hidden="1" outlineLevel="1" ht="14.25" customFormat="1" customHeight="1" s="305">
      <c r="A51" s="364" t="n">
        <v>22</v>
      </c>
      <c r="B51" s="364" t="inlineStr">
        <is>
          <t>01.7.15.01-0001</t>
        </is>
      </c>
      <c r="C51" s="372" t="inlineStr">
        <is>
          <t>Анкер-шпилька Hilti HST М12х115/20</t>
        </is>
      </c>
      <c r="D51" s="364" t="inlineStr">
        <is>
          <t>шт</t>
        </is>
      </c>
      <c r="E51" s="451" t="n">
        <v>144</v>
      </c>
      <c r="F51" s="374" t="n">
        <v>42.49</v>
      </c>
      <c r="G51" s="274">
        <f>ROUND(E51*F51,2)</f>
        <v/>
      </c>
      <c r="H51" s="186">
        <f>G51/$G$66</f>
        <v/>
      </c>
      <c r="I51" s="274">
        <f>ROUND(F51*'Прил. 10'!$D$13,2)</f>
        <v/>
      </c>
      <c r="J51" s="274">
        <f>ROUND(I51*E51,2)</f>
        <v/>
      </c>
    </row>
    <row r="52" hidden="1" outlineLevel="1" ht="14.25" customFormat="1" customHeight="1" s="305">
      <c r="A52" s="364" t="n">
        <v>23</v>
      </c>
      <c r="B52" s="364" t="inlineStr">
        <is>
          <t>01.7.07.26-0031</t>
        </is>
      </c>
      <c r="C52" s="372" t="inlineStr">
        <is>
          <t>Шнур плетеный хлопчатобумажный</t>
        </is>
      </c>
      <c r="D52" s="364" t="inlineStr">
        <is>
          <t>м</t>
        </is>
      </c>
      <c r="E52" s="451" t="n">
        <v>1500</v>
      </c>
      <c r="F52" s="374" t="n">
        <v>2.05</v>
      </c>
      <c r="G52" s="274">
        <f>ROUND(E52*F52,2)</f>
        <v/>
      </c>
      <c r="H52" s="186">
        <f>G52/$G$66</f>
        <v/>
      </c>
      <c r="I52" s="274">
        <f>ROUND(F52*'Прил. 10'!$D$13,2)</f>
        <v/>
      </c>
      <c r="J52" s="274">
        <f>ROUND(I52*E52,2)</f>
        <v/>
      </c>
    </row>
    <row r="53" hidden="1" outlineLevel="1" ht="25.5" customFormat="1" customHeight="1" s="305">
      <c r="A53" s="364" t="n">
        <v>24</v>
      </c>
      <c r="B53" s="364" t="inlineStr">
        <is>
          <t>14.4.04.11-0010</t>
        </is>
      </c>
      <c r="C53" s="372" t="inlineStr">
        <is>
          <t>Эмаль ХС-720 серебристая антикоррозийная</t>
        </is>
      </c>
      <c r="D53" s="364" t="inlineStr">
        <is>
          <t>т</t>
        </is>
      </c>
      <c r="E53" s="451" t="n">
        <v>0.078</v>
      </c>
      <c r="F53" s="374" t="n">
        <v>35001</v>
      </c>
      <c r="G53" s="274">
        <f>ROUND(E53*F53,2)</f>
        <v/>
      </c>
      <c r="H53" s="186">
        <f>G53/$G$66</f>
        <v/>
      </c>
      <c r="I53" s="274">
        <f>ROUND(F53*'Прил. 10'!$D$13,2)</f>
        <v/>
      </c>
      <c r="J53" s="274">
        <f>ROUND(I53*E53,2)</f>
        <v/>
      </c>
    </row>
    <row r="54" hidden="1" outlineLevel="1" ht="38.25" customFormat="1" customHeight="1" s="305">
      <c r="A54" s="364" t="n">
        <v>25</v>
      </c>
      <c r="B54" s="364" t="inlineStr">
        <is>
          <t>08.3.05.02-0101</t>
        </is>
      </c>
      <c r="C54" s="372" t="inlineStr">
        <is>
          <t>Сталь листовая углеродистая обыкновенного качества марки ВСт3пс5 толщиной: 4-6 мм</t>
        </is>
      </c>
      <c r="D54" s="364" t="inlineStr">
        <is>
          <t>т</t>
        </is>
      </c>
      <c r="E54" s="451" t="n">
        <v>0.4134</v>
      </c>
      <c r="F54" s="374" t="n">
        <v>5763</v>
      </c>
      <c r="G54" s="274">
        <f>ROUND(E54*F54,2)</f>
        <v/>
      </c>
      <c r="H54" s="186">
        <f>G54/$G$66</f>
        <v/>
      </c>
      <c r="I54" s="274">
        <f>ROUND(F54*'Прил. 10'!$D$13,2)</f>
        <v/>
      </c>
      <c r="J54" s="274">
        <f>ROUND(I54*E54,2)</f>
        <v/>
      </c>
    </row>
    <row r="55" hidden="1" outlineLevel="1" ht="38.25" customFormat="1" customHeight="1" s="305">
      <c r="A55" s="364" t="n">
        <v>26</v>
      </c>
      <c r="B55" s="364" t="inlineStr">
        <is>
          <t>02.2.05.04-0093</t>
        </is>
      </c>
      <c r="C55" s="372" t="inlineStr">
        <is>
          <t>Щебень из природного камня для строительных работ марка: 800, фракция 20-40 мм</t>
        </is>
      </c>
      <c r="D55" s="364" t="inlineStr">
        <is>
          <t>м3</t>
        </is>
      </c>
      <c r="E55" s="451" t="n">
        <v>4.6177</v>
      </c>
      <c r="F55" s="374" t="n">
        <v>108.4</v>
      </c>
      <c r="G55" s="274">
        <f>ROUND(E55*F55,2)</f>
        <v/>
      </c>
      <c r="H55" s="186">
        <f>G55/$G$66</f>
        <v/>
      </c>
      <c r="I55" s="274">
        <f>ROUND(F55*'Прил. 10'!$D$13,2)</f>
        <v/>
      </c>
      <c r="J55" s="274">
        <f>ROUND(I55*E55,2)</f>
        <v/>
      </c>
    </row>
    <row r="56" hidden="1" outlineLevel="1" ht="25.5" customFormat="1" customHeight="1" s="305">
      <c r="A56" s="364" t="n">
        <v>27</v>
      </c>
      <c r="B56" s="364" t="inlineStr">
        <is>
          <t>999-9950</t>
        </is>
      </c>
      <c r="C56" s="372" t="inlineStr">
        <is>
          <t>Вспомогательные ненормируемые ресурсы (2% от Оплаты труда рабочих)</t>
        </is>
      </c>
      <c r="D56" s="364" t="inlineStr">
        <is>
          <t>руб.</t>
        </is>
      </c>
      <c r="E56" s="451" t="n">
        <v>485.3071</v>
      </c>
      <c r="F56" s="374" t="n">
        <v>1</v>
      </c>
      <c r="G56" s="274">
        <f>ROUND(E56*F56,2)</f>
        <v/>
      </c>
      <c r="H56" s="186">
        <f>G56/$G$66</f>
        <v/>
      </c>
      <c r="I56" s="274">
        <f>ROUND(F56*'Прил. 10'!$D$13,2)</f>
        <v/>
      </c>
      <c r="J56" s="274">
        <f>ROUND(I56*E56,2)</f>
        <v/>
      </c>
    </row>
    <row r="57" hidden="1" outlineLevel="1" ht="25.5" customFormat="1" customHeight="1" s="305">
      <c r="A57" s="364" t="n">
        <v>28</v>
      </c>
      <c r="B57" s="364" t="inlineStr">
        <is>
          <t>10.1.02.02-0012</t>
        </is>
      </c>
      <c r="C57" s="372" t="inlineStr">
        <is>
          <t>Алюминий листовой толщиной: 1,0-2,5 мм, гладкий</t>
        </is>
      </c>
      <c r="D57" s="364" t="inlineStr">
        <is>
          <t>кг</t>
        </is>
      </c>
      <c r="E57" s="451" t="n">
        <v>8.630000000000001</v>
      </c>
      <c r="F57" s="374" t="n">
        <v>47.66</v>
      </c>
      <c r="G57" s="274">
        <f>ROUND(E57*F57,2)</f>
        <v/>
      </c>
      <c r="H57" s="186">
        <f>G57/$G$66</f>
        <v/>
      </c>
      <c r="I57" s="274">
        <f>ROUND(F57*'Прил. 10'!$D$13,2)</f>
        <v/>
      </c>
      <c r="J57" s="274">
        <f>ROUND(I57*E57,2)</f>
        <v/>
      </c>
    </row>
    <row r="58" hidden="1" outlineLevel="1" ht="14.25" customFormat="1" customHeight="1" s="305">
      <c r="A58" s="364" t="n">
        <v>29</v>
      </c>
      <c r="B58" s="364" t="inlineStr">
        <is>
          <t>01.7.06.08-0003</t>
        </is>
      </c>
      <c r="C58" s="372" t="inlineStr">
        <is>
          <t>Лента сигнальная</t>
        </is>
      </c>
      <c r="D58" s="364" t="inlineStr">
        <is>
          <t>100 м</t>
        </is>
      </c>
      <c r="E58" s="451" t="n">
        <v>3.75</v>
      </c>
      <c r="F58" s="374" t="n">
        <v>108</v>
      </c>
      <c r="G58" s="274">
        <f>ROUND(E58*F58,2)</f>
        <v/>
      </c>
      <c r="H58" s="186">
        <f>G58/$G$66</f>
        <v/>
      </c>
      <c r="I58" s="274">
        <f>ROUND(F58*'Прил. 10'!$D$13,2)</f>
        <v/>
      </c>
      <c r="J58" s="274">
        <f>ROUND(I58*E58,2)</f>
        <v/>
      </c>
    </row>
    <row r="59" hidden="1" outlineLevel="1" ht="14.25" customFormat="1" customHeight="1" s="305">
      <c r="A59" s="364" t="n">
        <v>30</v>
      </c>
      <c r="B59" s="364" t="inlineStr">
        <is>
          <t>01.7.19.07-0002</t>
        </is>
      </c>
      <c r="C59" s="372" t="inlineStr">
        <is>
          <t>Резина листовая вулканизованная цветная</t>
        </is>
      </c>
      <c r="D59" s="364" t="inlineStr">
        <is>
          <t>кг</t>
        </is>
      </c>
      <c r="E59" s="451" t="n">
        <v>3.798</v>
      </c>
      <c r="F59" s="374" t="n">
        <v>24.86</v>
      </c>
      <c r="G59" s="274">
        <f>ROUND(E59*F59,2)</f>
        <v/>
      </c>
      <c r="H59" s="186">
        <f>G59/$G$66</f>
        <v/>
      </c>
      <c r="I59" s="274">
        <f>ROUND(F59*'Прил. 10'!$D$13,2)</f>
        <v/>
      </c>
      <c r="J59" s="274">
        <f>ROUND(I59*E59,2)</f>
        <v/>
      </c>
    </row>
    <row r="60" hidden="1" outlineLevel="1" ht="14.25" customFormat="1" customHeight="1" s="305">
      <c r="A60" s="364" t="n">
        <v>31</v>
      </c>
      <c r="B60" s="364" t="inlineStr">
        <is>
          <t>14.4.03.03-0002</t>
        </is>
      </c>
      <c r="C60" s="372" t="inlineStr">
        <is>
          <t>Лак битумный: БТ-123</t>
        </is>
      </c>
      <c r="D60" s="364" t="inlineStr">
        <is>
          <t>т</t>
        </is>
      </c>
      <c r="E60" s="451" t="n">
        <v>0.0015</v>
      </c>
      <c r="F60" s="374" t="n">
        <v>7826.9</v>
      </c>
      <c r="G60" s="274">
        <f>ROUND(E60*F60,2)</f>
        <v/>
      </c>
      <c r="H60" s="186">
        <f>G60/$G$66</f>
        <v/>
      </c>
      <c r="I60" s="274">
        <f>ROUND(F60*'Прил. 10'!$D$13,2)</f>
        <v/>
      </c>
      <c r="J60" s="274">
        <f>ROUND(I60*E60,2)</f>
        <v/>
      </c>
    </row>
    <row r="61" hidden="1" outlineLevel="1" ht="14.25" customFormat="1" customHeight="1" s="305">
      <c r="A61" s="364" t="n">
        <v>32</v>
      </c>
      <c r="B61" s="364" t="inlineStr">
        <is>
          <t>01.7.11.07-0034</t>
        </is>
      </c>
      <c r="C61" s="372" t="inlineStr">
        <is>
          <t>Электроды диаметром: 4 мм Э42А</t>
        </is>
      </c>
      <c r="D61" s="364" t="inlineStr">
        <is>
          <t>кг</t>
        </is>
      </c>
      <c r="E61" s="451" t="n">
        <v>1.0452</v>
      </c>
      <c r="F61" s="374" t="n">
        <v>10.57</v>
      </c>
      <c r="G61" s="274">
        <f>ROUND(E61*F61,2)</f>
        <v/>
      </c>
      <c r="H61" s="186">
        <f>G61/$G$66</f>
        <v/>
      </c>
      <c r="I61" s="274">
        <f>ROUND(F61*'Прил. 10'!$D$13,2)</f>
        <v/>
      </c>
      <c r="J61" s="274">
        <f>ROUND(I61*E61,2)</f>
        <v/>
      </c>
    </row>
    <row r="62" hidden="1" outlineLevel="1" ht="14.25" customFormat="1" customHeight="1" s="305">
      <c r="A62" s="364" t="n">
        <v>33</v>
      </c>
      <c r="B62" s="364" t="inlineStr">
        <is>
          <t>01.7.20.03-0003</t>
        </is>
      </c>
      <c r="C62" s="372" t="inlineStr">
        <is>
          <t>Мешки полипропиленовые (50 кг)</t>
        </is>
      </c>
      <c r="D62" s="364" t="inlineStr">
        <is>
          <t>100 шт</t>
        </is>
      </c>
      <c r="E62" s="451" t="n">
        <v>0.0648</v>
      </c>
      <c r="F62" s="374" t="n">
        <v>82</v>
      </c>
      <c r="G62" s="274">
        <f>ROUND(E62*F62,2)</f>
        <v/>
      </c>
      <c r="H62" s="186">
        <f>G62/$G$66</f>
        <v/>
      </c>
      <c r="I62" s="274">
        <f>ROUND(F62*'Прил. 10'!$D$13,2)</f>
        <v/>
      </c>
      <c r="J62" s="274">
        <f>ROUND(I62*E62,2)</f>
        <v/>
      </c>
    </row>
    <row r="63" hidden="1" outlineLevel="1" ht="14.25" customFormat="1" customHeight="1" s="305">
      <c r="A63" s="364" t="n">
        <v>34</v>
      </c>
      <c r="B63" s="364" t="inlineStr">
        <is>
          <t>01.7.03.01-0001</t>
        </is>
      </c>
      <c r="C63" s="372" t="inlineStr">
        <is>
          <t>Вода</t>
        </is>
      </c>
      <c r="D63" s="364" t="inlineStr">
        <is>
          <t>м3</t>
        </is>
      </c>
      <c r="E63" s="451" t="n">
        <v>0.701</v>
      </c>
      <c r="F63" s="374" t="n">
        <v>2.44</v>
      </c>
      <c r="G63" s="274">
        <f>ROUND(E63*F63,2)</f>
        <v/>
      </c>
      <c r="H63" s="186">
        <f>G63/$G$66</f>
        <v/>
      </c>
      <c r="I63" s="274">
        <f>ROUND(F63*'Прил. 10'!$D$13,2)</f>
        <v/>
      </c>
      <c r="J63" s="274">
        <f>ROUND(I63*E63,2)</f>
        <v/>
      </c>
    </row>
    <row r="64" hidden="1" outlineLevel="1" ht="25.5" customFormat="1" customHeight="1" s="305">
      <c r="A64" s="364" t="n">
        <v>35</v>
      </c>
      <c r="B64" s="364" t="inlineStr">
        <is>
          <t>03.2.01.01-0001</t>
        </is>
      </c>
      <c r="C64" s="372" t="inlineStr">
        <is>
          <t>Портландцемент общестроительного назначения бездобавочный, марки: 400</t>
        </is>
      </c>
      <c r="D64" s="364" t="inlineStr">
        <is>
          <t>т</t>
        </is>
      </c>
      <c r="E64" s="451" t="n">
        <v>0.0003</v>
      </c>
      <c r="F64" s="374" t="n">
        <v>412</v>
      </c>
      <c r="G64" s="274">
        <f>ROUND(E64*F64,2)</f>
        <v/>
      </c>
      <c r="H64" s="186">
        <f>G64/$G$66</f>
        <v/>
      </c>
      <c r="I64" s="274">
        <f>ROUND(F64*'Прил. 10'!$D$13,2)</f>
        <v/>
      </c>
      <c r="J64" s="274">
        <f>ROUND(I64*E64,2)</f>
        <v/>
      </c>
    </row>
    <row r="65" collapsed="1" ht="14.25" customFormat="1" customHeight="1" s="305">
      <c r="A65" s="364" t="n"/>
      <c r="B65" s="364" t="n"/>
      <c r="C65" s="372" t="inlineStr">
        <is>
          <t>Итого прочие материалы</t>
        </is>
      </c>
      <c r="D65" s="364" t="n"/>
      <c r="E65" s="373" t="n"/>
      <c r="F65" s="374" t="n"/>
      <c r="G65" s="274">
        <f>SUM(G46:G64)</f>
        <v/>
      </c>
      <c r="H65" s="186">
        <f>G65/$G$66</f>
        <v/>
      </c>
      <c r="I65" s="274" t="n"/>
      <c r="J65" s="274">
        <f>SUM(J46:J64)</f>
        <v/>
      </c>
    </row>
    <row r="66" ht="14.25" customFormat="1" customHeight="1" s="305">
      <c r="A66" s="364" t="n"/>
      <c r="B66" s="364" t="n"/>
      <c r="C66" s="354" t="inlineStr">
        <is>
          <t>Итого по разделу «Материалы»</t>
        </is>
      </c>
      <c r="D66" s="364" t="n"/>
      <c r="E66" s="373" t="n"/>
      <c r="F66" s="374" t="n"/>
      <c r="G66" s="274">
        <f>G45+G65</f>
        <v/>
      </c>
      <c r="H66" s="375">
        <f>G66/$G$66</f>
        <v/>
      </c>
      <c r="I66" s="274" t="n"/>
      <c r="J66" s="274">
        <f>J45+J65</f>
        <v/>
      </c>
    </row>
    <row r="67" ht="14.25" customFormat="1" customHeight="1" s="305">
      <c r="A67" s="364" t="n"/>
      <c r="B67" s="364" t="n"/>
      <c r="C67" s="372" t="inlineStr">
        <is>
          <t>ИТОГО ПО РМ</t>
        </is>
      </c>
      <c r="D67" s="364" t="n"/>
      <c r="E67" s="373" t="n"/>
      <c r="F67" s="374" t="n"/>
      <c r="G67" s="274">
        <f>G15+G35+G66</f>
        <v/>
      </c>
      <c r="H67" s="375" t="n"/>
      <c r="I67" s="274" t="n"/>
      <c r="J67" s="274">
        <f>J15+J35+J66</f>
        <v/>
      </c>
    </row>
    <row r="68" ht="14.25" customFormat="1" customHeight="1" s="305">
      <c r="A68" s="364" t="n"/>
      <c r="B68" s="364" t="n"/>
      <c r="C68" s="372" t="inlineStr">
        <is>
          <t>Накладные расходы</t>
        </is>
      </c>
      <c r="D68" s="244">
        <f>ROUND(G68/(G$17+$G$15),2)</f>
        <v/>
      </c>
      <c r="E68" s="373" t="n"/>
      <c r="F68" s="374" t="n"/>
      <c r="G68" s="274">
        <f>206312.96+114918.27</f>
        <v/>
      </c>
      <c r="H68" s="375" t="n"/>
      <c r="I68" s="274" t="n"/>
      <c r="J68" s="274">
        <f>ROUND(D68*(J15+J17),2)</f>
        <v/>
      </c>
    </row>
    <row r="69" ht="14.25" customFormat="1" customHeight="1" s="305">
      <c r="A69" s="364" t="n"/>
      <c r="B69" s="364" t="n"/>
      <c r="C69" s="372" t="inlineStr">
        <is>
          <t>Сметная прибыль</t>
        </is>
      </c>
      <c r="D69" s="244">
        <f>ROUND(G69/(G$15+G$17),2)</f>
        <v/>
      </c>
      <c r="E69" s="373" t="n"/>
      <c r="F69" s="374" t="n"/>
      <c r="G69" s="274">
        <f>116995.83+74568.88</f>
        <v/>
      </c>
      <c r="H69" s="375" t="n"/>
      <c r="I69" s="274" t="n"/>
      <c r="J69" s="274">
        <f>ROUND(D69*(J15+J17),2)</f>
        <v/>
      </c>
    </row>
    <row r="70" ht="14.25" customFormat="1" customHeight="1" s="305">
      <c r="A70" s="364" t="n"/>
      <c r="B70" s="364" t="n"/>
      <c r="C70" s="372" t="inlineStr">
        <is>
          <t>Итого СМР (с НР и СП)</t>
        </is>
      </c>
      <c r="D70" s="364" t="n"/>
      <c r="E70" s="373" t="n"/>
      <c r="F70" s="374" t="n"/>
      <c r="G70" s="274">
        <f>G15+G35+G66+G68+G69</f>
        <v/>
      </c>
      <c r="H70" s="375" t="n"/>
      <c r="I70" s="274" t="n"/>
      <c r="J70" s="274">
        <f>J15+J35+J66+J68+J69</f>
        <v/>
      </c>
    </row>
    <row r="71" ht="14.25" customFormat="1" customHeight="1" s="305">
      <c r="A71" s="364" t="n"/>
      <c r="B71" s="364" t="n"/>
      <c r="C71" s="372" t="inlineStr">
        <is>
          <t>ВСЕГО СМР + ОБОРУДОВАНИЕ</t>
        </is>
      </c>
      <c r="D71" s="364" t="n"/>
      <c r="E71" s="373" t="n"/>
      <c r="F71" s="374" t="n"/>
      <c r="G71" s="274">
        <f>G70+G40</f>
        <v/>
      </c>
      <c r="H71" s="375" t="n"/>
      <c r="I71" s="274" t="n"/>
      <c r="J71" s="274">
        <f>J70+J40</f>
        <v/>
      </c>
    </row>
    <row r="72" ht="14.25" customFormat="1" customHeight="1" s="305">
      <c r="A72" s="364" t="n"/>
      <c r="B72" s="364" t="n"/>
      <c r="C72" s="372" t="inlineStr">
        <is>
          <t>ИТОГО ПОКАЗАТЕЛЬ НА ЕД. ИЗМ.</t>
        </is>
      </c>
      <c r="D72" s="364" t="inlineStr">
        <is>
          <t>1 км.</t>
        </is>
      </c>
      <c r="E72" s="455" t="n">
        <v>8.449999999999999</v>
      </c>
      <c r="F72" s="374" t="n"/>
      <c r="G72" s="274">
        <f>G71/E72</f>
        <v/>
      </c>
      <c r="H72" s="375" t="n"/>
      <c r="I72" s="274" t="n"/>
      <c r="J72" s="274">
        <f>J71/E72</f>
        <v/>
      </c>
    </row>
    <row r="74" ht="14.25" customFormat="1" customHeight="1" s="305">
      <c r="A74" s="295" t="inlineStr">
        <is>
          <t>Составил ______________________    Д.Ю. Нефедова</t>
        </is>
      </c>
    </row>
    <row r="75" ht="14.25" customFormat="1" customHeight="1" s="305">
      <c r="A75" s="304" t="inlineStr">
        <is>
          <t xml:space="preserve">                         (подпись, инициалы, фамилия)</t>
        </is>
      </c>
    </row>
    <row r="76" ht="14.25" customFormat="1" customHeight="1" s="305">
      <c r="A76" s="295" t="n"/>
    </row>
    <row r="77" ht="14.25" customFormat="1" customHeight="1" s="305">
      <c r="A77" s="295" t="inlineStr">
        <is>
          <t>Проверил ______________________        А.В. Костянецкая</t>
        </is>
      </c>
    </row>
    <row r="78" ht="14.25" customFormat="1" customHeight="1" s="305">
      <c r="A78" s="304" t="inlineStr">
        <is>
          <t xml:space="preserve">                        (подпись, инициалы, фамилия)</t>
        </is>
      </c>
    </row>
    <row r="80">
      <c r="J80" s="456" t="n"/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0" t="inlineStr">
        <is>
          <t>Приложение №6</t>
        </is>
      </c>
    </row>
    <row r="2" ht="21.75" customHeight="1" s="320">
      <c r="A2" s="380" t="n"/>
      <c r="B2" s="380" t="n"/>
      <c r="C2" s="380" t="n"/>
      <c r="D2" s="380" t="n"/>
      <c r="E2" s="380" t="n"/>
      <c r="F2" s="380" t="n"/>
      <c r="G2" s="380" t="n"/>
    </row>
    <row r="3">
      <c r="A3" s="337" t="inlineStr">
        <is>
          <t>Расчет стоимости оборудования</t>
        </is>
      </c>
    </row>
    <row r="4" ht="27" customHeight="1" s="320">
      <c r="A4" s="340" t="inlineStr">
        <is>
          <t>Наименование разрабатываемого показателя УНЦ — Устройство траншеи КЛ 110-220 кВ 2ц (Все регионы за исключением Москвы и Санкт-Петербурга)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320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0">
      <c r="A9" s="236" t="n"/>
      <c r="B9" s="37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0">
      <c r="A10" s="364" t="n"/>
      <c r="B10" s="354" t="n"/>
      <c r="C10" s="372" t="inlineStr">
        <is>
          <t>ИТОГО ИНЖЕНЕРНОЕ ОБОРУДОВАНИЕ</t>
        </is>
      </c>
      <c r="D10" s="354" t="n"/>
      <c r="E10" s="23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0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74" t="n">
        <v>0</v>
      </c>
    </row>
    <row r="13" ht="19.5" customHeight="1" s="320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74">
        <f>G10+G12</f>
        <v/>
      </c>
    </row>
    <row r="14">
      <c r="A14" s="306" t="n"/>
      <c r="B14" s="301" t="n"/>
      <c r="C14" s="306" t="n"/>
      <c r="D14" s="306" t="n"/>
      <c r="E14" s="306" t="n"/>
      <c r="F14" s="306" t="n"/>
      <c r="G14" s="306" t="n"/>
    </row>
    <row r="15">
      <c r="A15" s="295" t="inlineStr">
        <is>
          <t>Составил ______________________    Д.Ю. Нефедова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4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295" t="n"/>
      <c r="B17" s="305" t="n"/>
      <c r="C17" s="305" t="n"/>
      <c r="D17" s="306" t="n"/>
      <c r="E17" s="306" t="n"/>
      <c r="F17" s="306" t="n"/>
      <c r="G17" s="306" t="n"/>
    </row>
    <row r="18">
      <c r="A18" s="295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4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5" t="n"/>
      <c r="C1" s="295" t="n"/>
      <c r="D1" s="380" t="inlineStr">
        <is>
          <t>Приложение №7</t>
        </is>
      </c>
    </row>
    <row r="2">
      <c r="A2" s="380" t="n"/>
      <c r="B2" s="380" t="n"/>
      <c r="C2" s="380" t="n"/>
      <c r="D2" s="380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63.75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км</t>
        </is>
      </c>
      <c r="D6" s="340" t="n"/>
    </row>
    <row r="7">
      <c r="A7" s="295" t="n"/>
      <c r="B7" s="295" t="n"/>
      <c r="C7" s="295" t="n"/>
      <c r="D7" s="295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4" t="n"/>
      <c r="B9" s="444" t="n"/>
      <c r="C9" s="444" t="n"/>
      <c r="D9" s="444" t="n"/>
    </row>
    <row r="10">
      <c r="A10" s="364" t="n">
        <v>1</v>
      </c>
      <c r="B10" s="364" t="n">
        <v>2</v>
      </c>
      <c r="C10" s="364" t="n">
        <v>3</v>
      </c>
      <c r="D10" s="364" t="n">
        <v>4</v>
      </c>
    </row>
    <row r="11" ht="41.45" customHeight="1" s="320">
      <c r="A11" s="364" t="inlineStr">
        <is>
          <t>Б2-05-4</t>
        </is>
      </c>
      <c r="B11" s="364" t="inlineStr">
        <is>
          <t xml:space="preserve">УНЦ на устройство траншеи КЛ и восстановление благоустройства по трассе </t>
        </is>
      </c>
      <c r="C11" s="297">
        <f>D5</f>
        <v/>
      </c>
      <c r="D11" s="298">
        <f>'Прил.4 РМ'!C41/1000</f>
        <v/>
      </c>
      <c r="E11" s="299" t="n"/>
    </row>
    <row r="12">
      <c r="A12" s="306" t="n"/>
      <c r="B12" s="301" t="n"/>
      <c r="C12" s="306" t="n"/>
      <c r="D12" s="306" t="n"/>
    </row>
    <row r="13">
      <c r="A13" s="295" t="inlineStr">
        <is>
          <t>Составил ______________________      Д.Ю. Нефедова</t>
        </is>
      </c>
      <c r="B13" s="305" t="n"/>
      <c r="C13" s="305" t="n"/>
      <c r="D13" s="306" t="n"/>
    </row>
    <row r="14">
      <c r="A14" s="304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295" t="n"/>
      <c r="B15" s="305" t="n"/>
      <c r="C15" s="305" t="n"/>
      <c r="D15" s="306" t="n"/>
    </row>
    <row r="16">
      <c r="A16" s="295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4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style="320" min="1" max="1"/>
    <col width="40.7109375" customWidth="1" style="320" min="2" max="2"/>
    <col width="37.5703125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47" t="inlineStr">
        <is>
          <t>Приложение № 10</t>
        </is>
      </c>
    </row>
    <row r="5" ht="18.75" customHeight="1" s="320">
      <c r="B5" s="162" t="n"/>
    </row>
    <row r="6" ht="15.75" customHeight="1" s="320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5" t="n">
        <v>0.03</v>
      </c>
    </row>
    <row r="20" ht="18.75" customHeight="1" s="320">
      <c r="B20" s="233" t="n"/>
    </row>
    <row r="21" ht="18.75" customHeight="1" s="320">
      <c r="B21" s="233" t="n"/>
    </row>
    <row r="22" ht="18.75" customHeight="1" s="320">
      <c r="B22" s="233" t="n"/>
    </row>
    <row r="23" ht="18.75" customHeight="1" s="320">
      <c r="B23" s="233" t="n"/>
    </row>
    <row r="26">
      <c r="B26" s="295" t="inlineStr">
        <is>
          <t>Составил ______________________        Д.Ю. Нефедова</t>
        </is>
      </c>
      <c r="C26" s="305" t="n"/>
    </row>
    <row r="27">
      <c r="B27" s="304" t="inlineStr">
        <is>
          <t xml:space="preserve">                         (подпись, инициалы, фамилия)</t>
        </is>
      </c>
      <c r="C27" s="305" t="n"/>
    </row>
    <row r="28">
      <c r="B28" s="295" t="n"/>
      <c r="C28" s="305" t="n"/>
    </row>
    <row r="29">
      <c r="B29" s="295" t="inlineStr">
        <is>
          <t>Проверил ______________________        А.В. Костянецкая</t>
        </is>
      </c>
      <c r="C29" s="305" t="n"/>
    </row>
    <row r="30">
      <c r="B30" s="304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M7" sqref="M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53.7109375" bestFit="1" customWidth="1" style="320" min="6" max="6"/>
  </cols>
  <sheetData>
    <row r="1" s="320"/>
    <row r="2" ht="17.25" customHeight="1" s="320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457" t="n">
        <v>2.9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8" t="n">
        <v>1.176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9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430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32" t="inlineStr">
        <is>
          <t>ФОТр.тек.</t>
        </is>
      </c>
      <c r="D13" s="432" t="inlineStr">
        <is>
          <t>(С1ср/tср*КТ*Т*Кув)*Кинф</t>
        </is>
      </c>
      <c r="E13" s="433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2025-01-24T11:54:05Z</dcterms:modified>
  <cp:lastModifiedBy>User4</cp:lastModifiedBy>
  <cp:lastPrinted>2023-11-28T07:14:41Z</cp:lastPrinted>
</cp:coreProperties>
</file>