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стоим'!$A$1:$J$24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b val="1"/>
      <color rgb="FF92D050"/>
      <sz val="11"/>
      <u val="single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4" fontId="16" fillId="0" borderId="0" pivotButton="0" quotePrefix="0" xfId="0"/>
    <xf numFmtId="0" fontId="22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Normal="55" workbookViewId="0">
      <selection activeCell="D27" sqref="D27"/>
    </sheetView>
  </sheetViews>
  <sheetFormatPr baseColWidth="8" defaultColWidth="9.140625" defaultRowHeight="15.75"/>
  <cols>
    <col width="9.140625" customWidth="1" style="320" min="1" max="2"/>
    <col width="51.7109375" customWidth="1" style="320" min="3" max="3"/>
    <col width="47" customWidth="1" style="320" min="4" max="4"/>
    <col width="37.42578125" customWidth="1" style="320" min="5" max="5"/>
    <col width="9.140625" customWidth="1" style="320" min="6" max="6"/>
  </cols>
  <sheetData>
    <row r="3">
      <c r="B3" s="344" t="inlineStr">
        <is>
          <t>Приложение № 1</t>
        </is>
      </c>
    </row>
    <row r="4">
      <c r="B4" s="345" t="inlineStr">
        <is>
          <t>Сравнительная таблица отбора объекта-представителя</t>
        </is>
      </c>
    </row>
    <row r="5" ht="84" customHeight="1" s="318">
      <c r="B5" s="3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30" t="n"/>
      <c r="C6" s="230" t="n"/>
      <c r="D6" s="230" t="n"/>
    </row>
    <row r="7" ht="64.5" customHeight="1" s="318">
      <c r="B7" s="346" t="inlineStr">
        <is>
          <t>Наименование разрабатываемого показателя УНЦ - Укрепление котлованов и траншей 330-500 кВ (Москва, Санкт-Петербург)</t>
        </is>
      </c>
    </row>
    <row r="8" ht="31.5" customHeight="1" s="318">
      <c r="B8" s="302" t="inlineStr">
        <is>
          <t xml:space="preserve">Сопоставимый уровень цен: </t>
        </is>
      </c>
      <c r="C8" s="302" t="n"/>
      <c r="D8" s="303">
        <f>D22</f>
        <v/>
      </c>
    </row>
    <row r="9" ht="15.75" customHeight="1" s="318">
      <c r="B9" s="347" t="inlineStr">
        <is>
          <t>Единица измерения  — 1 км</t>
        </is>
      </c>
    </row>
    <row r="10">
      <c r="B10" s="347" t="n"/>
    </row>
    <row r="11">
      <c r="B11" s="350" t="inlineStr">
        <is>
          <t>№ п/п</t>
        </is>
      </c>
      <c r="C11" s="350" t="inlineStr">
        <is>
          <t>Параметр</t>
        </is>
      </c>
      <c r="D11" s="350" t="inlineStr">
        <is>
          <t xml:space="preserve">Объект-представитель </t>
        </is>
      </c>
      <c r="E11" s="210" t="n"/>
    </row>
    <row r="12" ht="31.5" customHeight="1" s="318">
      <c r="B12" s="350" t="n">
        <v>1</v>
      </c>
      <c r="C12" s="308" t="inlineStr">
        <is>
          <t>Наименование объекта-представителя</t>
        </is>
      </c>
      <c r="D12" s="304" t="inlineStr">
        <is>
          <t>«Строительство КВЛ Ленинградская АЭС-2 – Пулковская – Южная. Корректировка»</t>
        </is>
      </c>
    </row>
    <row r="13">
      <c r="B13" s="350" t="n">
        <v>2</v>
      </c>
      <c r="C13" s="308" t="inlineStr">
        <is>
          <t>Наименование субъекта Российской Федерации</t>
        </is>
      </c>
      <c r="D13" s="350" t="inlineStr">
        <is>
          <t>г.Санкт-Петербург</t>
        </is>
      </c>
    </row>
    <row r="14">
      <c r="B14" s="350" t="n">
        <v>3</v>
      </c>
      <c r="C14" s="308" t="inlineStr">
        <is>
          <t>Климатический район и подрайон</t>
        </is>
      </c>
      <c r="D14" s="350" t="inlineStr">
        <is>
          <t>IIВ</t>
        </is>
      </c>
    </row>
    <row r="15">
      <c r="B15" s="350" t="n">
        <v>4</v>
      </c>
      <c r="C15" s="308" t="inlineStr">
        <is>
          <t>Мощность объекта</t>
        </is>
      </c>
      <c r="D15" s="350" t="n">
        <v>2.21</v>
      </c>
    </row>
    <row r="16" ht="63" customHeight="1" s="318">
      <c r="B16" s="350" t="n">
        <v>5</v>
      </c>
      <c r="C16" s="16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0" t="inlineStr">
        <is>
          <t>Доски обрезные хвойных пород длиной: 4-6,5 м, шириной 75-150 мм, толщиной 44 мм и более, III сорта</t>
        </is>
      </c>
    </row>
    <row r="17" ht="63" customHeight="1" s="318">
      <c r="B17" s="350" t="n">
        <v>6</v>
      </c>
      <c r="C17" s="16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4">
        <f>D18+D19+D21+D20</f>
        <v/>
      </c>
      <c r="E17" s="229" t="n"/>
    </row>
    <row r="18">
      <c r="B18" s="209" t="inlineStr">
        <is>
          <t>6.1</t>
        </is>
      </c>
      <c r="C18" s="308" t="inlineStr">
        <is>
          <t>строительно-монтажные работы</t>
        </is>
      </c>
      <c r="D18" s="314">
        <f>'Прил.2 Расч стоим'!F13+'Прил.2 Расч стоим'!G13</f>
        <v/>
      </c>
    </row>
    <row r="19">
      <c r="B19" s="209" t="inlineStr">
        <is>
          <t>6.2</t>
        </is>
      </c>
      <c r="C19" s="308" t="inlineStr">
        <is>
          <t>оборудование и инвентарь</t>
        </is>
      </c>
      <c r="D19" s="314" t="n">
        <v>0</v>
      </c>
    </row>
    <row r="20">
      <c r="B20" s="209" t="inlineStr">
        <is>
          <t>6.3</t>
        </is>
      </c>
      <c r="C20" s="308" t="inlineStr">
        <is>
          <t>пусконаладочные работы</t>
        </is>
      </c>
      <c r="D20" s="314" t="n">
        <v>0</v>
      </c>
    </row>
    <row r="21">
      <c r="B21" s="209" t="inlineStr">
        <is>
          <t>6.4</t>
        </is>
      </c>
      <c r="C21" s="208" t="inlineStr">
        <is>
          <t>прочие и лимитированные затраты</t>
        </is>
      </c>
      <c r="D21" s="314">
        <f>D18*3.9%+(D18*3.9%+D18)*2.1%</f>
        <v/>
      </c>
    </row>
    <row r="22">
      <c r="B22" s="350" t="n">
        <v>7</v>
      </c>
      <c r="C22" s="208" t="inlineStr">
        <is>
          <t>Сопоставимый уровень цен</t>
        </is>
      </c>
      <c r="D22" s="235" t="inlineStr">
        <is>
          <t>2 квартал 2017 г</t>
        </is>
      </c>
      <c r="E22" s="206" t="n"/>
    </row>
    <row r="23" ht="78.75" customHeight="1" s="318">
      <c r="B23" s="350" t="n">
        <v>8</v>
      </c>
      <c r="C23" s="20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4">
        <f>D17</f>
        <v/>
      </c>
      <c r="E23" s="229" t="n"/>
    </row>
    <row r="24" ht="31.5" customHeight="1" s="318">
      <c r="B24" s="350" t="n">
        <v>9</v>
      </c>
      <c r="C24" s="160" t="inlineStr">
        <is>
          <t>Приведенная сметная стоимость на единицу мощности, тыс. руб. (строка 8/строку 4)</t>
        </is>
      </c>
      <c r="D24" s="314">
        <f>D23/D15</f>
        <v/>
      </c>
      <c r="E24" s="206" t="n"/>
    </row>
    <row r="25">
      <c r="B25" s="350" t="n">
        <v>10</v>
      </c>
      <c r="C25" s="308" t="inlineStr">
        <is>
          <t>Примечание</t>
        </is>
      </c>
      <c r="D25" s="350" t="n"/>
    </row>
    <row r="26">
      <c r="B26" s="204" t="n"/>
      <c r="C26" s="203" t="n"/>
      <c r="D26" s="203" t="n"/>
    </row>
    <row r="27" ht="37.5" customHeight="1" s="318">
      <c r="B27" s="302" t="n"/>
    </row>
    <row r="28">
      <c r="B28" s="320" t="inlineStr">
        <is>
          <t>Составил ______________________    Д.Ю. Нефедова</t>
        </is>
      </c>
    </row>
    <row r="29">
      <c r="B29" s="302" t="inlineStr">
        <is>
          <t xml:space="preserve">                         (подпись, инициалы, фамилия)</t>
        </is>
      </c>
    </row>
    <row r="31">
      <c r="B31" s="320" t="inlineStr">
        <is>
          <t>Проверил ______________________        А.В. Костянецкая</t>
        </is>
      </c>
    </row>
    <row r="32">
      <c r="B32" s="30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Normal="70" workbookViewId="0">
      <selection activeCell="E17" sqref="E17"/>
    </sheetView>
  </sheetViews>
  <sheetFormatPr baseColWidth="8" defaultColWidth="9.140625" defaultRowHeight="15.75"/>
  <cols>
    <col width="5.5703125" customWidth="1" style="320" min="1" max="1"/>
    <col width="9.140625" customWidth="1" style="320" min="2" max="2"/>
    <col width="35.28515625" customWidth="1" style="320" min="3" max="3"/>
    <col width="13.85546875" customWidth="1" style="320" min="4" max="4"/>
    <col width="24.85546875" customWidth="1" style="320" min="5" max="5"/>
    <col width="15.5703125" customWidth="1" style="320" min="6" max="6"/>
    <col width="14.85546875" customWidth="1" style="320" min="7" max="7"/>
    <col width="16.7109375" customWidth="1" style="320" min="8" max="8"/>
    <col width="13" customWidth="1" style="320" min="9" max="10"/>
    <col width="13.7109375" customWidth="1" style="320" min="11" max="11"/>
  </cols>
  <sheetData>
    <row r="3">
      <c r="B3" s="344" t="inlineStr">
        <is>
          <t>Приложение № 2</t>
        </is>
      </c>
    </row>
    <row r="4">
      <c r="B4" s="345" t="inlineStr">
        <is>
          <t>Расчет стоимости основных видов работ для выбора объекта-представителя</t>
        </is>
      </c>
    </row>
    <row r="5">
      <c r="B5" s="237" t="n"/>
      <c r="C5" s="237" t="n"/>
      <c r="D5" s="237" t="n"/>
      <c r="E5" s="237" t="n"/>
      <c r="F5" s="237" t="n"/>
      <c r="G5" s="237" t="n"/>
      <c r="H5" s="237" t="n"/>
      <c r="I5" s="237" t="n"/>
      <c r="J5" s="237" t="n"/>
    </row>
    <row r="6" ht="29.25" customHeight="1" s="318">
      <c r="B6" s="347">
        <f>'Прил.1 Сравнит табл'!B7:D7</f>
        <v/>
      </c>
    </row>
    <row r="7">
      <c r="B7" s="347">
        <f>'Прил.1 Сравнит табл'!B9:D9</f>
        <v/>
      </c>
    </row>
    <row r="8" ht="18.75" customHeight="1" s="318">
      <c r="B8" s="238" t="n"/>
    </row>
    <row r="9" ht="15.75" customHeight="1" s="318">
      <c r="B9" s="350" t="inlineStr">
        <is>
          <t>№ п/п</t>
        </is>
      </c>
      <c r="C9" s="3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0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</row>
    <row r="10" ht="15.75" customHeight="1" s="318">
      <c r="B10" s="440" t="n"/>
      <c r="C10" s="440" t="n"/>
      <c r="D10" s="350" t="inlineStr">
        <is>
          <t>Номер сметы</t>
        </is>
      </c>
      <c r="E10" s="350" t="inlineStr">
        <is>
          <t>Наименование сметы</t>
        </is>
      </c>
      <c r="F10" s="350" t="inlineStr">
        <is>
          <t>Сметная стоимость в уровне цен 2 кв. 2017 г., тыс. руб.</t>
        </is>
      </c>
      <c r="G10" s="438" t="n"/>
      <c r="H10" s="438" t="n"/>
      <c r="I10" s="438" t="n"/>
      <c r="J10" s="439" t="n"/>
    </row>
    <row r="11" ht="63.75" customHeight="1" s="318">
      <c r="B11" s="441" t="n"/>
      <c r="C11" s="441" t="n"/>
      <c r="D11" s="441" t="n"/>
      <c r="E11" s="441" t="n"/>
      <c r="F11" s="350" t="inlineStr">
        <is>
          <t>Строительные работы</t>
        </is>
      </c>
      <c r="G11" s="350" t="inlineStr">
        <is>
          <t>Монтажные работы</t>
        </is>
      </c>
      <c r="H11" s="350" t="inlineStr">
        <is>
          <t>Оборудование</t>
        </is>
      </c>
      <c r="I11" s="350" t="inlineStr">
        <is>
          <t>Прочее</t>
        </is>
      </c>
      <c r="J11" s="350" t="inlineStr">
        <is>
          <t>Всего</t>
        </is>
      </c>
    </row>
    <row r="12" ht="63" customHeight="1" s="318">
      <c r="B12" s="306" t="n">
        <v>1</v>
      </c>
      <c r="C12" s="333">
        <f>'Прил.1 Сравнит табл'!D16</f>
        <v/>
      </c>
      <c r="D12" s="307" t="inlineStr">
        <is>
          <t>02-07-01</t>
        </is>
      </c>
      <c r="E12" s="308" t="inlineStr">
        <is>
          <t xml:space="preserve">Строительные работы на участке от СМ 1 до ПС Пулковская (СПб) </t>
        </is>
      </c>
      <c r="F12" s="309" t="n">
        <v>34971.6330012</v>
      </c>
      <c r="G12" s="309" t="n">
        <v>12.56009</v>
      </c>
      <c r="H12" s="309" t="n">
        <v>0</v>
      </c>
      <c r="I12" s="309" t="n">
        <v>0</v>
      </c>
      <c r="J12" s="310">
        <f>SUM(F12:I12)</f>
        <v/>
      </c>
    </row>
    <row r="13" ht="15" customHeight="1" s="318">
      <c r="B13" s="349" t="inlineStr">
        <is>
          <t>Всего по объекту:</t>
        </is>
      </c>
      <c r="C13" s="438" t="n"/>
      <c r="D13" s="438" t="n"/>
      <c r="E13" s="439" t="n"/>
      <c r="F13" s="312">
        <f>SUM(F12:F12)</f>
        <v/>
      </c>
      <c r="G13" s="312">
        <f>SUM(G12:G12)</f>
        <v/>
      </c>
      <c r="H13" s="312">
        <f>SUM(H12:H12)</f>
        <v/>
      </c>
      <c r="I13" s="312" t="n"/>
      <c r="J13" s="312">
        <f>SUM(F13:I13)</f>
        <v/>
      </c>
      <c r="K13" s="316" t="n"/>
    </row>
    <row r="14">
      <c r="B14" s="349" t="inlineStr">
        <is>
          <t>Всего по объекту в сопоставимом уровне цен 2 кв. 2017г:</t>
        </is>
      </c>
      <c r="C14" s="438" t="n"/>
      <c r="D14" s="438" t="n"/>
      <c r="E14" s="439" t="n"/>
      <c r="F14" s="312">
        <f>F13</f>
        <v/>
      </c>
      <c r="G14" s="312">
        <f>G13</f>
        <v/>
      </c>
      <c r="H14" s="312">
        <f>H13</f>
        <v/>
      </c>
      <c r="I14" s="312">
        <f>'Прил.1 Сравнит табл'!D21</f>
        <v/>
      </c>
      <c r="J14" s="312">
        <f>SUM(F14:I14)</f>
        <v/>
      </c>
    </row>
    <row r="18" ht="15" customHeight="1" s="318">
      <c r="C18" s="290" t="inlineStr">
        <is>
          <t>Составил ______________________     Д.Ю. Нефедова</t>
        </is>
      </c>
      <c r="D18" s="300" t="n"/>
      <c r="E18" s="300" t="n"/>
    </row>
    <row r="19" ht="15" customHeight="1" s="318">
      <c r="C19" s="299" t="inlineStr">
        <is>
          <t xml:space="preserve">                         (подпись, инициалы, фамилия)</t>
        </is>
      </c>
      <c r="D19" s="300" t="n"/>
      <c r="E19" s="300" t="n"/>
    </row>
    <row r="20" ht="15" customHeight="1" s="318">
      <c r="C20" s="290" t="n"/>
      <c r="D20" s="300" t="n"/>
      <c r="E20" s="300" t="n"/>
    </row>
    <row r="21" ht="15" customHeight="1" s="318">
      <c r="C21" s="290" t="inlineStr">
        <is>
          <t>Проверил ______________________        А.В. Костянецкая</t>
        </is>
      </c>
      <c r="D21" s="300" t="n"/>
      <c r="E21" s="300" t="n"/>
    </row>
    <row r="22" ht="15" customHeight="1" s="318">
      <c r="C22" s="299" t="inlineStr">
        <is>
          <t xml:space="preserve">                        (подпись, инициалы, фамилия)</t>
        </is>
      </c>
      <c r="D22" s="300" t="n"/>
      <c r="E22" s="300" t="n"/>
    </row>
    <row r="23" ht="15" customHeight="1" s="318"/>
    <row r="24" ht="15" customHeight="1" s="318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50"/>
  <sheetViews>
    <sheetView view="pageBreakPreview" topLeftCell="A34" zoomScale="85" workbookViewId="0">
      <selection activeCell="E46" sqref="E46"/>
    </sheetView>
  </sheetViews>
  <sheetFormatPr baseColWidth="8" defaultColWidth="9.140625" defaultRowHeight="15.75"/>
  <cols>
    <col width="9.140625" customWidth="1" style="320" min="1" max="1"/>
    <col width="12.5703125" customWidth="1" style="320" min="2" max="2"/>
    <col width="22.42578125" customWidth="1" style="320" min="3" max="3"/>
    <col width="49.7109375" customWidth="1" style="320" min="4" max="4"/>
    <col width="10.140625" customWidth="1" style="320" min="5" max="5"/>
    <col width="20.7109375" customWidth="1" style="320" min="6" max="6"/>
    <col width="20" customWidth="1" style="320" min="7" max="7"/>
    <col width="16.7109375" customWidth="1" style="320" min="8" max="8"/>
  </cols>
  <sheetData>
    <row r="2">
      <c r="A2" s="344" t="inlineStr">
        <is>
          <t xml:space="preserve">Приложение № 3 </t>
        </is>
      </c>
    </row>
    <row r="3">
      <c r="A3" s="345" t="inlineStr">
        <is>
          <t>Объектная ресурсная ведомость</t>
        </is>
      </c>
    </row>
    <row r="4" ht="18.75" customHeight="1" s="318">
      <c r="A4" s="233" t="n"/>
      <c r="B4" s="233" t="n"/>
      <c r="C4" s="352" t="n"/>
    </row>
    <row r="5">
      <c r="A5" s="347" t="n"/>
    </row>
    <row r="6" ht="33.75" customHeight="1" s="318">
      <c r="A6" s="351" t="inlineStr">
        <is>
          <t xml:space="preserve">Наименование разрабатываемого показателя УНЦ -  Укрепление котлованов и траншей 330-500 кВ (Москва, Санкт-Петербург)
</t>
        </is>
      </c>
    </row>
    <row r="7">
      <c r="A7" s="211" t="n"/>
      <c r="B7" s="211" t="n"/>
      <c r="C7" s="211" t="n"/>
      <c r="D7" s="211" t="n"/>
      <c r="E7" s="211" t="n"/>
      <c r="F7" s="211" t="n"/>
      <c r="G7" s="211" t="n"/>
      <c r="H7" s="211" t="n"/>
    </row>
    <row r="8" ht="38.25" customHeight="1" s="318">
      <c r="A8" s="350" t="inlineStr">
        <is>
          <t>п/п</t>
        </is>
      </c>
      <c r="B8" s="350" t="inlineStr">
        <is>
          <t>№ЛСР</t>
        </is>
      </c>
      <c r="C8" s="350" t="inlineStr">
        <is>
          <t>Код ресурса</t>
        </is>
      </c>
      <c r="D8" s="350" t="inlineStr">
        <is>
          <t>Наименование ресурса</t>
        </is>
      </c>
      <c r="E8" s="350" t="inlineStr">
        <is>
          <t>Ед. изм.</t>
        </is>
      </c>
      <c r="F8" s="350" t="inlineStr">
        <is>
          <t>Кол-во единиц по данным объекта-представителя</t>
        </is>
      </c>
      <c r="G8" s="350" t="inlineStr">
        <is>
          <t>Сметная стоимость в ценах на 01.01.2000 (руб.)</t>
        </is>
      </c>
      <c r="H8" s="439" t="n"/>
    </row>
    <row r="9">
      <c r="A9" s="441" t="n"/>
      <c r="B9" s="441" t="n"/>
      <c r="C9" s="441" t="n"/>
      <c r="D9" s="441" t="n"/>
      <c r="E9" s="441" t="n"/>
      <c r="F9" s="441" t="n"/>
      <c r="G9" s="350" t="inlineStr">
        <is>
          <t>на ед.изм.</t>
        </is>
      </c>
      <c r="H9" s="350" t="inlineStr">
        <is>
          <t>общая</t>
        </is>
      </c>
    </row>
    <row r="10">
      <c r="A10" s="333" t="n">
        <v>1</v>
      </c>
      <c r="B10" s="333" t="n"/>
      <c r="C10" s="333" t="n">
        <v>2</v>
      </c>
      <c r="D10" s="333" t="inlineStr">
        <is>
          <t>З</t>
        </is>
      </c>
      <c r="E10" s="333" t="n">
        <v>4</v>
      </c>
      <c r="F10" s="333" t="n">
        <v>5</v>
      </c>
      <c r="G10" s="333" t="n">
        <v>6</v>
      </c>
      <c r="H10" s="333" t="n">
        <v>7</v>
      </c>
    </row>
    <row r="11" customFormat="1" s="212">
      <c r="A11" s="354" t="inlineStr">
        <is>
          <t>Затраты труда рабочих</t>
        </is>
      </c>
      <c r="B11" s="438" t="n"/>
      <c r="C11" s="438" t="n"/>
      <c r="D11" s="438" t="n"/>
      <c r="E11" s="439" t="n"/>
      <c r="F11" s="442">
        <f>SUM(F12:F14)</f>
        <v/>
      </c>
      <c r="G11" s="232" t="n"/>
      <c r="H11" s="442">
        <f>SUM(H12:H14)</f>
        <v/>
      </c>
    </row>
    <row r="12">
      <c r="A12" s="385" t="n">
        <v>1</v>
      </c>
      <c r="B12" s="261" t="n"/>
      <c r="C12" s="263" t="inlineStr">
        <is>
          <t>1-3-8</t>
        </is>
      </c>
      <c r="D12" s="264" t="inlineStr">
        <is>
          <t>Затраты труда рабочих (средний разряд работы 3,8)</t>
        </is>
      </c>
      <c r="E12" s="385" t="inlineStr">
        <is>
          <t>чел.-ч</t>
        </is>
      </c>
      <c r="F12" s="443" t="n">
        <v>30812.8</v>
      </c>
      <c r="G12" s="257" t="n">
        <v>9.4</v>
      </c>
      <c r="H12" s="257">
        <f>ROUND(F12*G12,2)</f>
        <v/>
      </c>
    </row>
    <row r="13">
      <c r="A13" s="385" t="n">
        <v>2</v>
      </c>
      <c r="B13" s="261" t="n"/>
      <c r="C13" s="263" t="inlineStr">
        <is>
          <t>1-4-0</t>
        </is>
      </c>
      <c r="D13" s="264" t="inlineStr">
        <is>
          <t>Затраты труда рабочих (средний разряд работы 4,0)</t>
        </is>
      </c>
      <c r="E13" s="385" t="inlineStr">
        <is>
          <t>чел.-ч</t>
        </is>
      </c>
      <c r="F13" s="443" t="n">
        <v>3049.97</v>
      </c>
      <c r="G13" s="257" t="n">
        <v>9.619999999999999</v>
      </c>
      <c r="H13" s="257">
        <f>ROUND(F13*G13,2)</f>
        <v/>
      </c>
    </row>
    <row r="14">
      <c r="A14" s="385" t="n">
        <v>3</v>
      </c>
      <c r="B14" s="261" t="n"/>
      <c r="C14" s="263" t="inlineStr">
        <is>
          <t>1-4-6</t>
        </is>
      </c>
      <c r="D14" s="264" t="inlineStr">
        <is>
          <t>Затраты труда рабочих (средний разряд работы 4,6)</t>
        </is>
      </c>
      <c r="E14" s="385" t="inlineStr">
        <is>
          <t>чел.-ч</t>
        </is>
      </c>
      <c r="F14" s="443" t="n">
        <v>87.56</v>
      </c>
      <c r="G14" s="257" t="n">
        <v>10.5</v>
      </c>
      <c r="H14" s="257">
        <f>ROUND(F14*G14,2)</f>
        <v/>
      </c>
    </row>
    <row r="15">
      <c r="A15" s="353" t="inlineStr">
        <is>
          <t>Затраты труда машинистов</t>
        </is>
      </c>
      <c r="B15" s="438" t="n"/>
      <c r="C15" s="438" t="n"/>
      <c r="D15" s="438" t="n"/>
      <c r="E15" s="439" t="n"/>
      <c r="F15" s="354" t="n"/>
      <c r="G15" s="213" t="n"/>
      <c r="H15" s="442">
        <f>H16</f>
        <v/>
      </c>
    </row>
    <row r="16">
      <c r="A16" s="385" t="n">
        <v>4</v>
      </c>
      <c r="B16" s="355" t="n"/>
      <c r="C16" s="263" t="n">
        <v>2</v>
      </c>
      <c r="D16" s="264" t="inlineStr">
        <is>
          <t>Затраты труда машинистов</t>
        </is>
      </c>
      <c r="E16" s="385" t="inlineStr">
        <is>
          <t>чел.-ч</t>
        </is>
      </c>
      <c r="F16" s="443" t="n">
        <v>2816.75</v>
      </c>
      <c r="G16" s="257" t="n"/>
      <c r="H16" s="444" t="n">
        <v>38425.26</v>
      </c>
    </row>
    <row r="17" customFormat="1" s="212">
      <c r="A17" s="354" t="inlineStr">
        <is>
          <t>Машины и механизмы</t>
        </is>
      </c>
      <c r="B17" s="438" t="n"/>
      <c r="C17" s="438" t="n"/>
      <c r="D17" s="438" t="n"/>
      <c r="E17" s="439" t="n"/>
      <c r="F17" s="354" t="n"/>
      <c r="G17" s="213" t="n"/>
      <c r="H17" s="442">
        <f>SUM(H18:H30)</f>
        <v/>
      </c>
    </row>
    <row r="18" ht="38.25" customHeight="1" s="318">
      <c r="A18" s="385" t="n">
        <v>5</v>
      </c>
      <c r="B18" s="355" t="n"/>
      <c r="C18" s="263" t="inlineStr">
        <is>
          <t>91.04.01-021</t>
        </is>
      </c>
      <c r="D18" s="26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18" s="385" t="inlineStr">
        <is>
          <t>маш.час</t>
        </is>
      </c>
      <c r="F18" s="385" t="n">
        <v>2112.84</v>
      </c>
      <c r="G18" s="268" t="n">
        <v>87.59999999999999</v>
      </c>
      <c r="H18" s="257">
        <f>ROUND(F18*G18,2)</f>
        <v/>
      </c>
    </row>
    <row r="19" ht="38.25" customFormat="1" customHeight="1" s="212">
      <c r="A19" s="385" t="n">
        <v>6</v>
      </c>
      <c r="B19" s="355" t="n"/>
      <c r="C19" s="263" t="inlineStr">
        <is>
          <t>91.04.03-013</t>
        </is>
      </c>
      <c r="D19" s="264" t="inlineStr">
        <is>
          <t>Установки и станки ударно-канатного бурения: прицепные, глубина бурения до 200 м, грузоподъемность 3,2 т</t>
        </is>
      </c>
      <c r="E19" s="385" t="inlineStr">
        <is>
          <t>маш.час</t>
        </is>
      </c>
      <c r="F19" s="385" t="n">
        <v>312.55</v>
      </c>
      <c r="G19" s="268" t="n">
        <v>171.29</v>
      </c>
      <c r="H19" s="257">
        <f>ROUND(F19*G19,2)</f>
        <v/>
      </c>
    </row>
    <row r="20" ht="25.5" customFormat="1" customHeight="1" s="212">
      <c r="A20" s="385" t="n">
        <v>7</v>
      </c>
      <c r="B20" s="355" t="n"/>
      <c r="C20" s="263" t="inlineStr">
        <is>
          <t>91.05.05-015</t>
        </is>
      </c>
      <c r="D20" s="264" t="inlineStr">
        <is>
          <t>Краны на автомобильном ходу, грузоподъемность 16 т</t>
        </is>
      </c>
      <c r="E20" s="385" t="inlineStr">
        <is>
          <t>маш.час</t>
        </is>
      </c>
      <c r="F20" s="385" t="n">
        <v>125.47</v>
      </c>
      <c r="G20" s="268" t="n">
        <v>115.4</v>
      </c>
      <c r="H20" s="257">
        <f>ROUND(F20*G20,2)</f>
        <v/>
      </c>
    </row>
    <row r="21" ht="25.5" customFormat="1" customHeight="1" s="212">
      <c r="A21" s="385" t="n">
        <v>8</v>
      </c>
      <c r="B21" s="355" t="n"/>
      <c r="C21" s="263" t="inlineStr">
        <is>
          <t>91.05.05-014</t>
        </is>
      </c>
      <c r="D21" s="264" t="inlineStr">
        <is>
          <t>Краны на автомобильном ходу, грузоподъемность 10 т</t>
        </is>
      </c>
      <c r="E21" s="385" t="inlineStr">
        <is>
          <t>маш.час</t>
        </is>
      </c>
      <c r="F21" s="385" t="n">
        <v>92.5</v>
      </c>
      <c r="G21" s="268" t="n">
        <v>111.99</v>
      </c>
      <c r="H21" s="257">
        <f>ROUND(F21*G21,2)</f>
        <v/>
      </c>
    </row>
    <row r="22" customFormat="1" s="212">
      <c r="A22" s="385" t="n">
        <v>9</v>
      </c>
      <c r="B22" s="355" t="n"/>
      <c r="C22" s="263" t="inlineStr">
        <is>
          <t>91.14.02-001</t>
        </is>
      </c>
      <c r="D22" s="264" t="inlineStr">
        <is>
          <t>Автомобили бортовые, грузоподъемность: до 5 т</t>
        </is>
      </c>
      <c r="E22" s="385" t="inlineStr">
        <is>
          <t>маш.час</t>
        </is>
      </c>
      <c r="F22" s="385" t="n">
        <v>105.78</v>
      </c>
      <c r="G22" s="268" t="n">
        <v>65.70999999999999</v>
      </c>
      <c r="H22" s="257">
        <f>ROUND(F22*G22,2)</f>
        <v/>
      </c>
    </row>
    <row r="23" customFormat="1" s="212">
      <c r="A23" s="385" t="n">
        <v>10</v>
      </c>
      <c r="B23" s="355" t="n"/>
      <c r="C23" s="263" t="inlineStr">
        <is>
          <t>91.14.02-003</t>
        </is>
      </c>
      <c r="D23" s="264" t="inlineStr">
        <is>
          <t>Автомобили бортовые, грузоподъемность: до 10 т</t>
        </is>
      </c>
      <c r="E23" s="385" t="inlineStr">
        <is>
          <t>маш.час</t>
        </is>
      </c>
      <c r="F23" s="385" t="n">
        <v>63.79</v>
      </c>
      <c r="G23" s="268" t="n">
        <v>80.44</v>
      </c>
      <c r="H23" s="257">
        <f>ROUND(F23*G23,2)</f>
        <v/>
      </c>
    </row>
    <row r="24" ht="25.5" customFormat="1" customHeight="1" s="212">
      <c r="A24" s="385" t="n">
        <v>11</v>
      </c>
      <c r="B24" s="355" t="n"/>
      <c r="C24" s="263" t="inlineStr">
        <is>
          <t>91.17.04-036</t>
        </is>
      </c>
      <c r="D24" s="264" t="inlineStr">
        <is>
          <t>Агрегаты сварочные передвижные номинальным сварочным током 250-400 А: с дизельным двигателем</t>
        </is>
      </c>
      <c r="E24" s="385" t="inlineStr">
        <is>
          <t>маш.час</t>
        </is>
      </c>
      <c r="F24" s="385" t="n">
        <v>76.89</v>
      </c>
      <c r="G24" s="268" t="n">
        <v>14</v>
      </c>
      <c r="H24" s="257">
        <f>ROUND(F24*G24,2)</f>
        <v/>
      </c>
    </row>
    <row r="25" customFormat="1" s="212">
      <c r="A25" s="385" t="n">
        <v>12</v>
      </c>
      <c r="B25" s="355" t="n"/>
      <c r="C25" s="263" t="inlineStr">
        <is>
          <t>91.06.01-003</t>
        </is>
      </c>
      <c r="D25" s="264" t="inlineStr">
        <is>
          <t>Домкраты гидравлические, грузоподъемность 63-100 т</t>
        </is>
      </c>
      <c r="E25" s="385" t="inlineStr">
        <is>
          <t>маш.час</t>
        </is>
      </c>
      <c r="F25" s="385" t="n">
        <v>595.84</v>
      </c>
      <c r="G25" s="268" t="n">
        <v>0.9</v>
      </c>
      <c r="H25" s="257">
        <f>ROUND(F25*G25,2)</f>
        <v/>
      </c>
    </row>
    <row r="26" ht="25.5" customFormat="1" customHeight="1" s="212">
      <c r="A26" s="385" t="n">
        <v>13</v>
      </c>
      <c r="B26" s="355" t="n"/>
      <c r="C26" s="263" t="inlineStr">
        <is>
          <t>91.17.04-233</t>
        </is>
      </c>
      <c r="D26" s="264" t="inlineStr">
        <is>
          <t>Установки для сварки: ручной дуговой (постоянного тока)</t>
        </is>
      </c>
      <c r="E26" s="385" t="inlineStr">
        <is>
          <t>маш.час</t>
        </is>
      </c>
      <c r="F26" s="385" t="n">
        <v>38.24</v>
      </c>
      <c r="G26" s="268" t="n">
        <v>8.1</v>
      </c>
      <c r="H26" s="257">
        <f>ROUND(F26*G26,2)</f>
        <v/>
      </c>
    </row>
    <row r="27" customFormat="1" s="212">
      <c r="A27" s="385" t="n">
        <v>14</v>
      </c>
      <c r="B27" s="355" t="n"/>
      <c r="C27" s="263" t="inlineStr">
        <is>
          <t>91.05.06-007</t>
        </is>
      </c>
      <c r="D27" s="264" t="inlineStr">
        <is>
          <t>Краны на гусеничном ходу, грузоподъемность 25 т</t>
        </is>
      </c>
      <c r="E27" s="385" t="inlineStr">
        <is>
          <t>маш.час</t>
        </is>
      </c>
      <c r="F27" s="385" t="n">
        <v>2.27</v>
      </c>
      <c r="G27" s="268" t="n">
        <v>120.04</v>
      </c>
      <c r="H27" s="257">
        <f>ROUND(F27*G27,2)</f>
        <v/>
      </c>
    </row>
    <row r="28" customFormat="1" s="212">
      <c r="A28" s="385" t="n">
        <v>15</v>
      </c>
      <c r="B28" s="355" t="n"/>
      <c r="C28" s="263" t="inlineStr">
        <is>
          <t>91.14.04-001</t>
        </is>
      </c>
      <c r="D28" s="264" t="inlineStr">
        <is>
          <t>Тягачи седельные, грузоподъемность: 12 т</t>
        </is>
      </c>
      <c r="E28" s="385" t="inlineStr">
        <is>
          <t>маш.час</t>
        </is>
      </c>
      <c r="F28" s="385" t="n">
        <v>1.55</v>
      </c>
      <c r="G28" s="268" t="n">
        <v>102.84</v>
      </c>
      <c r="H28" s="257">
        <f>ROUND(F28*G28,2)</f>
        <v/>
      </c>
    </row>
    <row r="29" customFormat="1" s="212">
      <c r="A29" s="385" t="n">
        <v>16</v>
      </c>
      <c r="B29" s="355" t="n"/>
      <c r="C29" s="263" t="inlineStr">
        <is>
          <t>91.17.04-042</t>
        </is>
      </c>
      <c r="D29" s="264" t="inlineStr">
        <is>
          <t>Аппарат для газовой сварки и резки</t>
        </is>
      </c>
      <c r="E29" s="385" t="inlineStr">
        <is>
          <t>маш.час</t>
        </is>
      </c>
      <c r="F29" s="385" t="n">
        <v>17.95</v>
      </c>
      <c r="G29" s="268" t="n">
        <v>1.2</v>
      </c>
      <c r="H29" s="257">
        <f>ROUND(F29*G29,2)</f>
        <v/>
      </c>
    </row>
    <row r="30" ht="25.5" customFormat="1" customHeight="1" s="212">
      <c r="A30" s="385" t="n">
        <v>17</v>
      </c>
      <c r="B30" s="355" t="n"/>
      <c r="C30" s="263" t="inlineStr">
        <is>
          <t>91.14.05-011</t>
        </is>
      </c>
      <c r="D30" s="264" t="inlineStr">
        <is>
          <t>Полуприцепы общего назначения, грузоподъемность: 12 т</t>
        </is>
      </c>
      <c r="E30" s="385" t="inlineStr">
        <is>
          <t>маш.час</t>
        </is>
      </c>
      <c r="F30" s="385" t="n">
        <v>1.55</v>
      </c>
      <c r="G30" s="268" t="n">
        <v>12</v>
      </c>
      <c r="H30" s="257">
        <f>ROUND(F30*G30,2)</f>
        <v/>
      </c>
    </row>
    <row r="31" ht="15" customHeight="1" s="318">
      <c r="A31" s="353" t="inlineStr">
        <is>
          <t>Оборудование</t>
        </is>
      </c>
      <c r="B31" s="438" t="n"/>
      <c r="C31" s="438" t="n"/>
      <c r="D31" s="438" t="n"/>
      <c r="E31" s="439" t="n"/>
      <c r="F31" s="232" t="n"/>
      <c r="G31" s="232" t="n"/>
      <c r="H31" s="442" t="n"/>
    </row>
    <row r="32">
      <c r="A32" s="354" t="inlineStr">
        <is>
          <t>Материалы</t>
        </is>
      </c>
      <c r="B32" s="438" t="n"/>
      <c r="C32" s="438" t="n"/>
      <c r="D32" s="438" t="n"/>
      <c r="E32" s="439" t="n"/>
      <c r="F32" s="354" t="n"/>
      <c r="G32" s="213" t="n"/>
      <c r="H32" s="442" t="n">
        <v>1322618.7</v>
      </c>
    </row>
    <row r="33" ht="25.5" customHeight="1" s="318">
      <c r="A33" s="269" t="n">
        <v>18</v>
      </c>
      <c r="B33" s="355" t="n"/>
      <c r="C33" s="263" t="inlineStr">
        <is>
          <t>11.1.03.06-0095</t>
        </is>
      </c>
      <c r="D33" s="264" t="inlineStr">
        <is>
          <t>Доски обрезные хвойных пород длиной: 4-6,5 м, шириной 75-150 мм, толщиной 44 мм и более, III сорта</t>
        </is>
      </c>
      <c r="E33" s="385" t="inlineStr">
        <is>
          <t>м3</t>
        </is>
      </c>
      <c r="F33" s="385" t="n">
        <v>920.3721</v>
      </c>
      <c r="G33" s="257" t="n">
        <v>1056</v>
      </c>
      <c r="H33" s="257" t="n">
        <v>971912.9399999999</v>
      </c>
    </row>
    <row r="34" ht="51" customHeight="1" s="318">
      <c r="A34" s="269" t="n">
        <v>19</v>
      </c>
      <c r="B34" s="355" t="n"/>
      <c r="C34" s="263" t="inlineStr">
        <is>
          <t>23.5.02.02-0090</t>
        </is>
      </c>
      <c r="D34" s="264" t="inlineStr">
        <is>
          <t>Трубы стальные электросварные прямошовные со снятой фаской из стали марок БСт2кп-БСт4кп и БСт2пс-БСт4пс наружный диаметр: 219 мм, толщина стенки 8 мм</t>
        </is>
      </c>
      <c r="E34" s="385" t="inlineStr">
        <is>
          <t>м</t>
        </is>
      </c>
      <c r="F34" s="385" t="n">
        <v>1000</v>
      </c>
      <c r="G34" s="257" t="n">
        <v>299.5</v>
      </c>
      <c r="H34" s="257" t="n">
        <v>299500</v>
      </c>
    </row>
    <row r="35">
      <c r="A35" s="269" t="n">
        <v>20</v>
      </c>
      <c r="B35" s="355" t="n"/>
      <c r="C35" s="263" t="inlineStr">
        <is>
          <t>01.7.15.06-0111</t>
        </is>
      </c>
      <c r="D35" s="264" t="inlineStr">
        <is>
          <t>Гвозди строительные</t>
        </is>
      </c>
      <c r="E35" s="385" t="inlineStr">
        <is>
          <t>т</t>
        </is>
      </c>
      <c r="F35" s="385" t="n">
        <v>2.668</v>
      </c>
      <c r="G35" s="257" t="n">
        <v>11978</v>
      </c>
      <c r="H35" s="257" t="n">
        <v>31957.3</v>
      </c>
    </row>
    <row r="36">
      <c r="A36" s="269" t="n">
        <v>21</v>
      </c>
      <c r="B36" s="355" t="n"/>
      <c r="C36" s="263" t="inlineStr">
        <is>
          <t>01.4.01.10-0016</t>
        </is>
      </c>
      <c r="D36" s="264" t="inlineStr">
        <is>
          <t>Шнек: диаметром 135 мм</t>
        </is>
      </c>
      <c r="E36" s="385" t="inlineStr">
        <is>
          <t>шт</t>
        </is>
      </c>
      <c r="F36" s="385" t="n">
        <v>12.000003</v>
      </c>
      <c r="G36" s="257" t="n">
        <v>597</v>
      </c>
      <c r="H36" s="257" t="n">
        <v>7164</v>
      </c>
    </row>
    <row r="37" ht="38.25" customHeight="1" s="318">
      <c r="A37" s="269" t="n">
        <v>22</v>
      </c>
      <c r="B37" s="355" t="n"/>
      <c r="C37" s="263" t="inlineStr">
        <is>
          <t>23.5.01.01-0017</t>
        </is>
      </c>
      <c r="D37" s="264" t="inlineStr">
        <is>
          <t>Трубы стальные сварные для магистральных газонефтепроводов наружным диаметром: 219 мм толщина стенок 8 мм</t>
        </is>
      </c>
      <c r="E37" s="385" t="inlineStr">
        <is>
          <t>м</t>
        </is>
      </c>
      <c r="F37" s="385" t="n">
        <v>16.7694</v>
      </c>
      <c r="G37" s="257" t="n">
        <v>348.04</v>
      </c>
      <c r="H37" s="257" t="n">
        <v>5836.42</v>
      </c>
    </row>
    <row r="38">
      <c r="A38" s="269" t="n">
        <v>23</v>
      </c>
      <c r="B38" s="355" t="n"/>
      <c r="C38" s="263" t="inlineStr">
        <is>
          <t>08.3.11.01-0016</t>
        </is>
      </c>
      <c r="D38" s="264" t="inlineStr">
        <is>
          <t>Сталь швеллерная обычная, марки: Ст0 № 12-40</t>
        </is>
      </c>
      <c r="E38" s="385" t="inlineStr">
        <is>
          <t>т</t>
        </is>
      </c>
      <c r="F38" s="385" t="n">
        <v>0.481</v>
      </c>
      <c r="G38" s="257" t="n">
        <v>6054.11</v>
      </c>
      <c r="H38" s="257" t="n">
        <v>2912.03</v>
      </c>
    </row>
    <row r="39">
      <c r="A39" s="269" t="n">
        <v>24</v>
      </c>
      <c r="B39" s="355" t="n"/>
      <c r="C39" s="263" t="inlineStr">
        <is>
          <t>01.7.11.07-0040</t>
        </is>
      </c>
      <c r="D39" s="264" t="inlineStr">
        <is>
          <t>Электроды диаметром: 4 мм Э50А</t>
        </is>
      </c>
      <c r="E39" s="385" t="inlineStr">
        <is>
          <t>т</t>
        </is>
      </c>
      <c r="F39" s="385" t="n">
        <v>0.2097</v>
      </c>
      <c r="G39" s="257" t="n">
        <v>11524</v>
      </c>
      <c r="H39" s="257" t="n">
        <v>2416.58</v>
      </c>
    </row>
    <row r="40">
      <c r="A40" s="269" t="n">
        <v>25</v>
      </c>
      <c r="B40" s="355" t="n"/>
      <c r="C40" s="263" t="inlineStr">
        <is>
          <t>01.7.11.07-0032</t>
        </is>
      </c>
      <c r="D40" s="264" t="inlineStr">
        <is>
          <t>Электроды диаметром: 4 мм Э42</t>
        </is>
      </c>
      <c r="E40" s="385" t="inlineStr">
        <is>
          <t>т</t>
        </is>
      </c>
      <c r="F40" s="385" t="n">
        <v>0.0412</v>
      </c>
      <c r="G40" s="257" t="n">
        <v>10315.01</v>
      </c>
      <c r="H40" s="257" t="n">
        <v>424.98</v>
      </c>
    </row>
    <row r="41">
      <c r="A41" s="269" t="n">
        <v>26</v>
      </c>
      <c r="B41" s="355" t="n"/>
      <c r="C41" s="263" t="inlineStr">
        <is>
          <t>08.1.02.11-0001</t>
        </is>
      </c>
      <c r="D41" s="264" t="inlineStr">
        <is>
          <t>Поковки из квадратных заготовок, масса: 1,8 кг</t>
        </is>
      </c>
      <c r="E41" s="385" t="inlineStr">
        <is>
          <t>т</t>
        </is>
      </c>
      <c r="F41" s="385" t="n">
        <v>0.0466</v>
      </c>
      <c r="G41" s="257" t="n">
        <v>5989</v>
      </c>
      <c r="H41" s="257" t="n">
        <v>279.09</v>
      </c>
    </row>
    <row r="42">
      <c r="A42" s="269" t="n">
        <v>27</v>
      </c>
      <c r="B42" s="355" t="n"/>
      <c r="C42" s="263" t="inlineStr">
        <is>
          <t>01.3.02.03-0001</t>
        </is>
      </c>
      <c r="D42" s="264" t="inlineStr">
        <is>
          <t>Ацетилен газообразный технический</t>
        </is>
      </c>
      <c r="E42" s="385" t="inlineStr">
        <is>
          <t>м3</t>
        </is>
      </c>
      <c r="F42" s="385" t="n">
        <v>3.0938</v>
      </c>
      <c r="G42" s="257" t="n">
        <v>38.51</v>
      </c>
      <c r="H42" s="257" t="n">
        <v>119.14</v>
      </c>
    </row>
    <row r="43">
      <c r="A43" s="269" t="n">
        <v>28</v>
      </c>
      <c r="B43" s="355" t="n"/>
      <c r="C43" s="263" t="inlineStr">
        <is>
          <t>01.3.02.08-0001</t>
        </is>
      </c>
      <c r="D43" s="264" t="inlineStr">
        <is>
          <t>Кислород технический: газообразный</t>
        </is>
      </c>
      <c r="E43" s="385" t="inlineStr">
        <is>
          <t>м3</t>
        </is>
      </c>
      <c r="F43" s="385" t="n">
        <v>15.4688</v>
      </c>
      <c r="G43" s="257" t="n">
        <v>6.22</v>
      </c>
      <c r="H43" s="257" t="n">
        <v>96.22</v>
      </c>
    </row>
    <row r="46">
      <c r="B46" s="320" t="inlineStr">
        <is>
          <t>Составил ______________________     Д.Ю. Нефедова</t>
        </is>
      </c>
    </row>
    <row r="47">
      <c r="B47" s="302" t="inlineStr">
        <is>
          <t xml:space="preserve">                         (подпись, инициалы, фамилия)</t>
        </is>
      </c>
    </row>
    <row r="49">
      <c r="B49" s="320" t="inlineStr">
        <is>
          <t>Проверил ______________________        А.В. Костянецкая</t>
        </is>
      </c>
    </row>
    <row r="50">
      <c r="B50" s="30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A32:E32"/>
    <mergeCell ref="C4:H4"/>
    <mergeCell ref="A31:E31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4" sqref="D44"/>
    </sheetView>
  </sheetViews>
  <sheetFormatPr baseColWidth="8" defaultRowHeight="15"/>
  <cols>
    <col width="4.140625" customWidth="1" style="318" min="1" max="1"/>
    <col width="36.28515625" customWidth="1" style="318" min="2" max="2"/>
    <col width="18.85546875" customWidth="1" style="318" min="3" max="3"/>
    <col width="18.28515625" customWidth="1" style="318" min="4" max="4"/>
    <col width="18.85546875" customWidth="1" style="318" min="5" max="5"/>
    <col width="11.42578125" customWidth="1" style="318" min="6" max="6"/>
    <col width="14.42578125" customWidth="1" style="318" min="7" max="7"/>
    <col width="9.140625" customWidth="1" style="318" min="8" max="11"/>
    <col width="13.5703125" customWidth="1" style="318" min="12" max="12"/>
    <col width="9.140625" customWidth="1" style="318" min="13" max="13"/>
  </cols>
  <sheetData>
    <row r="1">
      <c r="B1" s="290" t="n"/>
      <c r="C1" s="290" t="n"/>
      <c r="D1" s="290" t="n"/>
      <c r="E1" s="290" t="n"/>
    </row>
    <row r="2">
      <c r="B2" s="290" t="n"/>
      <c r="C2" s="290" t="n"/>
      <c r="D2" s="290" t="n"/>
      <c r="E2" s="380" t="inlineStr">
        <is>
          <t>Приложение № 4</t>
        </is>
      </c>
    </row>
    <row r="3">
      <c r="B3" s="290" t="n"/>
      <c r="C3" s="290" t="n"/>
      <c r="D3" s="290" t="n"/>
      <c r="E3" s="290" t="n"/>
    </row>
    <row r="4">
      <c r="B4" s="290" t="n"/>
      <c r="C4" s="290" t="n"/>
      <c r="D4" s="290" t="n"/>
      <c r="E4" s="290" t="n"/>
    </row>
    <row r="5">
      <c r="B5" s="334" t="inlineStr">
        <is>
          <t>Ресурсная модель</t>
        </is>
      </c>
    </row>
    <row r="6">
      <c r="B6" s="226" t="n"/>
      <c r="C6" s="290" t="n"/>
      <c r="D6" s="290" t="n"/>
      <c r="E6" s="290" t="n"/>
    </row>
    <row r="7" ht="38.25" customHeight="1" s="318">
      <c r="B7" s="343" t="inlineStr">
        <is>
          <t>Наименование разрабатываемого показателя УНЦ —Укрепление котлованов и траншей 330-500 кВ
(Москва, Санкт-Петербург)</t>
        </is>
      </c>
    </row>
    <row r="8">
      <c r="B8" s="360" t="inlineStr">
        <is>
          <t>Единица измерения  — 1 км.</t>
        </is>
      </c>
    </row>
    <row r="9">
      <c r="B9" s="226" t="n"/>
      <c r="C9" s="290" t="n"/>
      <c r="D9" s="290" t="n"/>
      <c r="E9" s="290" t="n"/>
    </row>
    <row r="10" ht="51" customHeight="1" s="318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92">
        <f>'Прил.5 Расчет СМР и ОБ'!J15</f>
        <v/>
      </c>
      <c r="D11" s="220">
        <f>C11/$C$24</f>
        <v/>
      </c>
      <c r="E11" s="220">
        <f>C11/$C$40</f>
        <v/>
      </c>
    </row>
    <row r="12">
      <c r="B12" s="242" t="inlineStr">
        <is>
          <t>Эксплуатация машин основных</t>
        </is>
      </c>
      <c r="C12" s="292">
        <f>'Прил.5 Расчет СМР и ОБ'!J22</f>
        <v/>
      </c>
      <c r="D12" s="220">
        <f>C12/$C$24</f>
        <v/>
      </c>
      <c r="E12" s="220">
        <f>C12/$C$40</f>
        <v/>
      </c>
    </row>
    <row r="13">
      <c r="B13" s="242" t="inlineStr">
        <is>
          <t>Эксплуатация машин прочих</t>
        </is>
      </c>
      <c r="C13" s="292">
        <f>'Прил.5 Расчет СМР и ОБ'!J34</f>
        <v/>
      </c>
      <c r="D13" s="220">
        <f>C13/$C$24</f>
        <v/>
      </c>
      <c r="E13" s="220">
        <f>C13/$C$40</f>
        <v/>
      </c>
    </row>
    <row r="14">
      <c r="B14" s="242" t="inlineStr">
        <is>
          <t>ЭКСПЛУАТАЦИЯ МАШИН, ВСЕГО:</t>
        </is>
      </c>
      <c r="C14" s="292">
        <f>C13+C12</f>
        <v/>
      </c>
      <c r="D14" s="220">
        <f>C14/$C$24</f>
        <v/>
      </c>
      <c r="E14" s="220">
        <f>C14/$C$40</f>
        <v/>
      </c>
    </row>
    <row r="15">
      <c r="B15" s="242" t="inlineStr">
        <is>
          <t>в том числе зарплата машинистов</t>
        </is>
      </c>
      <c r="C15" s="292">
        <f>'Прил.5 Расчет СМР и ОБ'!J17</f>
        <v/>
      </c>
      <c r="D15" s="220">
        <f>C15/$C$24</f>
        <v/>
      </c>
      <c r="E15" s="220">
        <f>C15/$C$40</f>
        <v/>
      </c>
    </row>
    <row r="16">
      <c r="B16" s="242" t="inlineStr">
        <is>
          <t>Материалы основные</t>
        </is>
      </c>
      <c r="C16" s="292">
        <f>'Прил.5 Расчет СМР и ОБ'!J46</f>
        <v/>
      </c>
      <c r="D16" s="220">
        <f>C16/$C$24</f>
        <v/>
      </c>
      <c r="E16" s="220">
        <f>C16/$C$40</f>
        <v/>
      </c>
    </row>
    <row r="17">
      <c r="B17" s="242" t="inlineStr">
        <is>
          <t>Материалы прочие</t>
        </is>
      </c>
      <c r="C17" s="292">
        <f>'Прил.5 Расчет СМР и ОБ'!J56</f>
        <v/>
      </c>
      <c r="D17" s="220">
        <f>C17/$C$24</f>
        <v/>
      </c>
      <c r="E17" s="220">
        <f>C17/$C$40</f>
        <v/>
      </c>
      <c r="G17" s="445" t="n"/>
    </row>
    <row r="18">
      <c r="B18" s="242" t="inlineStr">
        <is>
          <t>МАТЕРИАЛЫ, ВСЕГО:</t>
        </is>
      </c>
      <c r="C18" s="292">
        <f>C17+C16</f>
        <v/>
      </c>
      <c r="D18" s="220">
        <f>C18/$C$24</f>
        <v/>
      </c>
      <c r="E18" s="220">
        <f>C18/$C$40</f>
        <v/>
      </c>
    </row>
    <row r="19">
      <c r="B19" s="242" t="inlineStr">
        <is>
          <t>ИТОГО</t>
        </is>
      </c>
      <c r="C19" s="292">
        <f>C18+C14+C11</f>
        <v/>
      </c>
      <c r="D19" s="220" t="n"/>
      <c r="E19" s="242" t="n"/>
    </row>
    <row r="20">
      <c r="B20" s="242" t="inlineStr">
        <is>
          <t>Сметная прибыль, руб.</t>
        </is>
      </c>
      <c r="C20" s="292">
        <f>ROUND(C21*(C11+C15),2)</f>
        <v/>
      </c>
      <c r="D20" s="220">
        <f>C20/$C$24</f>
        <v/>
      </c>
      <c r="E20" s="220">
        <f>C20/$C$40</f>
        <v/>
      </c>
    </row>
    <row r="21">
      <c r="B21" s="242" t="inlineStr">
        <is>
          <t>Сметная прибыль, %</t>
        </is>
      </c>
      <c r="C21" s="223">
        <f>'Прил.5 Расчет СМР и ОБ'!D60</f>
        <v/>
      </c>
      <c r="D21" s="220" t="n"/>
      <c r="E21" s="242" t="n"/>
    </row>
    <row r="22">
      <c r="B22" s="242" t="inlineStr">
        <is>
          <t>Накладные расходы, руб.</t>
        </is>
      </c>
      <c r="C22" s="292">
        <f>ROUND(C23*(C11+C15),2)</f>
        <v/>
      </c>
      <c r="D22" s="220">
        <f>C22/$C$24</f>
        <v/>
      </c>
      <c r="E22" s="220">
        <f>C22/$C$40</f>
        <v/>
      </c>
    </row>
    <row r="23">
      <c r="B23" s="242" t="inlineStr">
        <is>
          <t>Накладные расходы, %</t>
        </is>
      </c>
      <c r="C23" s="223">
        <f>'Прил.5 Расчет СМР и ОБ'!D59</f>
        <v/>
      </c>
      <c r="D23" s="220" t="n"/>
      <c r="E23" s="242" t="n"/>
    </row>
    <row r="24">
      <c r="B24" s="242" t="inlineStr">
        <is>
          <t>ВСЕГО СМР с НР и СП</t>
        </is>
      </c>
      <c r="C24" s="292">
        <f>C19+C20+C22</f>
        <v/>
      </c>
      <c r="D24" s="220">
        <f>C24/$C$24</f>
        <v/>
      </c>
      <c r="E24" s="220">
        <f>C24/$C$40</f>
        <v/>
      </c>
    </row>
    <row r="25" ht="25.5" customHeight="1" s="318">
      <c r="B25" s="242" t="inlineStr">
        <is>
          <t>ВСЕГО стоимость оборудования, в том числе</t>
        </is>
      </c>
      <c r="C25" s="292">
        <f>'Прил.5 Расчет СМР и ОБ'!J40</f>
        <v/>
      </c>
      <c r="D25" s="220" t="n"/>
      <c r="E25" s="220">
        <f>C25/$C$40</f>
        <v/>
      </c>
    </row>
    <row r="26" ht="25.5" customHeight="1" s="318">
      <c r="B26" s="242" t="inlineStr">
        <is>
          <t>стоимость оборудования технологического</t>
        </is>
      </c>
      <c r="C26" s="292">
        <f>'Прил.5 Расчет СМР и ОБ'!J41</f>
        <v/>
      </c>
      <c r="D26" s="220" t="n"/>
      <c r="E26" s="220">
        <f>C26/$C$40</f>
        <v/>
      </c>
    </row>
    <row r="27">
      <c r="B27" s="242" t="inlineStr">
        <is>
          <t>ИТОГО (СМР + ОБОРУДОВАНИЕ)</t>
        </is>
      </c>
      <c r="C27" s="222">
        <f>C24+C25</f>
        <v/>
      </c>
      <c r="D27" s="220" t="n"/>
      <c r="E27" s="220">
        <f>C27/$C$40</f>
        <v/>
      </c>
    </row>
    <row r="28" ht="33" customHeight="1" s="318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  <c r="F28" s="221" t="n"/>
    </row>
    <row r="29" ht="25.5" customHeight="1" s="318">
      <c r="B29" s="242" t="inlineStr">
        <is>
          <t>Временные здания и сооружения - 3,9%</t>
        </is>
      </c>
      <c r="C29" s="222">
        <f>ROUND(C24*3.9%,2)</f>
        <v/>
      </c>
      <c r="D29" s="242" t="n"/>
      <c r="E29" s="220">
        <f>C29/$C$40</f>
        <v/>
      </c>
    </row>
    <row r="30" ht="38.25" customHeight="1" s="318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22">
        <f>ROUND((C24+C29)*2.1%,2)</f>
        <v/>
      </c>
      <c r="D30" s="242" t="n"/>
      <c r="E30" s="220">
        <f>C30/$C$40</f>
        <v/>
      </c>
      <c r="F30" s="221" t="n"/>
    </row>
    <row r="31">
      <c r="B31" s="242" t="inlineStr">
        <is>
          <t>Пусконаладочные работы</t>
        </is>
      </c>
      <c r="C31" s="222" t="n">
        <v>0</v>
      </c>
      <c r="D31" s="242" t="n"/>
      <c r="E31" s="220">
        <f>C31/$C$40</f>
        <v/>
      </c>
    </row>
    <row r="32" ht="25.5" customHeight="1" s="318">
      <c r="B32" s="242" t="inlineStr">
        <is>
          <t>Затраты по перевозке работников к месту работы и обратно</t>
        </is>
      </c>
      <c r="C32" s="222">
        <f>ROUND(C27*0%,2)</f>
        <v/>
      </c>
      <c r="D32" s="242" t="n"/>
      <c r="E32" s="220">
        <f>C32/$C$40</f>
        <v/>
      </c>
    </row>
    <row r="33" ht="25.5" customHeight="1" s="318">
      <c r="B33" s="242" t="inlineStr">
        <is>
          <t>Затраты, связанные с осуществлением работ вахтовым методом</t>
        </is>
      </c>
      <c r="C33" s="222">
        <f>ROUND(C28*0%,2)</f>
        <v/>
      </c>
      <c r="D33" s="242" t="n"/>
      <c r="E33" s="220">
        <f>C33/$C$40</f>
        <v/>
      </c>
    </row>
    <row r="34" ht="51" customHeight="1" s="318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2">
        <f>ROUND(C29*0%,2)</f>
        <v/>
      </c>
      <c r="D34" s="242" t="n"/>
      <c r="E34" s="220">
        <f>C34/$C$40</f>
        <v/>
      </c>
      <c r="H34" s="231" t="n"/>
    </row>
    <row r="35" ht="76.5" customHeight="1" s="318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2">
        <f>ROUND(C30*0%,2)</f>
        <v/>
      </c>
      <c r="D35" s="242" t="n"/>
      <c r="E35" s="220">
        <f>C35/$C$40</f>
        <v/>
      </c>
    </row>
    <row r="36" ht="25.5" customHeight="1" s="318">
      <c r="B36" s="242" t="inlineStr">
        <is>
          <t>Строительный контроль и содержание службы заказчика - 2,14%</t>
        </is>
      </c>
      <c r="C36" s="222">
        <f>ROUND((C27+C32+C33+C34+C35+C29+C31+C30)*2.14%,2)</f>
        <v/>
      </c>
      <c r="D36" s="242" t="n"/>
      <c r="E36" s="220">
        <f>C36/$C$40</f>
        <v/>
      </c>
      <c r="L36" s="221" t="n"/>
    </row>
    <row r="37">
      <c r="B37" s="242" t="inlineStr">
        <is>
          <t>Авторский надзор - 0,2%</t>
        </is>
      </c>
      <c r="C37" s="222">
        <f>ROUND((C27+C32+C33+C34+C35+C29+C31+C30)*0.2%,2)</f>
        <v/>
      </c>
      <c r="D37" s="242" t="n"/>
      <c r="E37" s="220">
        <f>C37/$C$40</f>
        <v/>
      </c>
      <c r="L37" s="221" t="n"/>
    </row>
    <row r="38" ht="38.25" customHeight="1" s="318">
      <c r="B38" s="242" t="inlineStr">
        <is>
          <t>ИТОГО (СМР+ОБОРУДОВАНИЕ+ПРОЧ. ЗАТР., УЧТЕННЫЕ ПОКАЗАТЕЛЕМ)</t>
        </is>
      </c>
      <c r="C38" s="292">
        <f>C27+C32+C33+C34+C35+C29+C31+C30+C36+C37</f>
        <v/>
      </c>
      <c r="D38" s="242" t="n"/>
      <c r="E38" s="220">
        <f>C38/$C$40</f>
        <v/>
      </c>
    </row>
    <row r="39" ht="13.5" customHeight="1" s="318">
      <c r="B39" s="242" t="inlineStr">
        <is>
          <t>Непредвиденные расходы</t>
        </is>
      </c>
      <c r="C39" s="292">
        <f>ROUND(C38*3%,2)</f>
        <v/>
      </c>
      <c r="D39" s="242" t="n"/>
      <c r="E39" s="220">
        <f>C39/$C$38</f>
        <v/>
      </c>
    </row>
    <row r="40">
      <c r="B40" s="242" t="inlineStr">
        <is>
          <t>ВСЕГО:</t>
        </is>
      </c>
      <c r="C40" s="292">
        <f>C39+C38</f>
        <v/>
      </c>
      <c r="D40" s="242" t="n"/>
      <c r="E40" s="220">
        <f>C40/$C$40</f>
        <v/>
      </c>
    </row>
    <row r="41">
      <c r="B41" s="242" t="inlineStr">
        <is>
          <t>ИТОГО ПОКАЗАТЕЛЬ НА ЕД. ИЗМ.</t>
        </is>
      </c>
      <c r="C41" s="292">
        <f>C40/'Прил.5 Расчет СМР и ОБ'!E63</f>
        <v/>
      </c>
      <c r="D41" s="242" t="n"/>
      <c r="E41" s="242" t="n"/>
      <c r="G41" s="221" t="n"/>
    </row>
    <row r="42">
      <c r="B42" s="294" t="n"/>
      <c r="C42" s="290" t="n"/>
      <c r="D42" s="290" t="n"/>
      <c r="E42" s="290" t="n"/>
      <c r="G42" s="221" t="n"/>
    </row>
    <row r="43">
      <c r="B43" s="294" t="inlineStr">
        <is>
          <t>Составил ____________________________ Д.Ю. Нефедова</t>
        </is>
      </c>
      <c r="C43" s="290" t="n"/>
      <c r="D43" s="290" t="n"/>
      <c r="E43" s="290" t="n"/>
      <c r="G43" s="231" t="n"/>
    </row>
    <row r="44">
      <c r="B44" s="294" t="inlineStr">
        <is>
          <t xml:space="preserve">(должность, подпись, инициалы, фамилия) </t>
        </is>
      </c>
      <c r="C44" s="290" t="n"/>
      <c r="D44" s="290" t="n"/>
      <c r="E44" s="290" t="n"/>
    </row>
    <row r="45">
      <c r="B45" s="294" t="n"/>
      <c r="C45" s="290" t="n"/>
      <c r="D45" s="290" t="n"/>
      <c r="E45" s="290" t="n"/>
    </row>
    <row r="46">
      <c r="B46" s="294" t="inlineStr">
        <is>
          <t>Проверил ____________________________ А.В. Костянецкая</t>
        </is>
      </c>
      <c r="C46" s="290" t="n"/>
      <c r="D46" s="290" t="n"/>
      <c r="E46" s="290" t="n"/>
    </row>
    <row r="47">
      <c r="B47" s="360" t="inlineStr">
        <is>
          <t>(должность, подпись, инициалы, фамилия)</t>
        </is>
      </c>
      <c r="D47" s="290" t="n"/>
      <c r="E47" s="290" t="n"/>
    </row>
    <row r="49">
      <c r="B49" s="290" t="n"/>
      <c r="C49" s="290" t="n"/>
      <c r="D49" s="290" t="n"/>
      <c r="E49" s="290" t="n"/>
    </row>
    <row r="50">
      <c r="B50" s="290" t="n"/>
      <c r="C50" s="290" t="n"/>
      <c r="D50" s="290" t="n"/>
      <c r="E50" s="2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9"/>
  <sheetViews>
    <sheetView view="pageBreakPreview" topLeftCell="A43" zoomScale="85" workbookViewId="0">
      <selection activeCell="E70" sqref="E70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2.7109375" customWidth="1" style="300" min="5" max="5"/>
    <col width="15" customWidth="1" style="300" min="6" max="6"/>
    <col width="13.4257812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4.7109375" customWidth="1" style="300" min="11" max="11"/>
    <col width="7.28515625" customWidth="1" style="300" min="12" max="12"/>
    <col width="9.140625" customWidth="1" style="318" min="13" max="13"/>
  </cols>
  <sheetData>
    <row r="1" s="318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18">
      <c r="A2" s="300" t="n"/>
      <c r="B2" s="300" t="n"/>
      <c r="C2" s="300" t="n"/>
      <c r="D2" s="300" t="n"/>
      <c r="E2" s="300" t="n"/>
      <c r="F2" s="300" t="n"/>
      <c r="G2" s="300" t="n"/>
      <c r="H2" s="375" t="inlineStr">
        <is>
          <t>Приложение №5</t>
        </is>
      </c>
      <c r="K2" s="300" t="n"/>
      <c r="L2" s="300" t="n"/>
      <c r="M2" s="300" t="n"/>
      <c r="N2" s="300" t="n"/>
    </row>
    <row r="3" s="318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0">
      <c r="A4" s="334" t="inlineStr">
        <is>
          <t>Расчет стоимости СМР и оборудования</t>
        </is>
      </c>
    </row>
    <row r="5" ht="12.75" customFormat="1" customHeight="1" s="290">
      <c r="A5" s="334" t="n"/>
      <c r="B5" s="334" t="n"/>
      <c r="C5" s="387" t="n"/>
      <c r="D5" s="334" t="n"/>
      <c r="E5" s="334" t="n"/>
      <c r="F5" s="334" t="n"/>
      <c r="G5" s="334" t="n"/>
      <c r="H5" s="334" t="n"/>
      <c r="I5" s="334" t="n"/>
      <c r="J5" s="334" t="n"/>
    </row>
    <row r="6" ht="27.75" customFormat="1" customHeight="1" s="290">
      <c r="A6" s="191" t="inlineStr">
        <is>
          <t>Наименование разрабатываемого показателя УНЦ</t>
        </is>
      </c>
      <c r="B6" s="190" t="n"/>
      <c r="C6" s="190" t="n"/>
      <c r="D6" s="379" t="inlineStr">
        <is>
          <t xml:space="preserve">Укрепление котлованов и траншей 330-500 кВ (Москва, Санкт-Петербург)
</t>
        </is>
      </c>
    </row>
    <row r="7" ht="12.75" customFormat="1" customHeight="1" s="290">
      <c r="A7" s="337" t="inlineStr">
        <is>
          <t>Единица измерения  — 1 км.</t>
        </is>
      </c>
      <c r="I7" s="343" t="n"/>
      <c r="J7" s="343" t="n"/>
    </row>
    <row r="8" ht="13.5" customFormat="1" customHeight="1" s="290">
      <c r="A8" s="337" t="n"/>
    </row>
    <row r="9" ht="13.15" customFormat="1" customHeight="1" s="290"/>
    <row r="10" ht="27" customHeight="1" s="318">
      <c r="A10" s="367" t="inlineStr">
        <is>
          <t>№ пп.</t>
        </is>
      </c>
      <c r="B10" s="367" t="inlineStr">
        <is>
          <t>Код ресурса</t>
        </is>
      </c>
      <c r="C10" s="367" t="inlineStr">
        <is>
          <t>Наименование</t>
        </is>
      </c>
      <c r="D10" s="367" t="inlineStr">
        <is>
          <t>Ед. изм.</t>
        </is>
      </c>
      <c r="E10" s="367" t="inlineStr">
        <is>
          <t>Кол-во единиц по проектным данным</t>
        </is>
      </c>
      <c r="F10" s="367" t="inlineStr">
        <is>
          <t>Сметная стоимость в ценах на 01.01.2000 (руб.)</t>
        </is>
      </c>
      <c r="G10" s="439" t="n"/>
      <c r="H10" s="367" t="inlineStr">
        <is>
          <t>Удельный вес, %</t>
        </is>
      </c>
      <c r="I10" s="367" t="inlineStr">
        <is>
          <t>Сметная стоимость в ценах на 01.01.2023 (руб.)</t>
        </is>
      </c>
      <c r="J10" s="439" t="n"/>
      <c r="K10" s="300" t="n"/>
      <c r="L10" s="300" t="n"/>
      <c r="M10" s="300" t="n"/>
      <c r="N10" s="300" t="n"/>
    </row>
    <row r="11" ht="28.5" customHeight="1" s="318">
      <c r="A11" s="441" t="n"/>
      <c r="B11" s="441" t="n"/>
      <c r="C11" s="441" t="n"/>
      <c r="D11" s="441" t="n"/>
      <c r="E11" s="441" t="n"/>
      <c r="F11" s="367" t="inlineStr">
        <is>
          <t>на ед. изм.</t>
        </is>
      </c>
      <c r="G11" s="367" t="inlineStr">
        <is>
          <t>общая</t>
        </is>
      </c>
      <c r="H11" s="441" t="n"/>
      <c r="I11" s="367" t="inlineStr">
        <is>
          <t>на ед. изм.</t>
        </is>
      </c>
      <c r="J11" s="367" t="inlineStr">
        <is>
          <t>общая</t>
        </is>
      </c>
      <c r="K11" s="300" t="n"/>
      <c r="L11" s="300" t="n"/>
      <c r="M11" s="300" t="n"/>
      <c r="N11" s="300" t="n"/>
    </row>
    <row r="12" s="318">
      <c r="A12" s="367" t="n">
        <v>1</v>
      </c>
      <c r="B12" s="367" t="n">
        <v>2</v>
      </c>
      <c r="C12" s="367" t="n">
        <v>3</v>
      </c>
      <c r="D12" s="367" t="n">
        <v>4</v>
      </c>
      <c r="E12" s="367" t="n">
        <v>5</v>
      </c>
      <c r="F12" s="367" t="n">
        <v>6</v>
      </c>
      <c r="G12" s="367" t="n">
        <v>7</v>
      </c>
      <c r="H12" s="367" t="n">
        <v>8</v>
      </c>
      <c r="I12" s="362" t="n">
        <v>9</v>
      </c>
      <c r="J12" s="362" t="n">
        <v>10</v>
      </c>
      <c r="K12" s="300" t="n"/>
      <c r="L12" s="300" t="n"/>
      <c r="M12" s="300" t="n"/>
      <c r="N12" s="300" t="n"/>
    </row>
    <row r="13">
      <c r="A13" s="367" t="n"/>
      <c r="B13" s="353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274" t="n"/>
      <c r="J13" s="274" t="n"/>
    </row>
    <row r="14" ht="25.5" customHeight="1" s="318">
      <c r="A14" s="367" t="n">
        <v>1</v>
      </c>
      <c r="B14" s="270" t="inlineStr">
        <is>
          <t>1-3-8</t>
        </is>
      </c>
      <c r="C14" s="366" t="inlineStr">
        <is>
          <t>Затраты труда рабочих-строителей среднего разряда (3,8)</t>
        </is>
      </c>
      <c r="D14" s="367" t="inlineStr">
        <is>
          <t>чел.-ч.</t>
        </is>
      </c>
      <c r="E14" s="446">
        <f>G14/F14</f>
        <v/>
      </c>
      <c r="F14" s="247" t="n">
        <v>9.4</v>
      </c>
      <c r="G14" s="247">
        <f>'Прил. 3'!H11</f>
        <v/>
      </c>
      <c r="H14" s="189">
        <f>G14/G15</f>
        <v/>
      </c>
      <c r="I14" s="247">
        <f>ФОТр.тек.!E13</f>
        <v/>
      </c>
      <c r="J14" s="247">
        <f>ROUND(I14*E14,2)</f>
        <v/>
      </c>
      <c r="K14" s="447" t="n"/>
    </row>
    <row r="15" ht="25.5" customFormat="1" customHeight="1" s="300">
      <c r="A15" s="367" t="n"/>
      <c r="B15" s="367" t="n"/>
      <c r="C15" s="353" t="inlineStr">
        <is>
          <t>Итого по разделу "Затраты труда рабочих-строителей"</t>
        </is>
      </c>
      <c r="D15" s="367" t="inlineStr">
        <is>
          <t>чел.-ч.</t>
        </is>
      </c>
      <c r="E15" s="446">
        <f>SUM(E14)</f>
        <v/>
      </c>
      <c r="F15" s="247" t="n"/>
      <c r="G15" s="247">
        <f>SUM(G14:G14)</f>
        <v/>
      </c>
      <c r="H15" s="370" t="n">
        <v>1</v>
      </c>
      <c r="I15" s="274" t="n"/>
      <c r="J15" s="247">
        <f>SUM(J14:J14)</f>
        <v/>
      </c>
    </row>
    <row r="16" ht="14.25" customFormat="1" customHeight="1" s="300">
      <c r="A16" s="367" t="n"/>
      <c r="B16" s="366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274" t="n"/>
      <c r="J16" s="274" t="n"/>
    </row>
    <row r="17" ht="14.25" customFormat="1" customHeight="1" s="300">
      <c r="A17" s="367" t="n">
        <v>2</v>
      </c>
      <c r="B17" s="367" t="n">
        <v>2</v>
      </c>
      <c r="C17" s="366" t="inlineStr">
        <is>
          <t>Затраты труда машинистов</t>
        </is>
      </c>
      <c r="D17" s="367" t="inlineStr">
        <is>
          <t>чел.-ч.</t>
        </is>
      </c>
      <c r="E17" s="446" t="n">
        <v>2816.75</v>
      </c>
      <c r="F17" s="247">
        <f>G17/E17</f>
        <v/>
      </c>
      <c r="G17" s="247">
        <f>'Прил. 3'!H15</f>
        <v/>
      </c>
      <c r="H17" s="370" t="n">
        <v>1</v>
      </c>
      <c r="I17" s="247">
        <f>ROUND(F17*'Прил. 10'!D11,2)</f>
        <v/>
      </c>
      <c r="J17" s="247">
        <f>ROUND(I17*E17,2)</f>
        <v/>
      </c>
      <c r="K17" s="447" t="n"/>
      <c r="L17" s="300" t="n"/>
    </row>
    <row r="18" ht="14.25" customFormat="1" customHeight="1" s="300">
      <c r="A18" s="367" t="n"/>
      <c r="B18" s="353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274" t="n"/>
      <c r="J18" s="274" t="n"/>
    </row>
    <row r="19" ht="14.25" customFormat="1" customHeight="1" s="300">
      <c r="A19" s="367" t="n"/>
      <c r="B19" s="366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274" t="n"/>
      <c r="J19" s="274" t="n"/>
    </row>
    <row r="20" ht="51" customFormat="1" customHeight="1" s="300">
      <c r="A20" s="367" t="n">
        <v>3</v>
      </c>
      <c r="B20" s="270" t="inlineStr">
        <is>
          <t>91.04.01-021</t>
        </is>
      </c>
      <c r="C20" s="36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0" s="367" t="inlineStr">
        <is>
          <t>маш.час</t>
        </is>
      </c>
      <c r="E20" s="446" t="n">
        <v>2112.84</v>
      </c>
      <c r="F20" s="369" t="n">
        <v>87.59999999999999</v>
      </c>
      <c r="G20" s="247">
        <f>ROUND(E20*F20,2)</f>
        <v/>
      </c>
      <c r="H20" s="189">
        <f>G20/$G$35</f>
        <v/>
      </c>
      <c r="I20" s="247">
        <f>ROUND(F20*'Прил. 10'!$D$12,2)</f>
        <v/>
      </c>
      <c r="J20" s="247">
        <f>ROUND(I20*E20,2)</f>
        <v/>
      </c>
    </row>
    <row r="21" ht="38.25" customFormat="1" customHeight="1" s="300">
      <c r="A21" s="367" t="n">
        <v>4</v>
      </c>
      <c r="B21" s="270" t="inlineStr">
        <is>
          <t>91.04.03-013</t>
        </is>
      </c>
      <c r="C21" s="366" t="inlineStr">
        <is>
          <t>Установки и станки ударно-канатного бурения: прицепные, глубина бурения до 200 м, грузоподъемность 3,2 т</t>
        </is>
      </c>
      <c r="D21" s="367" t="inlineStr">
        <is>
          <t>маш.час</t>
        </is>
      </c>
      <c r="E21" s="446" t="n">
        <v>312.55</v>
      </c>
      <c r="F21" s="369" t="n">
        <v>171.29</v>
      </c>
      <c r="G21" s="247">
        <f>ROUND(E21*F21,2)</f>
        <v/>
      </c>
      <c r="H21" s="189">
        <f>G21/$G$35</f>
        <v/>
      </c>
      <c r="I21" s="247">
        <f>ROUND(F21*'Прил. 10'!$D$12,2)</f>
        <v/>
      </c>
      <c r="J21" s="247">
        <f>ROUND(I21*E21,2)</f>
        <v/>
      </c>
    </row>
    <row r="22" ht="14.25" customFormat="1" customHeight="1" s="300">
      <c r="A22" s="367" t="n"/>
      <c r="B22" s="367" t="n"/>
      <c r="C22" s="366" t="inlineStr">
        <is>
          <t>Итого основные машины и механизмы</t>
        </is>
      </c>
      <c r="D22" s="367" t="n"/>
      <c r="E22" s="446" t="n"/>
      <c r="F22" s="247" t="n"/>
      <c r="G22" s="247">
        <f>SUM(G20:G21)</f>
        <v/>
      </c>
      <c r="H22" s="370">
        <f>G22/G35</f>
        <v/>
      </c>
      <c r="I22" s="277" t="n"/>
      <c r="J22" s="247">
        <f>SUM(J20:J21)</f>
        <v/>
      </c>
    </row>
    <row r="23" hidden="1" outlineLevel="1" ht="25.5" customFormat="1" customHeight="1" s="300">
      <c r="A23" s="367" t="n">
        <v>5</v>
      </c>
      <c r="B23" s="270" t="inlineStr">
        <is>
          <t>91.05.05-015</t>
        </is>
      </c>
      <c r="C23" s="366" t="inlineStr">
        <is>
          <t>Краны на автомобильном ходу, грузоподъемность 16 т</t>
        </is>
      </c>
      <c r="D23" s="367" t="inlineStr">
        <is>
          <t>маш.час</t>
        </is>
      </c>
      <c r="E23" s="446" t="n">
        <v>125.47</v>
      </c>
      <c r="F23" s="369" t="n">
        <v>115.4</v>
      </c>
      <c r="G23" s="247">
        <f>ROUND(E23*F23,2)</f>
        <v/>
      </c>
      <c r="H23" s="189">
        <f>G23/$G$35</f>
        <v/>
      </c>
      <c r="I23" s="247">
        <f>ROUND(F23*'Прил. 10'!$D$12,2)</f>
        <v/>
      </c>
      <c r="J23" s="247">
        <f>ROUND(I23*E23,2)</f>
        <v/>
      </c>
    </row>
    <row r="24" hidden="1" outlineLevel="1" ht="25.5" customFormat="1" customHeight="1" s="300">
      <c r="A24" s="367" t="n">
        <v>6</v>
      </c>
      <c r="B24" s="270" t="inlineStr">
        <is>
          <t>91.05.05-014</t>
        </is>
      </c>
      <c r="C24" s="366" t="inlineStr">
        <is>
          <t>Краны на автомобильном ходу, грузоподъемность 10 т</t>
        </is>
      </c>
      <c r="D24" s="367" t="inlineStr">
        <is>
          <t>маш.час</t>
        </is>
      </c>
      <c r="E24" s="446" t="n">
        <v>92.5</v>
      </c>
      <c r="F24" s="369" t="n">
        <v>111.99</v>
      </c>
      <c r="G24" s="247">
        <f>ROUND(E24*F24,2)</f>
        <v/>
      </c>
      <c r="H24" s="189">
        <f>G24/$G$35</f>
        <v/>
      </c>
      <c r="I24" s="247">
        <f>ROUND(F24*'Прил. 10'!$D$12,2)</f>
        <v/>
      </c>
      <c r="J24" s="247">
        <f>ROUND(I24*E24,2)</f>
        <v/>
      </c>
    </row>
    <row r="25" hidden="1" outlineLevel="1" ht="25.5" customFormat="1" customHeight="1" s="300">
      <c r="A25" s="367" t="n">
        <v>7</v>
      </c>
      <c r="B25" s="270" t="inlineStr">
        <is>
          <t>91.14.02-001</t>
        </is>
      </c>
      <c r="C25" s="366" t="inlineStr">
        <is>
          <t>Автомобили бортовые, грузоподъемность: до 5 т</t>
        </is>
      </c>
      <c r="D25" s="367" t="inlineStr">
        <is>
          <t>маш.час</t>
        </is>
      </c>
      <c r="E25" s="446" t="n">
        <v>105.78</v>
      </c>
      <c r="F25" s="369" t="n">
        <v>65.70999999999999</v>
      </c>
      <c r="G25" s="247">
        <f>ROUND(E25*F25,2)</f>
        <v/>
      </c>
      <c r="H25" s="189">
        <f>G25/$G$35</f>
        <v/>
      </c>
      <c r="I25" s="247">
        <f>ROUND(F25*'Прил. 10'!$D$12,2)</f>
        <v/>
      </c>
      <c r="J25" s="247">
        <f>ROUND(I25*E25,2)</f>
        <v/>
      </c>
    </row>
    <row r="26" hidden="1" outlineLevel="1" ht="25.5" customFormat="1" customHeight="1" s="300">
      <c r="A26" s="367" t="n">
        <v>8</v>
      </c>
      <c r="B26" s="270" t="inlineStr">
        <is>
          <t>91.14.02-003</t>
        </is>
      </c>
      <c r="C26" s="366" t="inlineStr">
        <is>
          <t>Автомобили бортовые, грузоподъемность: до 10 т</t>
        </is>
      </c>
      <c r="D26" s="367" t="inlineStr">
        <is>
          <t>маш.час</t>
        </is>
      </c>
      <c r="E26" s="446" t="n">
        <v>63.79</v>
      </c>
      <c r="F26" s="369" t="n">
        <v>80.44</v>
      </c>
      <c r="G26" s="247">
        <f>ROUND(E26*F26,2)</f>
        <v/>
      </c>
      <c r="H26" s="189">
        <f>G26/$G$35</f>
        <v/>
      </c>
      <c r="I26" s="247">
        <f>ROUND(F26*'Прил. 10'!$D$12,2)</f>
        <v/>
      </c>
      <c r="J26" s="247">
        <f>ROUND(I26*E26,2)</f>
        <v/>
      </c>
    </row>
    <row r="27" hidden="1" outlineLevel="1" ht="38.25" customFormat="1" customHeight="1" s="300">
      <c r="A27" s="367" t="n">
        <v>9</v>
      </c>
      <c r="B27" s="270" t="inlineStr">
        <is>
          <t>91.17.04-036</t>
        </is>
      </c>
      <c r="C27" s="366" t="inlineStr">
        <is>
          <t>Агрегаты сварочные передвижные номинальным сварочным током 250-400 А: с дизельным двигателем</t>
        </is>
      </c>
      <c r="D27" s="367" t="inlineStr">
        <is>
          <t>маш.час</t>
        </is>
      </c>
      <c r="E27" s="446" t="n">
        <v>76.89</v>
      </c>
      <c r="F27" s="369" t="n">
        <v>14</v>
      </c>
      <c r="G27" s="247">
        <f>ROUND(E27*F27,2)</f>
        <v/>
      </c>
      <c r="H27" s="189">
        <f>G27/$G$35</f>
        <v/>
      </c>
      <c r="I27" s="247">
        <f>ROUND(F27*'Прил. 10'!$D$12,2)</f>
        <v/>
      </c>
      <c r="J27" s="247">
        <f>ROUND(I27*E27,2)</f>
        <v/>
      </c>
    </row>
    <row r="28" hidden="1" outlineLevel="1" ht="25.5" customFormat="1" customHeight="1" s="300">
      <c r="A28" s="367" t="n">
        <v>10</v>
      </c>
      <c r="B28" s="270" t="inlineStr">
        <is>
          <t>91.06.01-003</t>
        </is>
      </c>
      <c r="C28" s="366" t="inlineStr">
        <is>
          <t>Домкраты гидравлические, грузоподъемность 63-100 т</t>
        </is>
      </c>
      <c r="D28" s="367" t="inlineStr">
        <is>
          <t>маш.час</t>
        </is>
      </c>
      <c r="E28" s="446" t="n">
        <v>595.84</v>
      </c>
      <c r="F28" s="369" t="n">
        <v>0.9</v>
      </c>
      <c r="G28" s="247">
        <f>ROUND(E28*F28,2)</f>
        <v/>
      </c>
      <c r="H28" s="189">
        <f>G28/$G$35</f>
        <v/>
      </c>
      <c r="I28" s="247">
        <f>ROUND(F28*'Прил. 10'!$D$12,2)</f>
        <v/>
      </c>
      <c r="J28" s="247">
        <f>ROUND(I28*E28,2)</f>
        <v/>
      </c>
    </row>
    <row r="29" hidden="1" outlineLevel="1" ht="25.5" customFormat="1" customHeight="1" s="300">
      <c r="A29" s="367" t="n">
        <v>11</v>
      </c>
      <c r="B29" s="270" t="inlineStr">
        <is>
          <t>91.17.04-233</t>
        </is>
      </c>
      <c r="C29" s="366" t="inlineStr">
        <is>
          <t>Установки для сварки: ручной дуговой (постоянного тока)</t>
        </is>
      </c>
      <c r="D29" s="367" t="inlineStr">
        <is>
          <t>маш.час</t>
        </is>
      </c>
      <c r="E29" s="446" t="n">
        <v>38.24</v>
      </c>
      <c r="F29" s="369" t="n">
        <v>8.1</v>
      </c>
      <c r="G29" s="247">
        <f>ROUND(E29*F29,2)</f>
        <v/>
      </c>
      <c r="H29" s="189">
        <f>G29/$G$35</f>
        <v/>
      </c>
      <c r="I29" s="247">
        <f>ROUND(F29*'Прил. 10'!$D$12,2)</f>
        <v/>
      </c>
      <c r="J29" s="247">
        <f>ROUND(I29*E29,2)</f>
        <v/>
      </c>
    </row>
    <row r="30" hidden="1" outlineLevel="1" ht="25.5" customFormat="1" customHeight="1" s="300">
      <c r="A30" s="367" t="n">
        <v>12</v>
      </c>
      <c r="B30" s="270" t="inlineStr">
        <is>
          <t>91.05.06-007</t>
        </is>
      </c>
      <c r="C30" s="366" t="inlineStr">
        <is>
          <t>Краны на гусеничном ходу, грузоподъемность 25 т</t>
        </is>
      </c>
      <c r="D30" s="367" t="inlineStr">
        <is>
          <t>маш.час</t>
        </is>
      </c>
      <c r="E30" s="446" t="n">
        <v>2.27</v>
      </c>
      <c r="F30" s="369" t="n">
        <v>120.04</v>
      </c>
      <c r="G30" s="247">
        <f>ROUND(E30*F30,2)</f>
        <v/>
      </c>
      <c r="H30" s="189">
        <f>G30/$G$35</f>
        <v/>
      </c>
      <c r="I30" s="247">
        <f>ROUND(F30*'Прил. 10'!$D$12,2)</f>
        <v/>
      </c>
      <c r="J30" s="247">
        <f>ROUND(I30*E30,2)</f>
        <v/>
      </c>
    </row>
    <row r="31" hidden="1" outlineLevel="1" ht="25.5" customFormat="1" customHeight="1" s="300">
      <c r="A31" s="367" t="n">
        <v>13</v>
      </c>
      <c r="B31" s="270" t="inlineStr">
        <is>
          <t>91.14.04-001</t>
        </is>
      </c>
      <c r="C31" s="366" t="inlineStr">
        <is>
          <t>Тягачи седельные, грузоподъемность: 12 т</t>
        </is>
      </c>
      <c r="D31" s="367" t="inlineStr">
        <is>
          <t>маш.час</t>
        </is>
      </c>
      <c r="E31" s="446" t="n">
        <v>1.55</v>
      </c>
      <c r="F31" s="369" t="n">
        <v>102.84</v>
      </c>
      <c r="G31" s="247">
        <f>ROUND(E31*F31,2)</f>
        <v/>
      </c>
      <c r="H31" s="189">
        <f>G31/$G$35</f>
        <v/>
      </c>
      <c r="I31" s="247">
        <f>ROUND(F31*'Прил. 10'!$D$12,2)</f>
        <v/>
      </c>
      <c r="J31" s="247">
        <f>ROUND(I31*E31,2)</f>
        <v/>
      </c>
    </row>
    <row r="32" hidden="1" outlineLevel="1" ht="14.25" customFormat="1" customHeight="1" s="300">
      <c r="A32" s="367" t="n">
        <v>14</v>
      </c>
      <c r="B32" s="270" t="inlineStr">
        <is>
          <t>91.17.04-042</t>
        </is>
      </c>
      <c r="C32" s="366" t="inlineStr">
        <is>
          <t>Аппарат для газовой сварки и резки</t>
        </is>
      </c>
      <c r="D32" s="367" t="inlineStr">
        <is>
          <t>маш.час</t>
        </is>
      </c>
      <c r="E32" s="446" t="n">
        <v>17.95</v>
      </c>
      <c r="F32" s="369" t="n">
        <v>1.2</v>
      </c>
      <c r="G32" s="247">
        <f>ROUND(E32*F32,2)</f>
        <v/>
      </c>
      <c r="H32" s="189">
        <f>G32/$G$35</f>
        <v/>
      </c>
      <c r="I32" s="247">
        <f>ROUND(F32*'Прил. 10'!$D$12,2)</f>
        <v/>
      </c>
      <c r="J32" s="247">
        <f>ROUND(I32*E32,2)</f>
        <v/>
      </c>
    </row>
    <row r="33" hidden="1" outlineLevel="1" ht="25.5" customFormat="1" customHeight="1" s="300">
      <c r="A33" s="367" t="n">
        <v>15</v>
      </c>
      <c r="B33" s="270" t="inlineStr">
        <is>
          <t>91.14.05-011</t>
        </is>
      </c>
      <c r="C33" s="366" t="inlineStr">
        <is>
          <t>Полуприцепы общего назначения, грузоподъемность: 12 т</t>
        </is>
      </c>
      <c r="D33" s="367" t="inlineStr">
        <is>
          <t>маш.час</t>
        </is>
      </c>
      <c r="E33" s="446" t="n">
        <v>1.55</v>
      </c>
      <c r="F33" s="369" t="n">
        <v>12</v>
      </c>
      <c r="G33" s="247">
        <f>ROUND(E33*F33,2)</f>
        <v/>
      </c>
      <c r="H33" s="189">
        <f>G33/$G$35</f>
        <v/>
      </c>
      <c r="I33" s="247">
        <f>ROUND(F33*'Прил. 10'!$D$12,2)</f>
        <v/>
      </c>
      <c r="J33" s="247">
        <f>ROUND(I33*E33,2)</f>
        <v/>
      </c>
    </row>
    <row r="34" collapsed="1" ht="14.25" customFormat="1" customHeight="1" s="300">
      <c r="A34" s="367" t="n"/>
      <c r="B34" s="367" t="n"/>
      <c r="C34" s="366" t="inlineStr">
        <is>
          <t>Итого прочие машины и механизмы</t>
        </is>
      </c>
      <c r="D34" s="367" t="n"/>
      <c r="E34" s="368" t="n"/>
      <c r="F34" s="247" t="n"/>
      <c r="G34" s="277">
        <f>SUM(G23:G33)</f>
        <v/>
      </c>
      <c r="H34" s="189">
        <f>G34/G35</f>
        <v/>
      </c>
      <c r="I34" s="247" t="n"/>
      <c r="J34" s="247">
        <f>SUM(J23:J33)</f>
        <v/>
      </c>
    </row>
    <row r="35" ht="25.5" customFormat="1" customHeight="1" s="300">
      <c r="A35" s="367" t="n"/>
      <c r="B35" s="367" t="n"/>
      <c r="C35" s="353" t="inlineStr">
        <is>
          <t>Итого по разделу «Машины и механизмы»</t>
        </is>
      </c>
      <c r="D35" s="367" t="n"/>
      <c r="E35" s="368" t="n"/>
      <c r="F35" s="247" t="n"/>
      <c r="G35" s="247">
        <f>G34+G22</f>
        <v/>
      </c>
      <c r="H35" s="183" t="n">
        <v>1</v>
      </c>
      <c r="I35" s="184" t="n"/>
      <c r="J35" s="199">
        <f>J34+J22</f>
        <v/>
      </c>
      <c r="K35" s="447" t="n"/>
      <c r="L35" s="300" t="n"/>
    </row>
    <row r="36" ht="14.25" customFormat="1" customHeight="1" s="300">
      <c r="A36" s="367" t="n"/>
      <c r="B36" s="353" t="inlineStr">
        <is>
          <t>Оборудование</t>
        </is>
      </c>
      <c r="C36" s="438" t="n"/>
      <c r="D36" s="438" t="n"/>
      <c r="E36" s="438" t="n"/>
      <c r="F36" s="438" t="n"/>
      <c r="G36" s="438" t="n"/>
      <c r="H36" s="439" t="n"/>
      <c r="I36" s="274" t="n"/>
      <c r="J36" s="274" t="n"/>
    </row>
    <row r="37">
      <c r="A37" s="367" t="n"/>
      <c r="B37" s="366" t="inlineStr">
        <is>
          <t>Основное оборудование</t>
        </is>
      </c>
      <c r="C37" s="438" t="n"/>
      <c r="D37" s="438" t="n"/>
      <c r="E37" s="438" t="n"/>
      <c r="F37" s="438" t="n"/>
      <c r="G37" s="438" t="n"/>
      <c r="H37" s="439" t="n"/>
      <c r="I37" s="274" t="n"/>
      <c r="J37" s="274" t="n"/>
      <c r="K37" s="300" t="n"/>
      <c r="L37" s="300" t="n"/>
    </row>
    <row r="38">
      <c r="A38" s="367" t="n"/>
      <c r="B38" s="367" t="n"/>
      <c r="C38" s="366" t="inlineStr">
        <is>
          <t>Итого основное оборудование</t>
        </is>
      </c>
      <c r="D38" s="367" t="n"/>
      <c r="E38" s="448" t="n"/>
      <c r="F38" s="369" t="n"/>
      <c r="G38" s="247" t="n">
        <v>0</v>
      </c>
      <c r="H38" s="189" t="n">
        <v>0</v>
      </c>
      <c r="I38" s="277" t="n"/>
      <c r="J38" s="247" t="n">
        <v>0</v>
      </c>
      <c r="K38" s="300" t="n"/>
      <c r="L38" s="300" t="n"/>
    </row>
    <row r="39">
      <c r="A39" s="367" t="n"/>
      <c r="B39" s="367" t="n"/>
      <c r="C39" s="366" t="inlineStr">
        <is>
          <t>Итого прочее оборудование</t>
        </is>
      </c>
      <c r="D39" s="367" t="n"/>
      <c r="E39" s="446" t="n"/>
      <c r="F39" s="369" t="n"/>
      <c r="G39" s="247" t="n">
        <v>0</v>
      </c>
      <c r="H39" s="189" t="n">
        <v>0</v>
      </c>
      <c r="I39" s="277" t="n"/>
      <c r="J39" s="247" t="n">
        <v>0</v>
      </c>
      <c r="K39" s="300" t="n"/>
      <c r="L39" s="300" t="n"/>
    </row>
    <row r="40">
      <c r="A40" s="367" t="n"/>
      <c r="B40" s="367" t="n"/>
      <c r="C40" s="353" t="inlineStr">
        <is>
          <t>Итого по разделу «Оборудование»</t>
        </is>
      </c>
      <c r="D40" s="367" t="n"/>
      <c r="E40" s="368" t="n"/>
      <c r="F40" s="369" t="n"/>
      <c r="G40" s="247">
        <f>G38+G39</f>
        <v/>
      </c>
      <c r="H40" s="189" t="n">
        <v>0</v>
      </c>
      <c r="I40" s="277" t="n"/>
      <c r="J40" s="247">
        <f>J39+J38</f>
        <v/>
      </c>
      <c r="K40" s="300" t="n"/>
      <c r="L40" s="300" t="n"/>
    </row>
    <row r="41" ht="25.5" customHeight="1" s="318">
      <c r="A41" s="367" t="n"/>
      <c r="B41" s="367" t="n"/>
      <c r="C41" s="366" t="inlineStr">
        <is>
          <t>в том числе технологическое оборудование</t>
        </is>
      </c>
      <c r="D41" s="367" t="n"/>
      <c r="E41" s="448" t="n"/>
      <c r="F41" s="369" t="n"/>
      <c r="G41" s="247">
        <f>'Прил.6 Расчет ОБ'!G12</f>
        <v/>
      </c>
      <c r="H41" s="370" t="n"/>
      <c r="I41" s="277" t="n"/>
      <c r="J41" s="247">
        <f>J40</f>
        <v/>
      </c>
      <c r="K41" s="300" t="n"/>
      <c r="L41" s="300" t="n"/>
    </row>
    <row r="42" ht="14.25" customFormat="1" customHeight="1" s="300">
      <c r="A42" s="367" t="n"/>
      <c r="B42" s="353" t="inlineStr">
        <is>
          <t>Материалы</t>
        </is>
      </c>
      <c r="C42" s="438" t="n"/>
      <c r="D42" s="438" t="n"/>
      <c r="E42" s="438" t="n"/>
      <c r="F42" s="438" t="n"/>
      <c r="G42" s="438" t="n"/>
      <c r="H42" s="439" t="n"/>
      <c r="I42" s="274" t="n"/>
      <c r="J42" s="274" t="n"/>
    </row>
    <row r="43" ht="14.25" customFormat="1" customHeight="1" s="300">
      <c r="A43" s="362" t="n"/>
      <c r="B43" s="361" t="inlineStr">
        <is>
          <t>Основные материалы</t>
        </is>
      </c>
      <c r="C43" s="449" t="n"/>
      <c r="D43" s="449" t="n"/>
      <c r="E43" s="449" t="n"/>
      <c r="F43" s="449" t="n"/>
      <c r="G43" s="449" t="n"/>
      <c r="H43" s="450" t="n"/>
      <c r="I43" s="193" t="n"/>
      <c r="J43" s="193" t="n"/>
    </row>
    <row r="44" ht="38.25" customFormat="1" customHeight="1" s="300">
      <c r="A44" s="367" t="n">
        <v>16</v>
      </c>
      <c r="B44" s="367" t="inlineStr">
        <is>
          <t>11.1.03.06-0095</t>
        </is>
      </c>
      <c r="C44" s="366" t="inlineStr">
        <is>
          <t>Доски обрезные хвойных пород длиной: 4-6,5 м, шириной 75-150 мм, толщиной 44 мм и более, III сорта</t>
        </is>
      </c>
      <c r="D44" s="367" t="inlineStr">
        <is>
          <t>м3</t>
        </is>
      </c>
      <c r="E44" s="448" t="n">
        <v>920.3721</v>
      </c>
      <c r="F44" s="369" t="n">
        <v>1056</v>
      </c>
      <c r="G44" s="247">
        <f>ROUND(E44*F44,2)</f>
        <v/>
      </c>
      <c r="H44" s="189">
        <f>G44/$G$57</f>
        <v/>
      </c>
      <c r="I44" s="247">
        <f>ROUND(F44*'Прил. 10'!$D$13,2)</f>
        <v/>
      </c>
      <c r="J44" s="247">
        <f>ROUND(I44*E44,2)</f>
        <v/>
      </c>
    </row>
    <row r="45" ht="63.75" customFormat="1" customHeight="1" s="300">
      <c r="A45" s="367" t="n">
        <v>17</v>
      </c>
      <c r="B45" s="367" t="inlineStr">
        <is>
          <t>23.5.02.02-0090</t>
        </is>
      </c>
      <c r="C45" s="366" t="inlineStr">
        <is>
          <t>Трубы стальные электросварные прямошовные со снятой фаской из стали марок БСт2кп-БСт4кп и БСт2пс-БСт4пс наружный диаметр: 219 мм, толщина стенки 8 мм</t>
        </is>
      </c>
      <c r="D45" s="367" t="inlineStr">
        <is>
          <t>м</t>
        </is>
      </c>
      <c r="E45" s="448" t="n">
        <v>1000</v>
      </c>
      <c r="F45" s="369" t="n">
        <v>299.5</v>
      </c>
      <c r="G45" s="247">
        <f>ROUND(E45*F45,2)</f>
        <v/>
      </c>
      <c r="H45" s="189">
        <f>G45/$G$57</f>
        <v/>
      </c>
      <c r="I45" s="247">
        <f>ROUND(F45*'Прил. 10'!$D$13,2)</f>
        <v/>
      </c>
      <c r="J45" s="247">
        <f>ROUND(I45*E45,2)</f>
        <v/>
      </c>
    </row>
    <row r="46" ht="14.25" customFormat="1" customHeight="1" s="300">
      <c r="A46" s="378" t="n"/>
      <c r="B46" s="195" t="n"/>
      <c r="C46" s="196" t="inlineStr">
        <is>
          <t>Итого основные материалы</t>
        </is>
      </c>
      <c r="D46" s="378" t="n"/>
      <c r="E46" s="451" t="n"/>
      <c r="F46" s="199" t="n"/>
      <c r="G46" s="199">
        <f>SUM(G44:G45)</f>
        <v/>
      </c>
      <c r="H46" s="189">
        <f>G46/$G$57</f>
        <v/>
      </c>
      <c r="I46" s="247" t="n"/>
      <c r="J46" s="199">
        <f>SUM(J44:J45)</f>
        <v/>
      </c>
    </row>
    <row r="47" hidden="1" outlineLevel="1" ht="14.25" customFormat="1" customHeight="1" s="300">
      <c r="A47" s="367" t="n">
        <v>18</v>
      </c>
      <c r="B47" s="367" t="inlineStr">
        <is>
          <t>01.7.15.06-0111</t>
        </is>
      </c>
      <c r="C47" s="366" t="inlineStr">
        <is>
          <t>Гвозди строительные</t>
        </is>
      </c>
      <c r="D47" s="367" t="inlineStr">
        <is>
          <t>т</t>
        </is>
      </c>
      <c r="E47" s="448" t="n">
        <v>2.668</v>
      </c>
      <c r="F47" s="369" t="n">
        <v>11978</v>
      </c>
      <c r="G47" s="247">
        <f>ROUND(E47*F47,2)</f>
        <v/>
      </c>
      <c r="H47" s="189">
        <f>G47/$G$57</f>
        <v/>
      </c>
      <c r="I47" s="247">
        <f>ROUND(F47*'Прил. 10'!$D$13,2)</f>
        <v/>
      </c>
      <c r="J47" s="247">
        <f>ROUND(I47*E47,2)</f>
        <v/>
      </c>
    </row>
    <row r="48" hidden="1" outlineLevel="1" ht="14.25" customFormat="1" customHeight="1" s="300">
      <c r="A48" s="367" t="n">
        <v>19</v>
      </c>
      <c r="B48" s="367" t="inlineStr">
        <is>
          <t>01.4.01.10-0016</t>
        </is>
      </c>
      <c r="C48" s="366" t="inlineStr">
        <is>
          <t>Шнек: диаметром 135 мм</t>
        </is>
      </c>
      <c r="D48" s="367" t="inlineStr">
        <is>
          <t>шт</t>
        </is>
      </c>
      <c r="E48" s="448" t="n">
        <v>12.000003</v>
      </c>
      <c r="F48" s="369" t="n">
        <v>597</v>
      </c>
      <c r="G48" s="247">
        <f>ROUND(E48*F48,2)</f>
        <v/>
      </c>
      <c r="H48" s="189">
        <f>G48/$G$57</f>
        <v/>
      </c>
      <c r="I48" s="247">
        <f>ROUND(F48*'Прил. 10'!$D$13,2)</f>
        <v/>
      </c>
      <c r="J48" s="247">
        <f>ROUND(I48*E48,2)</f>
        <v/>
      </c>
    </row>
    <row r="49" hidden="1" outlineLevel="1" ht="51" customFormat="1" customHeight="1" s="300">
      <c r="A49" s="367" t="n">
        <v>20</v>
      </c>
      <c r="B49" s="367" t="inlineStr">
        <is>
          <t>23.5.01.01-0017</t>
        </is>
      </c>
      <c r="C49" s="366" t="inlineStr">
        <is>
          <t>Трубы стальные сварные для магистральных газонефтепроводов наружным диаметром: 219 мм толщина стенок 8 мм</t>
        </is>
      </c>
      <c r="D49" s="367" t="inlineStr">
        <is>
          <t>м</t>
        </is>
      </c>
      <c r="E49" s="448" t="n">
        <v>16.7694</v>
      </c>
      <c r="F49" s="369" t="n">
        <v>348.04</v>
      </c>
      <c r="G49" s="247">
        <f>ROUND(E49*F49,2)</f>
        <v/>
      </c>
      <c r="H49" s="189">
        <f>G49/$G$57</f>
        <v/>
      </c>
      <c r="I49" s="247">
        <f>ROUND(F49*'Прил. 10'!$D$13,2)</f>
        <v/>
      </c>
      <c r="J49" s="247">
        <f>ROUND(I49*E49,2)</f>
        <v/>
      </c>
    </row>
    <row r="50" hidden="1" outlineLevel="1" ht="25.5" customFormat="1" customHeight="1" s="300">
      <c r="A50" s="367" t="n">
        <v>21</v>
      </c>
      <c r="B50" s="367" t="inlineStr">
        <is>
          <t>08.3.11.01-0016</t>
        </is>
      </c>
      <c r="C50" s="366" t="inlineStr">
        <is>
          <t>Сталь швеллерная обычная, марки: Ст0 № 12-40</t>
        </is>
      </c>
      <c r="D50" s="367" t="inlineStr">
        <is>
          <t>т</t>
        </is>
      </c>
      <c r="E50" s="448" t="n">
        <v>0.481</v>
      </c>
      <c r="F50" s="369" t="n">
        <v>6054.11</v>
      </c>
      <c r="G50" s="247">
        <f>ROUND(E50*F50,2)</f>
        <v/>
      </c>
      <c r="H50" s="189">
        <f>G50/$G$57</f>
        <v/>
      </c>
      <c r="I50" s="247">
        <f>ROUND(F50*'Прил. 10'!$D$13,2)</f>
        <v/>
      </c>
      <c r="J50" s="247">
        <f>ROUND(I50*E50,2)</f>
        <v/>
      </c>
    </row>
    <row r="51" hidden="1" outlineLevel="1" ht="14.25" customFormat="1" customHeight="1" s="300">
      <c r="A51" s="367" t="n">
        <v>22</v>
      </c>
      <c r="B51" s="367" t="inlineStr">
        <is>
          <t>01.7.11.07-0040</t>
        </is>
      </c>
      <c r="C51" s="366" t="inlineStr">
        <is>
          <t>Электроды диаметром: 4 мм Э50А</t>
        </is>
      </c>
      <c r="D51" s="367" t="inlineStr">
        <is>
          <t>т</t>
        </is>
      </c>
      <c r="E51" s="448" t="n">
        <v>0.2097</v>
      </c>
      <c r="F51" s="369" t="n">
        <v>11524</v>
      </c>
      <c r="G51" s="247">
        <f>ROUND(E51*F51,2)</f>
        <v/>
      </c>
      <c r="H51" s="189">
        <f>G51/$G$57</f>
        <v/>
      </c>
      <c r="I51" s="247">
        <f>ROUND(F51*'Прил. 10'!$D$13,2)</f>
        <v/>
      </c>
      <c r="J51" s="247">
        <f>ROUND(I51*E51,2)</f>
        <v/>
      </c>
    </row>
    <row r="52" hidden="1" outlineLevel="1" ht="14.25" customFormat="1" customHeight="1" s="300">
      <c r="A52" s="367" t="n">
        <v>23</v>
      </c>
      <c r="B52" s="367" t="inlineStr">
        <is>
          <t>01.7.11.07-0032</t>
        </is>
      </c>
      <c r="C52" s="366" t="inlineStr">
        <is>
          <t>Электроды диаметром: 4 мм Э42</t>
        </is>
      </c>
      <c r="D52" s="367" t="inlineStr">
        <is>
          <t>т</t>
        </is>
      </c>
      <c r="E52" s="448" t="n">
        <v>0.0412</v>
      </c>
      <c r="F52" s="369" t="n">
        <v>10315.01</v>
      </c>
      <c r="G52" s="247">
        <f>ROUND(E52*F52,2)</f>
        <v/>
      </c>
      <c r="H52" s="189">
        <f>G52/$G$57</f>
        <v/>
      </c>
      <c r="I52" s="247">
        <f>ROUND(F52*'Прил. 10'!$D$13,2)</f>
        <v/>
      </c>
      <c r="J52" s="247">
        <f>ROUND(I52*E52,2)</f>
        <v/>
      </c>
    </row>
    <row r="53" hidden="1" outlineLevel="1" ht="25.5" customFormat="1" customHeight="1" s="300">
      <c r="A53" s="367" t="n">
        <v>24</v>
      </c>
      <c r="B53" s="367" t="inlineStr">
        <is>
          <t>08.1.02.11-0001</t>
        </is>
      </c>
      <c r="C53" s="366" t="inlineStr">
        <is>
          <t>Поковки из квадратных заготовок, масса: 1,8 кг</t>
        </is>
      </c>
      <c r="D53" s="367" t="inlineStr">
        <is>
          <t>т</t>
        </is>
      </c>
      <c r="E53" s="448" t="n">
        <v>0.0466</v>
      </c>
      <c r="F53" s="369" t="n">
        <v>5989</v>
      </c>
      <c r="G53" s="247">
        <f>ROUND(E53*F53,2)</f>
        <v/>
      </c>
      <c r="H53" s="189">
        <f>G53/$G$57</f>
        <v/>
      </c>
      <c r="I53" s="247">
        <f>ROUND(F53*'Прил. 10'!$D$13,2)</f>
        <v/>
      </c>
      <c r="J53" s="247">
        <f>ROUND(I53*E53,2)</f>
        <v/>
      </c>
    </row>
    <row r="54" hidden="1" outlineLevel="1" ht="14.25" customFormat="1" customHeight="1" s="300">
      <c r="A54" s="367" t="n">
        <v>25</v>
      </c>
      <c r="B54" s="367" t="inlineStr">
        <is>
          <t>01.3.02.03-0001</t>
        </is>
      </c>
      <c r="C54" s="366" t="inlineStr">
        <is>
          <t>Ацетилен газообразный технический</t>
        </is>
      </c>
      <c r="D54" s="367" t="inlineStr">
        <is>
          <t>м3</t>
        </is>
      </c>
      <c r="E54" s="448" t="n">
        <v>3.0938</v>
      </c>
      <c r="F54" s="369" t="n">
        <v>38.51</v>
      </c>
      <c r="G54" s="247">
        <f>ROUND(E54*F54,2)</f>
        <v/>
      </c>
      <c r="H54" s="189">
        <f>G54/$G$57</f>
        <v/>
      </c>
      <c r="I54" s="247">
        <f>ROUND(F54*'Прил. 10'!$D$13,2)</f>
        <v/>
      </c>
      <c r="J54" s="247">
        <f>ROUND(I54*E54,2)</f>
        <v/>
      </c>
    </row>
    <row r="55" hidden="1" outlineLevel="1" ht="14.25" customFormat="1" customHeight="1" s="300">
      <c r="A55" s="367" t="n">
        <v>26</v>
      </c>
      <c r="B55" s="367" t="inlineStr">
        <is>
          <t>01.3.02.08-0001</t>
        </is>
      </c>
      <c r="C55" s="366" t="inlineStr">
        <is>
          <t>Кислород технический: газообразный</t>
        </is>
      </c>
      <c r="D55" s="367" t="inlineStr">
        <is>
          <t>м3</t>
        </is>
      </c>
      <c r="E55" s="448" t="n">
        <v>15.4688</v>
      </c>
      <c r="F55" s="369" t="n">
        <v>6.22</v>
      </c>
      <c r="G55" s="247">
        <f>ROUND(E55*F55,2)</f>
        <v/>
      </c>
      <c r="H55" s="189">
        <f>G55/$G$57</f>
        <v/>
      </c>
      <c r="I55" s="247">
        <f>ROUND(F55*'Прил. 10'!$D$13,2)</f>
        <v/>
      </c>
      <c r="J55" s="247">
        <f>ROUND(I55*E55,2)</f>
        <v/>
      </c>
    </row>
    <row r="56" collapsed="1" ht="14.25" customFormat="1" customHeight="1" s="300">
      <c r="A56" s="367" t="n"/>
      <c r="B56" s="367" t="n"/>
      <c r="C56" s="366" t="inlineStr">
        <is>
          <t>Итого прочие материалы</t>
        </is>
      </c>
      <c r="D56" s="367" t="n"/>
      <c r="E56" s="368" t="n"/>
      <c r="F56" s="369" t="n"/>
      <c r="G56" s="247">
        <f>SUM(G47:G55)</f>
        <v/>
      </c>
      <c r="H56" s="189">
        <f>G56/$G$57</f>
        <v/>
      </c>
      <c r="I56" s="247" t="n"/>
      <c r="J56" s="247">
        <f>SUM(J47:J55)</f>
        <v/>
      </c>
    </row>
    <row r="57" ht="14.25" customFormat="1" customHeight="1" s="300">
      <c r="A57" s="367" t="n"/>
      <c r="B57" s="367" t="n"/>
      <c r="C57" s="353" t="inlineStr">
        <is>
          <t>Итого по разделу «Материалы»</t>
        </is>
      </c>
      <c r="D57" s="367" t="n"/>
      <c r="E57" s="368" t="n"/>
      <c r="F57" s="369" t="n"/>
      <c r="G57" s="247">
        <f>G46+G56</f>
        <v/>
      </c>
      <c r="H57" s="370">
        <f>G57/$G$57</f>
        <v/>
      </c>
      <c r="I57" s="247" t="n"/>
      <c r="J57" s="247">
        <f>J46+J56</f>
        <v/>
      </c>
      <c r="K57" s="447" t="n"/>
      <c r="L57" s="300" t="n"/>
    </row>
    <row r="58" ht="14.25" customFormat="1" customHeight="1" s="300">
      <c r="A58" s="367" t="n"/>
      <c r="B58" s="367" t="n"/>
      <c r="C58" s="366" t="inlineStr">
        <is>
          <t>ИТОГО ПО РМ</t>
        </is>
      </c>
      <c r="D58" s="367" t="n"/>
      <c r="E58" s="368" t="n"/>
      <c r="F58" s="369" t="n"/>
      <c r="G58" s="247">
        <f>G15+G35+G57</f>
        <v/>
      </c>
      <c r="H58" s="370" t="n"/>
      <c r="I58" s="247" t="n"/>
      <c r="J58" s="247">
        <f>J15+J35+J57</f>
        <v/>
      </c>
    </row>
    <row r="59" ht="14.25" customFormat="1" customHeight="1" s="300">
      <c r="A59" s="367" t="n"/>
      <c r="B59" s="367" t="n"/>
      <c r="C59" s="366" t="inlineStr">
        <is>
          <t>Накладные расходы</t>
        </is>
      </c>
      <c r="D59" s="250">
        <f>ROUND(G59/(G$17+$G$15),2)</f>
        <v/>
      </c>
      <c r="E59" s="368" t="n"/>
      <c r="F59" s="369" t="n"/>
      <c r="G59" s="247" t="n">
        <v>437409.88</v>
      </c>
      <c r="H59" s="370" t="n"/>
      <c r="I59" s="247" t="n"/>
      <c r="J59" s="247">
        <f>ROUND(D59*(J15+J17),2)</f>
        <v/>
      </c>
    </row>
    <row r="60" ht="14.25" customFormat="1" customHeight="1" s="300">
      <c r="A60" s="367" t="n"/>
      <c r="B60" s="367" t="n"/>
      <c r="C60" s="366" t="inlineStr">
        <is>
          <t>Сметная прибыль</t>
        </is>
      </c>
      <c r="D60" s="250">
        <f>ROUND(G60/(G$15+G$17),2)</f>
        <v/>
      </c>
      <c r="E60" s="368" t="n"/>
      <c r="F60" s="369" t="n"/>
      <c r="G60" s="247" t="n">
        <v>207727.02</v>
      </c>
      <c r="H60" s="370" t="n"/>
      <c r="I60" s="247" t="n"/>
      <c r="J60" s="247">
        <f>ROUND(D60*(J15+J17),2)</f>
        <v/>
      </c>
    </row>
    <row r="61" ht="14.25" customFormat="1" customHeight="1" s="300">
      <c r="A61" s="367" t="n"/>
      <c r="B61" s="367" t="n"/>
      <c r="C61" s="366" t="inlineStr">
        <is>
          <t>Итого СМР (с НР и СП)</t>
        </is>
      </c>
      <c r="D61" s="367" t="n"/>
      <c r="E61" s="368" t="n"/>
      <c r="F61" s="369" t="n"/>
      <c r="G61" s="247">
        <f>G15+G35+G57+G59+G60</f>
        <v/>
      </c>
      <c r="H61" s="370" t="n"/>
      <c r="I61" s="247" t="n"/>
      <c r="J61" s="247">
        <f>J15+J35+J57+J59+J60</f>
        <v/>
      </c>
    </row>
    <row r="62" ht="14.25" customFormat="1" customHeight="1" s="300">
      <c r="A62" s="367" t="n"/>
      <c r="B62" s="367" t="n"/>
      <c r="C62" s="366" t="inlineStr">
        <is>
          <t>ВСЕГО СМР + ОБОРУДОВАНИЕ</t>
        </is>
      </c>
      <c r="D62" s="367" t="n"/>
      <c r="E62" s="368" t="n"/>
      <c r="F62" s="369" t="n"/>
      <c r="G62" s="247">
        <f>G61+G40</f>
        <v/>
      </c>
      <c r="H62" s="370" t="n"/>
      <c r="I62" s="247" t="n"/>
      <c r="J62" s="247">
        <f>J61+J40</f>
        <v/>
      </c>
      <c r="L62" s="317" t="n"/>
    </row>
    <row r="63" ht="14.25" customFormat="1" customHeight="1" s="300">
      <c r="A63" s="367" t="n"/>
      <c r="B63" s="367" t="n"/>
      <c r="C63" s="366" t="inlineStr">
        <is>
          <t>ИТОГО ПОКАЗАТЕЛЬ НА ЕД. ИЗМ.</t>
        </is>
      </c>
      <c r="D63" s="367" t="inlineStr">
        <is>
          <t>1 км.</t>
        </is>
      </c>
      <c r="E63" s="448" t="n">
        <v>2.21</v>
      </c>
      <c r="F63" s="369" t="n"/>
      <c r="G63" s="247">
        <f>G62/E63</f>
        <v/>
      </c>
      <c r="H63" s="370" t="n"/>
      <c r="I63" s="247" t="n"/>
      <c r="J63" s="247">
        <f>J62/E63</f>
        <v/>
      </c>
    </row>
    <row r="65" ht="14.25" customFormat="1" customHeight="1" s="300">
      <c r="A65" s="290" t="inlineStr">
        <is>
          <t>Составил ______________________    Д.Ю. Нефедова</t>
        </is>
      </c>
    </row>
    <row r="66" ht="14.25" customFormat="1" customHeight="1" s="300">
      <c r="A66" s="299" t="inlineStr">
        <is>
          <t xml:space="preserve">                         (подпись, инициалы, фамилия)</t>
        </is>
      </c>
    </row>
    <row r="67" ht="14.25" customFormat="1" customHeight="1" s="300">
      <c r="A67" s="290" t="n"/>
    </row>
    <row r="68" ht="14.25" customFormat="1" customHeight="1" s="300">
      <c r="A68" s="290" t="inlineStr">
        <is>
          <t>Проверил ______________________        А.В. Костянецкая</t>
        </is>
      </c>
    </row>
    <row r="69" ht="14.25" customFormat="1" customHeight="1" s="300">
      <c r="A69" s="29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18" min="1" max="1"/>
    <col width="17.5703125" customWidth="1" style="318" min="2" max="2"/>
    <col width="39.140625" customWidth="1" style="318" min="3" max="3"/>
    <col width="10.7109375" customWidth="1" style="318" min="4" max="4"/>
    <col width="13.85546875" customWidth="1" style="318" min="5" max="5"/>
    <col width="13.28515625" customWidth="1" style="318" min="6" max="6"/>
    <col width="14.140625" customWidth="1" style="318" min="7" max="7"/>
  </cols>
  <sheetData>
    <row r="1">
      <c r="A1" s="380" t="inlineStr">
        <is>
          <t>Приложение №6</t>
        </is>
      </c>
    </row>
    <row r="2" ht="21.75" customHeight="1" s="318">
      <c r="A2" s="380" t="n"/>
      <c r="B2" s="380" t="n"/>
      <c r="C2" s="380" t="n"/>
      <c r="D2" s="380" t="n"/>
      <c r="E2" s="380" t="n"/>
      <c r="F2" s="380" t="n"/>
      <c r="G2" s="380" t="n"/>
    </row>
    <row r="3">
      <c r="A3" s="334" t="inlineStr">
        <is>
          <t>Расчет стоимости оборудования</t>
        </is>
      </c>
    </row>
    <row r="4" ht="27" customHeight="1" s="318">
      <c r="A4" s="337" t="inlineStr">
        <is>
          <t>Наименование разрабатываемого показателя УНЦ — Укрепление котлованов и траншей 330-500 кВ (Москва, Санкт-Петербург)</t>
        </is>
      </c>
    </row>
    <row r="5">
      <c r="A5" s="290" t="n"/>
      <c r="B5" s="290" t="n"/>
      <c r="C5" s="290" t="n"/>
      <c r="D5" s="290" t="n"/>
      <c r="E5" s="290" t="n"/>
      <c r="F5" s="290" t="n"/>
      <c r="G5" s="290" t="n"/>
    </row>
    <row r="6" ht="30" customHeight="1" s="318">
      <c r="A6" s="385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67" t="inlineStr">
        <is>
          <t>Кол-во единиц по проектным данным</t>
        </is>
      </c>
      <c r="F6" s="385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18">
      <c r="A9" s="242" t="n"/>
      <c r="B9" s="366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18">
      <c r="A10" s="367" t="n"/>
      <c r="B10" s="353" t="n"/>
      <c r="C10" s="366" t="inlineStr">
        <is>
          <t>ИТОГО ИНЖЕНЕРНОЕ ОБОРУДОВАНИЕ</t>
        </is>
      </c>
      <c r="D10" s="353" t="n"/>
      <c r="E10" s="244" t="n"/>
      <c r="F10" s="369" t="n"/>
      <c r="G10" s="369" t="n">
        <v>0</v>
      </c>
    </row>
    <row r="11">
      <c r="A11" s="367" t="n"/>
      <c r="B11" s="366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18">
      <c r="A12" s="367" t="n"/>
      <c r="B12" s="366" t="n"/>
      <c r="C12" s="366" t="inlineStr">
        <is>
          <t>ИТОГО ТЕХНОЛОГИЧЕСКОЕ ОБОРУДОВАНИЕ</t>
        </is>
      </c>
      <c r="D12" s="366" t="n"/>
      <c r="E12" s="384" t="n"/>
      <c r="F12" s="369" t="n"/>
      <c r="G12" s="247" t="n">
        <v>0</v>
      </c>
    </row>
    <row r="13" ht="19.5" customHeight="1" s="318">
      <c r="A13" s="367" t="n"/>
      <c r="B13" s="366" t="n"/>
      <c r="C13" s="366" t="inlineStr">
        <is>
          <t>Всего по разделу «Оборудование»</t>
        </is>
      </c>
      <c r="D13" s="366" t="n"/>
      <c r="E13" s="384" t="n"/>
      <c r="F13" s="369" t="n"/>
      <c r="G13" s="247">
        <f>G10+G12</f>
        <v/>
      </c>
    </row>
    <row r="14">
      <c r="A14" s="301" t="n"/>
      <c r="B14" s="296" t="n"/>
      <c r="C14" s="301" t="n"/>
      <c r="D14" s="301" t="n"/>
      <c r="E14" s="301" t="n"/>
      <c r="F14" s="301" t="n"/>
      <c r="G14" s="301" t="n"/>
    </row>
    <row r="15">
      <c r="A15" s="290" t="inlineStr">
        <is>
          <t>Составил ______________________    Д.Ю. Нефедова</t>
        </is>
      </c>
      <c r="B15" s="300" t="n"/>
      <c r="C15" s="300" t="n"/>
      <c r="D15" s="301" t="n"/>
      <c r="E15" s="301" t="n"/>
      <c r="F15" s="301" t="n"/>
      <c r="G15" s="301" t="n"/>
    </row>
    <row r="16">
      <c r="A16" s="299" t="inlineStr">
        <is>
          <t xml:space="preserve">                         (подпись, инициалы, фамилия)</t>
        </is>
      </c>
      <c r="B16" s="300" t="n"/>
      <c r="C16" s="300" t="n"/>
      <c r="D16" s="301" t="n"/>
      <c r="E16" s="301" t="n"/>
      <c r="F16" s="301" t="n"/>
      <c r="G16" s="301" t="n"/>
    </row>
    <row r="17">
      <c r="A17" s="290" t="n"/>
      <c r="B17" s="300" t="n"/>
      <c r="C17" s="300" t="n"/>
      <c r="D17" s="301" t="n"/>
      <c r="E17" s="301" t="n"/>
      <c r="F17" s="301" t="n"/>
      <c r="G17" s="301" t="n"/>
    </row>
    <row r="18">
      <c r="A18" s="290" t="inlineStr">
        <is>
          <t>Проверил ______________________        А.В. Костянецкая</t>
        </is>
      </c>
      <c r="B18" s="300" t="n"/>
      <c r="C18" s="300" t="n"/>
      <c r="D18" s="301" t="n"/>
      <c r="E18" s="301" t="n"/>
      <c r="F18" s="301" t="n"/>
      <c r="G18" s="301" t="n"/>
    </row>
    <row r="19">
      <c r="A19" s="299" t="inlineStr">
        <is>
          <t xml:space="preserve">                        (подпись, инициалы, фамилия)</t>
        </is>
      </c>
      <c r="B19" s="300" t="n"/>
      <c r="C19" s="300" t="n"/>
      <c r="D19" s="301" t="n"/>
      <c r="E19" s="301" t="n"/>
      <c r="F19" s="301" t="n"/>
      <c r="G19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style="318" min="1" max="1"/>
    <col width="29.7109375" customWidth="1" style="318" min="2" max="2"/>
    <col width="39.140625" customWidth="1" style="318" min="3" max="3"/>
    <col width="24.5703125" customWidth="1" style="318" min="4" max="4"/>
    <col width="8.85546875" customWidth="1" style="318" min="5" max="5"/>
  </cols>
  <sheetData>
    <row r="1">
      <c r="B1" s="290" t="n"/>
      <c r="C1" s="290" t="n"/>
      <c r="D1" s="380" t="inlineStr">
        <is>
          <t>Приложение №7</t>
        </is>
      </c>
    </row>
    <row r="2">
      <c r="A2" s="380" t="n"/>
      <c r="B2" s="380" t="n"/>
      <c r="C2" s="380" t="n"/>
      <c r="D2" s="380" t="n"/>
    </row>
    <row r="3" ht="24.75" customHeight="1" s="318">
      <c r="A3" s="334" t="inlineStr">
        <is>
          <t>Расчет показателя УНЦ</t>
        </is>
      </c>
    </row>
    <row r="4" ht="24.75" customHeight="1" s="318">
      <c r="A4" s="334" t="n"/>
      <c r="B4" s="334" t="n"/>
      <c r="C4" s="334" t="n"/>
      <c r="D4" s="334" t="n"/>
    </row>
    <row r="5" ht="51" customHeight="1" s="318">
      <c r="A5" s="337" t="inlineStr">
        <is>
          <t xml:space="preserve">Наименование разрабатываемого показателя УНЦ - </t>
        </is>
      </c>
      <c r="D5" s="337">
        <f>'Прил.5 Расчет СМР и ОБ'!D6:J6</f>
        <v/>
      </c>
    </row>
    <row r="6" ht="19.9" customHeight="1" s="318">
      <c r="A6" s="337" t="inlineStr">
        <is>
          <t>Единица измерения  — 1 км</t>
        </is>
      </c>
      <c r="D6" s="337" t="n"/>
    </row>
    <row r="7">
      <c r="A7" s="290" t="n"/>
      <c r="B7" s="290" t="n"/>
      <c r="C7" s="290" t="n"/>
      <c r="D7" s="290" t="n"/>
    </row>
    <row r="8" ht="14.45" customHeight="1" s="318">
      <c r="A8" s="350" t="inlineStr">
        <is>
          <t>Код показателя</t>
        </is>
      </c>
      <c r="B8" s="350" t="inlineStr">
        <is>
          <t>Наименование показателя</t>
        </is>
      </c>
      <c r="C8" s="350" t="inlineStr">
        <is>
          <t>Наименование РМ, входящих в состав показателя</t>
        </is>
      </c>
      <c r="D8" s="350" t="inlineStr">
        <is>
          <t>Норматив цены на 01.01.2023, тыс.руб.</t>
        </is>
      </c>
    </row>
    <row r="9" ht="15" customHeight="1" s="318">
      <c r="A9" s="441" t="n"/>
      <c r="B9" s="441" t="n"/>
      <c r="C9" s="441" t="n"/>
      <c r="D9" s="441" t="n"/>
    </row>
    <row r="10">
      <c r="A10" s="367" t="n">
        <v>1</v>
      </c>
      <c r="B10" s="367" t="n">
        <v>2</v>
      </c>
      <c r="C10" s="367" t="n">
        <v>3</v>
      </c>
      <c r="D10" s="367" t="n">
        <v>4</v>
      </c>
    </row>
    <row r="11" ht="41.45" customHeight="1" s="318">
      <c r="A11" s="367" t="inlineStr">
        <is>
          <t>Б2-06-1</t>
        </is>
      </c>
      <c r="B11" s="367" t="inlineStr">
        <is>
          <t xml:space="preserve">УНЦ на устройство траншеи КЛ и восстановление благоустройства по трассе </t>
        </is>
      </c>
      <c r="C11" s="292">
        <f>D5</f>
        <v/>
      </c>
      <c r="D11" s="293">
        <f>'Прил.4 РМ'!C41/1000</f>
        <v/>
      </c>
      <c r="E11" s="294" t="n"/>
    </row>
    <row r="12">
      <c r="A12" s="301" t="n"/>
      <c r="B12" s="296" t="n"/>
      <c r="C12" s="301" t="n"/>
      <c r="D12" s="301" t="n"/>
    </row>
    <row r="13">
      <c r="A13" s="290" t="inlineStr">
        <is>
          <t>Составил ______________________      Д.Ю. Нефедова</t>
        </is>
      </c>
      <c r="B13" s="300" t="n"/>
      <c r="C13" s="300" t="n"/>
      <c r="D13" s="301" t="n"/>
    </row>
    <row r="14">
      <c r="A14" s="299" t="inlineStr">
        <is>
          <t xml:space="preserve">                         (подпись, инициалы, фамилия)</t>
        </is>
      </c>
      <c r="B14" s="300" t="n"/>
      <c r="C14" s="300" t="n"/>
      <c r="D14" s="301" t="n"/>
    </row>
    <row r="15">
      <c r="A15" s="290" t="n"/>
      <c r="B15" s="300" t="n"/>
      <c r="C15" s="300" t="n"/>
      <c r="D15" s="301" t="n"/>
    </row>
    <row r="16">
      <c r="A16" s="290" t="inlineStr">
        <is>
          <t>Проверил ______________________        А.В. Костянецкая</t>
        </is>
      </c>
      <c r="B16" s="300" t="n"/>
      <c r="C16" s="300" t="n"/>
      <c r="D16" s="301" t="n"/>
    </row>
    <row r="17">
      <c r="A17" s="299" t="inlineStr">
        <is>
          <t xml:space="preserve">                        (подпись, инициалы, фамилия)</t>
        </is>
      </c>
      <c r="B17" s="300" t="n"/>
      <c r="C17" s="300" t="n"/>
      <c r="D17" s="3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RowHeight="15"/>
  <cols>
    <col width="9.140625" customWidth="1" style="318" min="1" max="1"/>
    <col width="40.7109375" customWidth="1" style="318" min="2" max="2"/>
    <col width="37.5703125" customWidth="1" style="318" min="3" max="3"/>
    <col width="32" customWidth="1" style="318" min="4" max="4"/>
    <col width="9.140625" customWidth="1" style="318" min="5" max="5"/>
  </cols>
  <sheetData>
    <row r="4" ht="15.75" customHeight="1" s="318">
      <c r="B4" s="344" t="inlineStr">
        <is>
          <t>Приложение № 10</t>
        </is>
      </c>
    </row>
    <row r="5" ht="18.75" customHeight="1" s="318">
      <c r="B5" s="161" t="n"/>
    </row>
    <row r="6" ht="15.75" customHeight="1" s="318">
      <c r="B6" s="345" t="inlineStr">
        <is>
          <t>Используемые индексы изменений сметной стоимости и нормы сопутствующих затрат</t>
        </is>
      </c>
    </row>
    <row r="7">
      <c r="B7" s="386" t="n"/>
    </row>
    <row r="8">
      <c r="B8" s="386" t="n"/>
      <c r="C8" s="386" t="n"/>
      <c r="D8" s="386" t="n"/>
      <c r="E8" s="386" t="n"/>
    </row>
    <row r="9" ht="47.25" customHeight="1" s="318">
      <c r="B9" s="350" t="inlineStr">
        <is>
          <t>Наименование индекса / норм сопутствующих затрат</t>
        </is>
      </c>
      <c r="C9" s="350" t="inlineStr">
        <is>
          <t>Дата применения и обоснование индекса / норм сопутствующих затрат</t>
        </is>
      </c>
      <c r="D9" s="350" t="inlineStr">
        <is>
          <t>Размер индекса / норма сопутствующих затрат</t>
        </is>
      </c>
    </row>
    <row r="10" ht="15.75" customHeight="1" s="318">
      <c r="B10" s="350" t="n">
        <v>1</v>
      </c>
      <c r="C10" s="350" t="n">
        <v>2</v>
      </c>
      <c r="D10" s="350" t="n">
        <v>3</v>
      </c>
    </row>
    <row r="11" ht="31.5" customHeight="1" s="318">
      <c r="B11" s="350" t="inlineStr">
        <is>
          <t xml:space="preserve">Индекс изменения сметной стоимости на 1 квартал 2023 года. ОЗП </t>
        </is>
      </c>
      <c r="C11" s="350" t="inlineStr">
        <is>
          <t>Письмо Минстроя России от 30.03.2023г. №17106-ИФ/09  прил.1</t>
        </is>
      </c>
      <c r="D11" s="350" t="n">
        <v>44.29</v>
      </c>
    </row>
    <row r="12" ht="31.5" customHeight="1" s="318">
      <c r="B12" s="350" t="inlineStr">
        <is>
          <t>Индекс изменения сметной стоимости на 1 квартал 2023 года. ЭМ</t>
        </is>
      </c>
      <c r="C12" s="350" t="inlineStr">
        <is>
          <t>Письмо Минстроя России от 30.03.2023г. №17106-ИФ/09  прил.1</t>
        </is>
      </c>
      <c r="D12" s="350" t="n">
        <v>10.77</v>
      </c>
    </row>
    <row r="13" ht="31.5" customHeight="1" s="318">
      <c r="B13" s="350" t="inlineStr">
        <is>
          <t>Индекс изменения сметной стоимости на 1 квартал 2023 года. МАТ</t>
        </is>
      </c>
      <c r="C13" s="350" t="inlineStr">
        <is>
          <t>Письмо Минстроя России от 30.03.2023г. №17106-ИФ/09  прил.1</t>
        </is>
      </c>
      <c r="D13" s="350" t="n">
        <v>4.39</v>
      </c>
    </row>
    <row r="14" ht="31.5" customHeight="1" s="318">
      <c r="B14" s="350" t="inlineStr">
        <is>
          <t>Индекс изменения сметной стоимости на 1 квартал 2023 года. ОБ</t>
        </is>
      </c>
      <c r="C14" s="160" t="inlineStr">
        <is>
          <t>Письмо Минстроя России от 23.02.2023г. №9791-ИФ/09 прил.6</t>
        </is>
      </c>
      <c r="D14" s="350" t="n">
        <v>6.26</v>
      </c>
    </row>
    <row r="15" ht="78.75" customHeight="1" s="318">
      <c r="B15" s="350" t="inlineStr">
        <is>
          <t>Временные здания и сооружения</t>
        </is>
      </c>
      <c r="C15" s="350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64" t="n">
        <v>0.039</v>
      </c>
    </row>
    <row r="16" ht="78.75" customHeight="1" s="318">
      <c r="B16" s="350" t="inlineStr">
        <is>
          <t>Дополнительные затраты при производстве строительно-монтажных работ в зимнее время</t>
        </is>
      </c>
      <c r="C16" s="350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64" t="n">
        <v>0.021</v>
      </c>
    </row>
    <row r="17" ht="31.5" customHeight="1" s="318">
      <c r="B17" s="350" t="inlineStr">
        <is>
          <t>Строительный контроль</t>
        </is>
      </c>
      <c r="C17" s="350" t="inlineStr">
        <is>
          <t>Постановление Правительства РФ от 21.06.10 г. № 468</t>
        </is>
      </c>
      <c r="D17" s="164" t="n">
        <v>0.0214</v>
      </c>
    </row>
    <row r="18" ht="31.5" customHeight="1" s="318">
      <c r="B18" s="350" t="inlineStr">
        <is>
          <t>Авторский надзор - 0,2%</t>
        </is>
      </c>
      <c r="C18" s="350" t="inlineStr">
        <is>
          <t>Приказ от 4.08.2020 № 421/пр п.173</t>
        </is>
      </c>
      <c r="D18" s="164" t="n">
        <v>0.002</v>
      </c>
    </row>
    <row r="19" ht="24" customHeight="1" s="318">
      <c r="B19" s="350" t="inlineStr">
        <is>
          <t>Непредвиденные расходы</t>
        </is>
      </c>
      <c r="C19" s="350" t="inlineStr">
        <is>
          <t>Приказ от 4.08.2020 № 421/пр п.179</t>
        </is>
      </c>
      <c r="D19" s="164" t="n">
        <v>0.03</v>
      </c>
    </row>
    <row r="20" ht="18.75" customHeight="1" s="318">
      <c r="B20" s="238" t="n"/>
    </row>
    <row r="21" ht="18.75" customHeight="1" s="318">
      <c r="B21" s="238" t="n"/>
    </row>
    <row r="22" ht="18.75" customHeight="1" s="318">
      <c r="B22" s="238" t="n"/>
    </row>
    <row r="23" ht="18.75" customHeight="1" s="318">
      <c r="B23" s="238" t="n"/>
    </row>
    <row r="26">
      <c r="B26" s="290" t="inlineStr">
        <is>
          <t>Составил ______________________        Д.Ю. Нефедова</t>
        </is>
      </c>
      <c r="C26" s="300" t="n"/>
    </row>
    <row r="27">
      <c r="B27" s="299" t="inlineStr">
        <is>
          <t xml:space="preserve">                         (подпись, инициалы, фамилия)</t>
        </is>
      </c>
      <c r="C27" s="300" t="n"/>
    </row>
    <row r="28">
      <c r="B28" s="290" t="n"/>
      <c r="C28" s="300" t="n"/>
    </row>
    <row r="29">
      <c r="B29" s="290" t="inlineStr">
        <is>
          <t>Проверил ______________________        А.В. Костянецкая</t>
        </is>
      </c>
      <c r="C29" s="300" t="n"/>
    </row>
    <row r="30">
      <c r="B30" s="299" t="inlineStr">
        <is>
          <t xml:space="preserve">                        (подпись, инициалы, фамилия)</t>
        </is>
      </c>
      <c r="C30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16" sqref="F16"/>
    </sheetView>
  </sheetViews>
  <sheetFormatPr baseColWidth="8" defaultColWidth="9.140625" defaultRowHeight="15"/>
  <cols>
    <col width="44.85546875" customWidth="1" style="318" min="2" max="2"/>
    <col width="13" customWidth="1" style="318" min="3" max="3"/>
    <col width="22.85546875" customWidth="1" style="318" min="4" max="4"/>
    <col width="21.5703125" customWidth="1" style="318" min="5" max="5"/>
    <col width="53.7109375" bestFit="1" customWidth="1" style="318" min="6" max="6"/>
  </cols>
  <sheetData>
    <row r="1" s="318"/>
    <row r="2" ht="17.25" customHeight="1" s="318">
      <c r="A2" s="345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0" t="inlineStr">
        <is>
          <t>С1ср</t>
        </is>
      </c>
      <c r="D7" s="350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0" t="inlineStr">
        <is>
          <t>tср</t>
        </is>
      </c>
      <c r="D8" s="350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0" t="inlineStr">
        <is>
          <t>Кув</t>
        </is>
      </c>
      <c r="D9" s="350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0" t="n"/>
      <c r="D10" s="350" t="n"/>
      <c r="E10" s="452" t="n">
        <v>3.8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0" t="inlineStr">
        <is>
          <t>КТ</t>
        </is>
      </c>
      <c r="D11" s="350" t="inlineStr">
        <is>
          <t>-</t>
        </is>
      </c>
      <c r="E11" s="453" t="n">
        <v>1.308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32" t="inlineStr">
        <is>
          <t>1.6</t>
        </is>
      </c>
      <c r="B12" s="430" t="inlineStr">
        <is>
          <t>Коэффициент инфляции, определяемый поквартально</t>
        </is>
      </c>
      <c r="C12" s="333" t="inlineStr">
        <is>
          <t>Кинф</t>
        </is>
      </c>
      <c r="D12" s="333" t="inlineStr">
        <is>
          <t>-</t>
        </is>
      </c>
      <c r="E12" s="454" t="n">
        <v>1.139</v>
      </c>
      <c r="F12" s="4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8">
      <c r="A13" s="433" t="inlineStr">
        <is>
          <t>1.7</t>
        </is>
      </c>
      <c r="B13" s="434" t="inlineStr">
        <is>
          <t>Размер средств на оплату труда рабочих-строителей в текущем уровне цен (ФОТр.тек.), руб/чел.-ч</t>
        </is>
      </c>
      <c r="C13" s="435" t="inlineStr">
        <is>
          <t>ФОТр.тек.</t>
        </is>
      </c>
      <c r="D13" s="435" t="inlineStr">
        <is>
          <t>(С1ср/tср*КТ*Т*Кув)*Кинф</t>
        </is>
      </c>
      <c r="E13" s="436">
        <f>((E7*E9/E8)*E11)*E12</f>
        <v/>
      </c>
      <c r="F13" s="4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2025-01-24T11:54:06Z</dcterms:modified>
  <cp:lastModifiedBy>User4</cp:lastModifiedBy>
  <cp:lastPrinted>2023-11-28T07:17:51Z</cp:lastPrinted>
</cp:coreProperties>
</file>