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3'!$A$10:$H$57</definedName>
    <definedName name="_xlnm.Print_Titles" localSheetId="2">'Прил. 3'!$8:$10</definedName>
    <definedName name="_xlnm.Print_Area" localSheetId="2">'Прил. 3'!$A$1:$H$77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19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27" t="n"/>
      <c r="C6" s="227" t="n"/>
      <c r="D6" s="227" t="n"/>
    </row>
    <row r="7" ht="64.5" customHeight="1" s="319">
      <c r="B7" s="348" t="inlineStr">
        <is>
          <t>Наименование разрабатываемого показателя УНЦ - Устройство траншеи КЛ 330-500 кВ 2ц (Москва, Санкт-Петербург)</t>
        </is>
      </c>
    </row>
    <row r="8" ht="31.5" customHeight="1" s="319">
      <c r="B8" s="306" t="inlineStr">
        <is>
          <t xml:space="preserve">Сопоставимый уровень цен: </t>
        </is>
      </c>
      <c r="C8" s="306" t="n"/>
      <c r="D8" s="307">
        <f>D22</f>
        <v/>
      </c>
    </row>
    <row r="9" ht="15.75" customHeight="1" s="319">
      <c r="B9" s="349" t="inlineStr">
        <is>
          <t>Единица измерения  — 1 км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9" t="n"/>
    </row>
    <row r="12" ht="63" customHeight="1" s="319">
      <c r="B12" s="352" t="n">
        <v>1</v>
      </c>
      <c r="C12" s="314" t="inlineStr">
        <is>
          <t>Наименование объекта-представителя</t>
        </is>
      </c>
      <c r="D12" s="352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2" t="n">
        <v>2</v>
      </c>
      <c r="C13" s="314" t="inlineStr">
        <is>
          <t>Наименование субъекта Российской Федерации</t>
        </is>
      </c>
      <c r="D13" s="352" t="inlineStr">
        <is>
          <t>г.Санкт-Петербург</t>
        </is>
      </c>
    </row>
    <row r="14">
      <c r="B14" s="352" t="n">
        <v>3</v>
      </c>
      <c r="C14" s="314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14" t="inlineStr">
        <is>
          <t>Мощность объекта</t>
        </is>
      </c>
      <c r="D15" s="352" t="n">
        <v>7.43</v>
      </c>
    </row>
    <row r="16" ht="63" customHeight="1" s="319">
      <c r="B16" s="352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 xml:space="preserve">Плиты железобетонные размерами 500х500х50 мм </t>
        </is>
      </c>
    </row>
    <row r="17" ht="63" customHeight="1" s="319">
      <c r="B17" s="352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D18+D19+D21+D20</f>
        <v/>
      </c>
      <c r="E17" s="226" t="n"/>
    </row>
    <row r="18">
      <c r="B18" s="208" t="inlineStr">
        <is>
          <t>6.1</t>
        </is>
      </c>
      <c r="C18" s="314" t="inlineStr">
        <is>
          <t>строительно-монтажные работы</t>
        </is>
      </c>
      <c r="D18" s="309">
        <f>'Прил.2 Расч стоим'!F14+'Прил.2 Расч стоим'!G14</f>
        <v/>
      </c>
    </row>
    <row r="19">
      <c r="B19" s="208" t="inlineStr">
        <is>
          <t>6.2</t>
        </is>
      </c>
      <c r="C19" s="314" t="inlineStr">
        <is>
          <t>оборудование и инвентарь</t>
        </is>
      </c>
      <c r="D19" s="309">
        <f>'Прил.2 Расч стоим'!H14</f>
        <v/>
      </c>
    </row>
    <row r="20">
      <c r="B20" s="208" t="inlineStr">
        <is>
          <t>6.3</t>
        </is>
      </c>
      <c r="C20" s="314" t="inlineStr">
        <is>
          <t>пусконаладочные работы</t>
        </is>
      </c>
      <c r="D20" s="309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09">
        <f>D18*3.3%+(D18*3.3%+D18)*1%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310" t="inlineStr">
        <is>
          <t>3 квартал 2013 г</t>
        </is>
      </c>
      <c r="E22" s="205" t="n"/>
    </row>
    <row r="23" ht="78.75" customHeight="1" s="319">
      <c r="B23" s="352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26" t="n"/>
    </row>
    <row r="24" ht="31.5" customHeight="1" s="319">
      <c r="B24" s="352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05" t="n"/>
    </row>
    <row r="25">
      <c r="B25" s="352" t="n">
        <v>10</v>
      </c>
      <c r="C25" s="314" t="inlineStr">
        <is>
          <t>Примечание</t>
        </is>
      </c>
      <c r="D25" s="352" t="n"/>
    </row>
    <row r="26">
      <c r="B26" s="203" t="n"/>
      <c r="C26" s="202" t="n"/>
      <c r="D26" s="202" t="n"/>
    </row>
    <row r="27" ht="37.5" customHeight="1" s="319">
      <c r="B27" s="306" t="n"/>
    </row>
    <row r="28">
      <c r="B28" s="321" t="inlineStr">
        <is>
          <t>Составил ______________________    Д.Ю. Нефедова</t>
        </is>
      </c>
    </row>
    <row r="29">
      <c r="B29" s="30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30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4" zoomScaleNormal="70" workbookViewId="0">
      <selection activeCell="E19" sqref="E19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9.140625" customWidth="1" style="321" min="11" max="11"/>
  </cols>
  <sheetData>
    <row r="3">
      <c r="B3" s="346" t="inlineStr">
        <is>
          <t>Приложение № 2</t>
        </is>
      </c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9.25" customHeight="1" s="319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9">
      <c r="B8" s="237" t="n"/>
    </row>
    <row r="9" ht="15.75" customHeight="1" s="319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9">
      <c r="B10" s="450" t="n"/>
      <c r="C10" s="450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2013 г., тыс. руб.</t>
        </is>
      </c>
      <c r="G10" s="448" t="n"/>
      <c r="H10" s="448" t="n"/>
      <c r="I10" s="448" t="n"/>
      <c r="J10" s="449" t="n"/>
    </row>
    <row r="11" ht="31.5" customHeight="1" s="319">
      <c r="B11" s="451" t="n"/>
      <c r="C11" s="451" t="n"/>
      <c r="D11" s="451" t="n"/>
      <c r="E11" s="451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47.25" customHeight="1" s="319">
      <c r="B12" s="312" t="n">
        <v>1</v>
      </c>
      <c r="C12" s="352">
        <f>'Прил.1 Сравнит табл'!D16</f>
        <v/>
      </c>
      <c r="D12" s="313" t="inlineStr">
        <is>
          <t>02-03-05</t>
        </is>
      </c>
      <c r="E12" s="314" t="inlineStr">
        <is>
          <t>Строительные работы на участке от с/м №7 (т.Г) до с/м №14 (т.Д)</t>
        </is>
      </c>
      <c r="F12" s="315" t="n">
        <v>102273.72</v>
      </c>
      <c r="G12" s="315" t="n">
        <v>128.1</v>
      </c>
      <c r="H12" s="315" t="n"/>
      <c r="I12" s="315" t="n"/>
      <c r="J12" s="316">
        <f>SUM(F12:I12)</f>
        <v/>
      </c>
    </row>
    <row r="13" ht="63" customHeight="1" s="319">
      <c r="B13" s="312" t="n">
        <v>2</v>
      </c>
      <c r="C13" s="451" t="n"/>
      <c r="D13" s="313" t="inlineStr">
        <is>
          <t>02-03-07</t>
        </is>
      </c>
      <c r="E13" s="314" t="inlineStr">
        <is>
          <t>Монтажные работы по прокладке кабеля 330кВ от с/м 7 (т.Г) до с/м 14 (т.Д)</t>
        </is>
      </c>
      <c r="F13" s="315" t="n">
        <v>5490.12</v>
      </c>
      <c r="G13" s="315" t="n">
        <v>11036.590356</v>
      </c>
      <c r="H13" s="315" t="n">
        <v>0</v>
      </c>
      <c r="I13" s="315" t="n"/>
      <c r="J13" s="316">
        <f>SUM(F13:I13)</f>
        <v/>
      </c>
    </row>
    <row r="14" ht="15.75" customHeight="1" s="319">
      <c r="B14" s="351" t="inlineStr">
        <is>
          <t>Всего по объекту:</t>
        </is>
      </c>
      <c r="C14" s="448" t="n"/>
      <c r="D14" s="448" t="n"/>
      <c r="E14" s="449" t="n"/>
      <c r="F14" s="318">
        <f>SUM(F12:F13)</f>
        <v/>
      </c>
      <c r="G14" s="318">
        <f>SUM(G12:G13)</f>
        <v/>
      </c>
      <c r="H14" s="318">
        <f>SUM(H12:H13)</f>
        <v/>
      </c>
      <c r="I14" s="318" t="n"/>
      <c r="J14" s="318">
        <f>SUM(F14:I14)</f>
        <v/>
      </c>
    </row>
    <row r="15" ht="15.75" customHeight="1" s="319">
      <c r="B15" s="351" t="inlineStr">
        <is>
          <t>Всего по объекту в сопоставимом уровне цен 3 кв. 2013г:</t>
        </is>
      </c>
      <c r="C15" s="448" t="n"/>
      <c r="D15" s="448" t="n"/>
      <c r="E15" s="449" t="n"/>
      <c r="F15" s="318">
        <f>F14</f>
        <v/>
      </c>
      <c r="G15" s="318">
        <f>G14</f>
        <v/>
      </c>
      <c r="H15" s="318">
        <f>H14</f>
        <v/>
      </c>
      <c r="I15" s="318">
        <f>'Прил.1 Сравнит табл'!D21</f>
        <v/>
      </c>
      <c r="J15" s="318">
        <f>SUM(F15:I15)</f>
        <v/>
      </c>
    </row>
    <row r="16" ht="15" customHeight="1" s="319"/>
    <row r="17" ht="15" customHeight="1" s="319"/>
    <row r="18" ht="15" customHeight="1" s="319"/>
    <row r="19" ht="15" customHeight="1" s="319">
      <c r="C19" s="294" t="inlineStr">
        <is>
          <t>Составил ______________________     Д.Ю. Нефедова</t>
        </is>
      </c>
      <c r="D19" s="304" t="n"/>
      <c r="E19" s="304" t="n"/>
    </row>
    <row r="20" ht="15" customHeight="1" s="319">
      <c r="C20" s="303" t="inlineStr">
        <is>
          <t xml:space="preserve">                         (подпись, инициалы, фамилия)</t>
        </is>
      </c>
      <c r="D20" s="304" t="n"/>
      <c r="E20" s="304" t="n"/>
    </row>
    <row r="21" ht="15" customHeight="1" s="319">
      <c r="C21" s="294" t="n"/>
      <c r="D21" s="304" t="n"/>
      <c r="E21" s="304" t="n"/>
    </row>
    <row r="22" ht="15" customHeight="1" s="319">
      <c r="C22" s="294" t="inlineStr">
        <is>
          <t>Проверил ______________________        А.В. Костянецкая</t>
        </is>
      </c>
      <c r="D22" s="304" t="n"/>
      <c r="E22" s="304" t="n"/>
    </row>
    <row r="23" ht="15" customHeight="1" s="319">
      <c r="C23" s="303" t="inlineStr">
        <is>
          <t xml:space="preserve">                        (подпись, инициалы, фамилия)</t>
        </is>
      </c>
      <c r="D23" s="304" t="n"/>
      <c r="E23" s="304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8"/>
  <sheetViews>
    <sheetView view="pageBreakPreview" topLeftCell="A55" zoomScale="85" workbookViewId="0">
      <selection activeCell="E64" sqref="E64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9"/>
    <col width="11.140625" customWidth="1" style="321" min="10" max="10"/>
    <col width="15" customWidth="1" style="321" min="11" max="11"/>
    <col width="9.140625" customWidth="1" style="321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9">
      <c r="A4" s="232" t="n"/>
      <c r="B4" s="232" t="n"/>
      <c r="C4" s="363" t="n"/>
    </row>
    <row r="5">
      <c r="A5" s="349" t="n"/>
    </row>
    <row r="6" ht="33.75" customHeight="1" s="319">
      <c r="A6" s="362" t="inlineStr">
        <is>
          <t>Наименование разрабатываемого показателя УНЦ -  Устройство траншеи КЛ 330-500 кВ 2ц (Москва, Санкт-Петербург)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319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49" t="n"/>
    </row>
    <row r="9">
      <c r="A9" s="451" t="n"/>
      <c r="B9" s="451" t="n"/>
      <c r="C9" s="451" t="n"/>
      <c r="D9" s="451" t="n"/>
      <c r="E9" s="451" t="n"/>
      <c r="F9" s="451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11">
      <c r="A11" s="356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SUM(F12:F19)</f>
        <v/>
      </c>
      <c r="G11" s="230" t="n"/>
      <c r="H11" s="452">
        <f>SUM(H12:H19)</f>
        <v/>
      </c>
    </row>
    <row r="12">
      <c r="A12" s="389" t="n">
        <v>1</v>
      </c>
      <c r="B12" s="268" t="n"/>
      <c r="C12" s="262" t="inlineStr">
        <is>
          <t>1-2-8</t>
        </is>
      </c>
      <c r="D12" s="263" t="inlineStr">
        <is>
          <t>Затраты труда рабочих (средний разряд работы 2,8)</t>
        </is>
      </c>
      <c r="E12" s="389" t="inlineStr">
        <is>
          <t>чел.-ч</t>
        </is>
      </c>
      <c r="F12" s="453" t="n">
        <v>20038.82</v>
      </c>
      <c r="G12" s="256" t="n">
        <v>8.380000000000001</v>
      </c>
      <c r="H12" s="256">
        <f>ROUND(F12*G12,2)</f>
        <v/>
      </c>
      <c r="M12" s="454" t="n"/>
    </row>
    <row r="13">
      <c r="A13" s="389" t="n">
        <v>2</v>
      </c>
      <c r="B13" s="268" t="n"/>
      <c r="C13" s="262" t="inlineStr">
        <is>
          <t>1-3-0</t>
        </is>
      </c>
      <c r="D13" s="263" t="inlineStr">
        <is>
          <t>Затраты труда рабочих (средний разряд работы 3,0)</t>
        </is>
      </c>
      <c r="E13" s="389" t="inlineStr">
        <is>
          <t>чел.-ч</t>
        </is>
      </c>
      <c r="F13" s="453" t="n">
        <v>9486.68</v>
      </c>
      <c r="G13" s="256" t="n">
        <v>8.529999999999999</v>
      </c>
      <c r="H13" s="256">
        <f>ROUND(F13*G13,2)</f>
        <v/>
      </c>
    </row>
    <row r="14">
      <c r="A14" s="389" t="n">
        <v>3</v>
      </c>
      <c r="B14" s="268" t="n"/>
      <c r="C14" s="262" t="inlineStr">
        <is>
          <t>1-4-0</t>
        </is>
      </c>
      <c r="D14" s="263" t="inlineStr">
        <is>
          <t>Затраты труда рабочих (средний разряд работы 4,0)</t>
        </is>
      </c>
      <c r="E14" s="389" t="inlineStr">
        <is>
          <t>чел.-ч</t>
        </is>
      </c>
      <c r="F14" s="453" t="n">
        <v>2048.95</v>
      </c>
      <c r="G14" s="256" t="n">
        <v>9.619999999999999</v>
      </c>
      <c r="H14" s="256">
        <f>ROUND(F14*G14,2)</f>
        <v/>
      </c>
    </row>
    <row r="15">
      <c r="A15" s="389" t="n">
        <v>4</v>
      </c>
      <c r="B15" s="268" t="n"/>
      <c r="C15" s="262" t="inlineStr">
        <is>
          <t>1-2-0</t>
        </is>
      </c>
      <c r="D15" s="263" t="inlineStr">
        <is>
          <t>Затраты труда рабочих (средний разряд работы 2,0)</t>
        </is>
      </c>
      <c r="E15" s="389" t="inlineStr">
        <is>
          <t>чел.-ч</t>
        </is>
      </c>
      <c r="F15" s="453" t="n">
        <v>1998.11</v>
      </c>
      <c r="G15" s="256" t="n">
        <v>7.8</v>
      </c>
      <c r="H15" s="256">
        <f>ROUND(F15*G15,2)</f>
        <v/>
      </c>
    </row>
    <row r="16">
      <c r="A16" s="389" t="n">
        <v>5</v>
      </c>
      <c r="B16" s="268" t="n"/>
      <c r="C16" s="262" t="inlineStr">
        <is>
          <t>1-1-5</t>
        </is>
      </c>
      <c r="D16" s="263" t="inlineStr">
        <is>
          <t>Затраты труда рабочих (средний разряд работы 1,5)</t>
        </is>
      </c>
      <c r="E16" s="389" t="inlineStr">
        <is>
          <t>чел.-ч</t>
        </is>
      </c>
      <c r="F16" s="453">
        <f>1802.19+8.6461158</f>
        <v/>
      </c>
      <c r="G16" s="256" t="n">
        <v>7.5</v>
      </c>
      <c r="H16" s="256">
        <f>ROUND(F16*G16,2)</f>
        <v/>
      </c>
    </row>
    <row r="17">
      <c r="A17" s="389" t="n">
        <v>6</v>
      </c>
      <c r="B17" s="268" t="n"/>
      <c r="C17" s="262" t="inlineStr">
        <is>
          <t>1-5-0</t>
        </is>
      </c>
      <c r="D17" s="263" t="inlineStr">
        <is>
          <t>Затраты труда рабочих (средний разряд работы 5,0)</t>
        </is>
      </c>
      <c r="E17" s="389" t="inlineStr">
        <is>
          <t>чел.-ч</t>
        </is>
      </c>
      <c r="F17" s="453" t="n">
        <v>375</v>
      </c>
      <c r="G17" s="256" t="n">
        <v>11.09</v>
      </c>
      <c r="H17" s="256">
        <f>ROUND(F17*G17,2)</f>
        <v/>
      </c>
    </row>
    <row r="18">
      <c r="A18" s="389" t="n">
        <v>7</v>
      </c>
      <c r="B18" s="268" t="n"/>
      <c r="C18" s="262" t="inlineStr">
        <is>
          <t>1-6-0</t>
        </is>
      </c>
      <c r="D18" s="263" t="inlineStr">
        <is>
          <t>Затраты труда рабочих (средний разряд работы 6,0)</t>
        </is>
      </c>
      <c r="E18" s="389" t="inlineStr">
        <is>
          <t>чел.-ч</t>
        </is>
      </c>
      <c r="F18" s="453" t="n">
        <v>35.76</v>
      </c>
      <c r="G18" s="256" t="n">
        <v>12.92</v>
      </c>
      <c r="H18" s="256">
        <f>ROUND(F18*G18,2)</f>
        <v/>
      </c>
    </row>
    <row r="19">
      <c r="A19" s="389" t="n">
        <v>8</v>
      </c>
      <c r="B19" s="268" t="n"/>
      <c r="C19" s="262" t="inlineStr">
        <is>
          <t>1-1-0</t>
        </is>
      </c>
      <c r="D19" s="263" t="inlineStr">
        <is>
          <t>Затраты труда рабочих (средний разряд работы 1,0)</t>
        </is>
      </c>
      <c r="E19" s="389" t="inlineStr">
        <is>
          <t>чел.-ч</t>
        </is>
      </c>
      <c r="F19" s="453" t="n">
        <v>0.2</v>
      </c>
      <c r="G19" s="256" t="n">
        <v>7.19</v>
      </c>
      <c r="H19" s="256">
        <f>ROUND(F19*G19,2)</f>
        <v/>
      </c>
    </row>
    <row r="20">
      <c r="A20" s="355" t="inlineStr">
        <is>
          <t>Затраты труда машинистов</t>
        </is>
      </c>
      <c r="B20" s="448" t="n"/>
      <c r="C20" s="448" t="n"/>
      <c r="D20" s="448" t="n"/>
      <c r="E20" s="449" t="n"/>
      <c r="F20" s="356" t="n"/>
      <c r="G20" s="266" t="n"/>
      <c r="H20" s="452">
        <f>H21</f>
        <v/>
      </c>
    </row>
    <row r="21">
      <c r="A21" s="389" t="n">
        <v>9</v>
      </c>
      <c r="B21" s="357" t="n"/>
      <c r="C21" s="262" t="n">
        <v>2</v>
      </c>
      <c r="D21" s="263" t="inlineStr">
        <is>
          <t>Затраты труда машинистов</t>
        </is>
      </c>
      <c r="E21" s="389" t="inlineStr">
        <is>
          <t>чел.-ч</t>
        </is>
      </c>
      <c r="F21" s="453">
        <f>10061.54+21826.58</f>
        <v/>
      </c>
      <c r="G21" s="256" t="n"/>
      <c r="H21" s="455">
        <f>123772.02+294658.83</f>
        <v/>
      </c>
    </row>
    <row r="22" customFormat="1" s="211">
      <c r="A22" s="356" t="inlineStr">
        <is>
          <t>Машины и механизмы</t>
        </is>
      </c>
      <c r="B22" s="448" t="n"/>
      <c r="C22" s="448" t="n"/>
      <c r="D22" s="448" t="n"/>
      <c r="E22" s="449" t="n"/>
      <c r="F22" s="356" t="n"/>
      <c r="G22" s="266" t="n"/>
      <c r="H22" s="452">
        <f>SUM(H23:H35)</f>
        <v/>
      </c>
    </row>
    <row r="23">
      <c r="A23" s="389" t="n">
        <v>10</v>
      </c>
      <c r="B23" s="357" t="n"/>
      <c r="C23" s="262" t="inlineStr">
        <is>
          <t>91.14.03-002</t>
        </is>
      </c>
      <c r="D23" s="263" t="inlineStr">
        <is>
          <t>Автомобили-самосвалы, грузоподъемность до 10 т</t>
        </is>
      </c>
      <c r="E23" s="389" t="inlineStr">
        <is>
          <t>маш.-ч</t>
        </is>
      </c>
      <c r="F23" s="389" t="n">
        <v>21826.58</v>
      </c>
      <c r="G23" s="260" t="n">
        <v>87.48999999999999</v>
      </c>
      <c r="H23" s="256">
        <f>ROUND(F23*G23,2)</f>
        <v/>
      </c>
      <c r="I23" s="234" t="n"/>
      <c r="J23" s="234" t="n"/>
      <c r="L23" s="234" t="n"/>
    </row>
    <row r="24" ht="25.5" customHeight="1" s="319">
      <c r="A24" s="389" t="n">
        <v>11</v>
      </c>
      <c r="B24" s="357" t="n"/>
      <c r="C24" s="262" t="inlineStr">
        <is>
          <t>91.01.05-086</t>
        </is>
      </c>
      <c r="D24" s="263" t="inlineStr">
        <is>
          <t>Экскаваторы одноковшовые дизельные на гусеничном ходу, емкость ковша 0,65 м3</t>
        </is>
      </c>
      <c r="E24" s="389" t="inlineStr">
        <is>
          <t>маш.-ч</t>
        </is>
      </c>
      <c r="F24" s="389" t="n">
        <v>3756.29</v>
      </c>
      <c r="G24" s="260" t="n">
        <v>115.27</v>
      </c>
      <c r="H24" s="256">
        <f>ROUND(F24*G24,2)</f>
        <v/>
      </c>
      <c r="I24" s="234" t="n"/>
      <c r="J24" s="234" t="n"/>
      <c r="L24" s="234" t="n"/>
    </row>
    <row r="25" ht="38.25" customFormat="1" customHeight="1" s="211">
      <c r="A25" s="389" t="n">
        <v>12</v>
      </c>
      <c r="B25" s="357" t="n"/>
      <c r="C25" s="262" t="inlineStr">
        <is>
          <t>91.18.01-007</t>
        </is>
      </c>
      <c r="D25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9" t="inlineStr">
        <is>
          <t>маш.-ч</t>
        </is>
      </c>
      <c r="F25" s="389" t="n">
        <v>2301.64</v>
      </c>
      <c r="G25" s="260" t="n">
        <v>90</v>
      </c>
      <c r="H25" s="256">
        <f>ROUND(F25*G25,2)</f>
        <v/>
      </c>
      <c r="I25" s="234" t="n"/>
      <c r="J25" s="234" t="n"/>
      <c r="K25" s="234" t="n"/>
      <c r="L25" s="234" t="n"/>
    </row>
    <row r="26" customFormat="1" s="211">
      <c r="A26" s="389" t="n">
        <v>13</v>
      </c>
      <c r="B26" s="357" t="n"/>
      <c r="C26" s="262" t="inlineStr">
        <is>
          <t>91.01.01-035</t>
        </is>
      </c>
      <c r="D26" s="263" t="inlineStr">
        <is>
          <t>Бульдозеры, мощность 79 кВт (108 л.с.)</t>
        </is>
      </c>
      <c r="E26" s="389" t="inlineStr">
        <is>
          <t>маш.-ч</t>
        </is>
      </c>
      <c r="F26" s="389" t="n">
        <v>1493.38</v>
      </c>
      <c r="G26" s="260" t="n">
        <v>79.06999999999999</v>
      </c>
      <c r="H26" s="256">
        <f>ROUND(F26*G26,2)</f>
        <v/>
      </c>
      <c r="I26" s="234" t="n"/>
      <c r="J26" s="234" t="n"/>
      <c r="L26" s="234" t="n"/>
    </row>
    <row r="27" customFormat="1" s="211">
      <c r="A27" s="389" t="n">
        <v>14</v>
      </c>
      <c r="B27" s="357" t="n"/>
      <c r="C27" s="262" t="inlineStr">
        <is>
          <t>91.01.01-034</t>
        </is>
      </c>
      <c r="D27" s="263" t="inlineStr">
        <is>
          <t>Бульдозеры, мощность 59 кВт (80 л.с.)</t>
        </is>
      </c>
      <c r="E27" s="389" t="inlineStr">
        <is>
          <t>маш.-ч</t>
        </is>
      </c>
      <c r="F27" s="389" t="n">
        <v>1378.68</v>
      </c>
      <c r="G27" s="260" t="n">
        <v>59.47</v>
      </c>
      <c r="H27" s="256">
        <f>ROUND(F27*G27,2)</f>
        <v/>
      </c>
      <c r="I27" s="234" t="n"/>
      <c r="J27" s="234" t="n"/>
      <c r="L27" s="234" t="n"/>
    </row>
    <row r="28" customFormat="1" s="211">
      <c r="A28" s="389" t="n">
        <v>15</v>
      </c>
      <c r="B28" s="357" t="n"/>
      <c r="C28" s="262" t="inlineStr">
        <is>
          <t>91.14.02-001</t>
        </is>
      </c>
      <c r="D28" s="263" t="inlineStr">
        <is>
          <t>Автомобили бортовые, грузоподъемность: до 5 т</t>
        </is>
      </c>
      <c r="E28" s="389" t="inlineStr">
        <is>
          <t>маш.час</t>
        </is>
      </c>
      <c r="F28" s="389" t="n">
        <v>794.08</v>
      </c>
      <c r="G28" s="260" t="n">
        <v>65.70999999999999</v>
      </c>
      <c r="H28" s="256">
        <f>ROUND(F28*G28,2)</f>
        <v/>
      </c>
      <c r="I28" s="234" t="n"/>
      <c r="J28" s="234" t="n"/>
      <c r="L28" s="234" t="n"/>
    </row>
    <row r="29" ht="25.5" customFormat="1" customHeight="1" s="211">
      <c r="A29" s="389" t="n">
        <v>16</v>
      </c>
      <c r="B29" s="357" t="n"/>
      <c r="C29" s="262" t="inlineStr">
        <is>
          <t>91.05.05-014</t>
        </is>
      </c>
      <c r="D29" s="263" t="inlineStr">
        <is>
          <t>Краны на автомобильном ходу, грузоподъемность 10 т</t>
        </is>
      </c>
      <c r="E29" s="389" t="inlineStr">
        <is>
          <t>маш.час</t>
        </is>
      </c>
      <c r="F29" s="389" t="n">
        <v>330.68</v>
      </c>
      <c r="G29" s="260" t="n">
        <v>111.99</v>
      </c>
      <c r="H29" s="256">
        <f>ROUND(F29*G29,2)</f>
        <v/>
      </c>
      <c r="I29" s="234" t="n"/>
      <c r="J29" s="234" t="n"/>
      <c r="L29" s="234" t="n"/>
    </row>
    <row r="30" ht="25.5" customFormat="1" customHeight="1" s="211">
      <c r="A30" s="389" t="n">
        <v>17</v>
      </c>
      <c r="B30" s="357" t="n"/>
      <c r="C30" s="262" t="inlineStr">
        <is>
          <t>91.08.09-023</t>
        </is>
      </c>
      <c r="D30" s="263" t="inlineStr">
        <is>
          <t>Трамбовки пневматические при работе от: передвижных компрессорных станций</t>
        </is>
      </c>
      <c r="E30" s="389" t="inlineStr">
        <is>
          <t>маш.час</t>
        </is>
      </c>
      <c r="F30" s="389" t="n">
        <v>9221.700000000001</v>
      </c>
      <c r="G30" s="260" t="n">
        <v>0.55</v>
      </c>
      <c r="H30" s="256">
        <f>ROUND(F30*G30,2)</f>
        <v/>
      </c>
      <c r="I30" s="234" t="n"/>
      <c r="J30" s="234" t="n"/>
      <c r="L30" s="234" t="n"/>
    </row>
    <row r="31" customFormat="1" s="211">
      <c r="A31" s="389" t="n">
        <v>18</v>
      </c>
      <c r="B31" s="357" t="n"/>
      <c r="C31" s="262" t="inlineStr">
        <is>
          <t>91.14.03-001</t>
        </is>
      </c>
      <c r="D31" s="263" t="inlineStr">
        <is>
          <t>Автомобиль-самосвал, грузоподъемность: до 7 т</t>
        </is>
      </c>
      <c r="E31" s="389" t="inlineStr">
        <is>
          <t>маш.час</t>
        </is>
      </c>
      <c r="F31" s="389" t="n">
        <v>6.59</v>
      </c>
      <c r="G31" s="260" t="n">
        <v>89.54000000000001</v>
      </c>
      <c r="H31" s="256">
        <f>ROUND(F31*G31,2)</f>
        <v/>
      </c>
      <c r="I31" s="234" t="n"/>
      <c r="J31" s="234" t="n"/>
      <c r="L31" s="234" t="n"/>
    </row>
    <row r="32" customFormat="1" s="211">
      <c r="A32" s="389" t="n">
        <v>19</v>
      </c>
      <c r="B32" s="357" t="n"/>
      <c r="C32" s="262" t="inlineStr">
        <is>
          <t>91.21.22-341</t>
        </is>
      </c>
      <c r="D32" s="263" t="inlineStr">
        <is>
          <t>Рефлектометр</t>
        </is>
      </c>
      <c r="E32" s="389" t="inlineStr">
        <is>
          <t>маш.час</t>
        </is>
      </c>
      <c r="F32" s="389" t="n">
        <v>28.92</v>
      </c>
      <c r="G32" s="260" t="n">
        <v>10.62</v>
      </c>
      <c r="H32" s="256">
        <f>ROUND(F32*G32,2)</f>
        <v/>
      </c>
      <c r="I32" s="234" t="n"/>
      <c r="J32" s="234" t="n"/>
      <c r="L32" s="234" t="n"/>
    </row>
    <row r="33" ht="25.5" customFormat="1" customHeight="1" s="211">
      <c r="A33" s="389" t="n">
        <v>20</v>
      </c>
      <c r="B33" s="357" t="n"/>
      <c r="C33" s="262" t="inlineStr">
        <is>
          <t>91.17.04-194</t>
        </is>
      </c>
      <c r="D33" s="263" t="inlineStr">
        <is>
          <t>Сварочный аппарат для сварки оптических кабелей со скалывателем</t>
        </is>
      </c>
      <c r="E33" s="389" t="inlineStr">
        <is>
          <t>маш.час</t>
        </is>
      </c>
      <c r="F33" s="389" t="n">
        <v>13.08</v>
      </c>
      <c r="G33" s="260" t="n">
        <v>12.14</v>
      </c>
      <c r="H33" s="256">
        <f>ROUND(F33*G33,2)</f>
        <v/>
      </c>
      <c r="I33" s="234" t="n"/>
      <c r="J33" s="234" t="n"/>
      <c r="L33" s="234" t="n"/>
    </row>
    <row r="34" ht="25.5" customFormat="1" customHeight="1" s="211">
      <c r="A34" s="389" t="n">
        <v>21</v>
      </c>
      <c r="B34" s="357" t="n"/>
      <c r="C34" s="262" t="inlineStr">
        <is>
          <t>91.17.04-233</t>
        </is>
      </c>
      <c r="D34" s="263" t="inlineStr">
        <is>
          <t>Установки для сварки: ручной дуговой (постоянного тока)</t>
        </is>
      </c>
      <c r="E34" s="389" t="inlineStr">
        <is>
          <t>маш.час</t>
        </is>
      </c>
      <c r="F34" s="389" t="n">
        <v>6.18</v>
      </c>
      <c r="G34" s="260" t="n">
        <v>8.1</v>
      </c>
      <c r="H34" s="256">
        <f>ROUND(F34*G34,2)</f>
        <v/>
      </c>
      <c r="I34" s="234" t="n"/>
      <c r="J34" s="234" t="n"/>
      <c r="L34" s="234" t="n"/>
    </row>
    <row r="35" customFormat="1" s="211">
      <c r="A35" s="389" t="n">
        <v>22</v>
      </c>
      <c r="B35" s="357" t="n"/>
      <c r="C35" s="262" t="inlineStr">
        <is>
          <t>91.13.01-038</t>
        </is>
      </c>
      <c r="D35" s="263" t="inlineStr">
        <is>
          <t>Машины поливомоечные 6000 л</t>
        </is>
      </c>
      <c r="E35" s="389" t="inlineStr">
        <is>
          <t>маш.час</t>
        </is>
      </c>
      <c r="F35" s="389" t="n">
        <v>0.2</v>
      </c>
      <c r="G35" s="260" t="n">
        <v>110</v>
      </c>
      <c r="H35" s="256">
        <f>ROUND(F35*G35,2)</f>
        <v/>
      </c>
      <c r="I35" s="234" t="n"/>
      <c r="J35" s="234" t="n"/>
      <c r="L35" s="234" t="n"/>
    </row>
    <row r="36" ht="15" customHeight="1" s="319">
      <c r="A36" s="355" t="inlineStr">
        <is>
          <t>Оборудование</t>
        </is>
      </c>
      <c r="B36" s="448" t="n"/>
      <c r="C36" s="448" t="n"/>
      <c r="D36" s="448" t="n"/>
      <c r="E36" s="449" t="n"/>
      <c r="F36" s="230" t="n"/>
      <c r="G36" s="230" t="n"/>
      <c r="H36" s="452" t="n">
        <v>0</v>
      </c>
    </row>
    <row r="37">
      <c r="A37" s="356" t="inlineStr">
        <is>
          <t>Материалы</t>
        </is>
      </c>
      <c r="B37" s="448" t="n"/>
      <c r="C37" s="448" t="n"/>
      <c r="D37" s="448" t="n"/>
      <c r="E37" s="449" t="n"/>
      <c r="F37" s="356" t="n"/>
      <c r="G37" s="266" t="n"/>
      <c r="H37" s="452">
        <f>SUM(H38:H57)</f>
        <v/>
      </c>
    </row>
    <row r="38">
      <c r="A38" s="267" t="n">
        <v>23</v>
      </c>
      <c r="B38" s="357" t="n"/>
      <c r="C38" s="262" t="inlineStr">
        <is>
          <t>Прайс из СД ОП</t>
        </is>
      </c>
      <c r="D38" s="263" t="inlineStr">
        <is>
          <t>Маркер интеллектуальный 1422-xR/iD</t>
        </is>
      </c>
      <c r="E38" s="389" t="inlineStr">
        <is>
          <t>шт.</t>
        </is>
      </c>
      <c r="F38" s="389" t="n">
        <v>375</v>
      </c>
      <c r="G38" s="256" t="n">
        <v>673.64</v>
      </c>
      <c r="H38" s="256" t="n">
        <v>252615</v>
      </c>
      <c r="I38" s="229" t="n"/>
      <c r="J38" s="234" t="n"/>
      <c r="K38" s="234" t="n"/>
    </row>
    <row r="39" ht="38.25" customHeight="1" s="319">
      <c r="A39" s="267" t="n">
        <v>24</v>
      </c>
      <c r="B39" s="357" t="n"/>
      <c r="C39" s="262" t="inlineStr">
        <is>
          <t>05.1.01.12-0001</t>
        </is>
      </c>
      <c r="D39" s="263" t="inlineStr">
        <is>
          <t>Плита перекрытия лотков и каналов доборная П4-15, бетон В25 (М350), объем 0,04 м3, расход арматуры 1,3 кг</t>
        </is>
      </c>
      <c r="E39" s="389" t="inlineStr">
        <is>
          <t>шт.</t>
        </is>
      </c>
      <c r="F39" s="389" t="n">
        <v>173000</v>
      </c>
      <c r="G39" s="256" t="n">
        <v>156.83</v>
      </c>
      <c r="H39" s="256" t="n">
        <v>27131590</v>
      </c>
      <c r="I39" s="229" t="n"/>
      <c r="J39" s="234" t="n"/>
      <c r="K39" s="234" t="n"/>
    </row>
    <row r="40" ht="25.5" customHeight="1" s="319">
      <c r="A40" s="267" t="n">
        <v>25</v>
      </c>
      <c r="B40" s="357" t="n"/>
      <c r="C40" s="262" t="inlineStr">
        <is>
          <t>02.2.04.03-0014</t>
        </is>
      </c>
      <c r="D40" s="263" t="inlineStr">
        <is>
          <t>Смесь песчано-гравийная природная обогащенная с содержанием гравия: 50-65 %</t>
        </is>
      </c>
      <c r="E40" s="389" t="inlineStr">
        <is>
          <t>м3</t>
        </is>
      </c>
      <c r="F40" s="389" t="n">
        <v>28072</v>
      </c>
      <c r="G40" s="256" t="n">
        <v>82.8</v>
      </c>
      <c r="H40" s="256" t="n">
        <v>2324361.6</v>
      </c>
      <c r="I40" s="229" t="n"/>
      <c r="J40" s="234" t="n"/>
      <c r="K40" s="234" t="n"/>
    </row>
    <row r="41">
      <c r="A41" s="267" t="n">
        <v>26</v>
      </c>
      <c r="B41" s="357" t="n"/>
      <c r="C41" s="262" t="inlineStr">
        <is>
          <t>Прайс из СД ОП</t>
        </is>
      </c>
      <c r="D41" s="263" t="inlineStr">
        <is>
          <t>Ложемент для соединительных муфт с креплениями</t>
        </is>
      </c>
      <c r="E41" s="389" t="inlineStr">
        <is>
          <t>шт.</t>
        </is>
      </c>
      <c r="F41" s="389" t="n">
        <v>18</v>
      </c>
      <c r="G41" s="256" t="n">
        <v>9500</v>
      </c>
      <c r="H41" s="256" t="n">
        <v>171000</v>
      </c>
      <c r="I41" s="229" t="n"/>
      <c r="J41" s="234" t="n"/>
      <c r="K41" s="234" t="n"/>
    </row>
    <row r="42" ht="25.5" customHeight="1" s="319">
      <c r="A42" s="267" t="n">
        <v>27</v>
      </c>
      <c r="B42" s="357" t="n"/>
      <c r="C42" s="262" t="inlineStr">
        <is>
          <t>02.3.01.02-0003</t>
        </is>
      </c>
      <c r="D42" s="263" t="inlineStr">
        <is>
          <t>Песок для строительных работ природный 50%; обогащенный 50%</t>
        </is>
      </c>
      <c r="E42" s="389" t="inlineStr">
        <is>
          <t>м3</t>
        </is>
      </c>
      <c r="F42" s="389" t="n">
        <v>793.3388</v>
      </c>
      <c r="G42" s="256" t="n">
        <v>54.95</v>
      </c>
      <c r="H42" s="256" t="n">
        <v>43593.97</v>
      </c>
      <c r="I42" s="229" t="n"/>
      <c r="J42" s="234" t="n"/>
      <c r="K42" s="234" t="n"/>
    </row>
    <row r="43" ht="25.5" customHeight="1" s="319">
      <c r="A43" s="267" t="n">
        <v>28</v>
      </c>
      <c r="B43" s="357" t="n"/>
      <c r="C43" s="262" t="inlineStr">
        <is>
          <t>08.3.08.02-0052</t>
        </is>
      </c>
      <c r="D43" s="263" t="inlineStr">
        <is>
          <t>Сталь угловая равнополочная, марка стали: ВСт3кп2, размером 50x50x5 мм</t>
        </is>
      </c>
      <c r="E43" s="389" t="inlineStr">
        <is>
          <t>т</t>
        </is>
      </c>
      <c r="F43" s="389" t="n">
        <v>1.9851</v>
      </c>
      <c r="G43" s="256" t="n">
        <v>5763</v>
      </c>
      <c r="H43" s="256" t="n">
        <v>11440.13</v>
      </c>
      <c r="I43" s="229" t="n"/>
      <c r="J43" s="234" t="n"/>
      <c r="K43" s="234" t="n"/>
    </row>
    <row r="44">
      <c r="A44" s="267" t="n">
        <v>29</v>
      </c>
      <c r="B44" s="357" t="n"/>
      <c r="C44" s="262" t="inlineStr">
        <is>
          <t>01.7.07.26-0031</t>
        </is>
      </c>
      <c r="D44" s="263" t="inlineStr">
        <is>
          <t>Шнур плетеный хлопчатобумажный</t>
        </is>
      </c>
      <c r="E44" s="389" t="inlineStr">
        <is>
          <t>м</t>
        </is>
      </c>
      <c r="F44" s="389" t="n">
        <v>3000</v>
      </c>
      <c r="G44" s="256" t="n">
        <v>2.05</v>
      </c>
      <c r="H44" s="256" t="n">
        <v>6150</v>
      </c>
      <c r="I44" s="229" t="n"/>
      <c r="J44" s="234" t="n"/>
      <c r="K44" s="234" t="n"/>
    </row>
    <row r="45">
      <c r="A45" s="267" t="n">
        <v>30</v>
      </c>
      <c r="B45" s="357" t="n"/>
      <c r="C45" s="262" t="inlineStr">
        <is>
          <t>01.7.15.01-0001</t>
        </is>
      </c>
      <c r="D45" s="263" t="inlineStr">
        <is>
          <t>Анкер-шпилька Hilti HST М12х115/20</t>
        </is>
      </c>
      <c r="E45" s="389" t="inlineStr">
        <is>
          <t>шт</t>
        </is>
      </c>
      <c r="F45" s="389" t="n">
        <v>144</v>
      </c>
      <c r="G45" s="256" t="n">
        <v>42.49</v>
      </c>
      <c r="H45" s="256" t="n">
        <v>6118.56</v>
      </c>
      <c r="I45" s="229" t="n"/>
      <c r="J45" s="234" t="n"/>
      <c r="K45" s="234" t="n"/>
    </row>
    <row r="46">
      <c r="A46" s="267" t="n">
        <v>31</v>
      </c>
      <c r="B46" s="357" t="n"/>
      <c r="C46" s="262" t="inlineStr">
        <is>
          <t>14.4.04.11-0010</t>
        </is>
      </c>
      <c r="D46" s="263" t="inlineStr">
        <is>
          <t>Эмаль ХС-720 серебристая антикоррозийная</t>
        </is>
      </c>
      <c r="E46" s="389" t="inlineStr">
        <is>
          <t>т</t>
        </is>
      </c>
      <c r="F46" s="389" t="n">
        <v>0.078</v>
      </c>
      <c r="G46" s="256" t="n">
        <v>35001</v>
      </c>
      <c r="H46" s="256" t="n">
        <v>2730.08</v>
      </c>
      <c r="I46" s="229" t="n"/>
      <c r="J46" s="234" t="n"/>
      <c r="K46" s="234" t="n"/>
    </row>
    <row r="47" ht="25.5" customHeight="1" s="319">
      <c r="A47" s="267" t="n">
        <v>32</v>
      </c>
      <c r="B47" s="357" t="n"/>
      <c r="C47" s="262" t="inlineStr">
        <is>
          <t>08.3.05.02-0101</t>
        </is>
      </c>
      <c r="D47" s="263" t="inlineStr">
        <is>
          <t>Сталь листовая углеродистая обыкновенного качества марки ВСт3пс5 толщиной: 4-6 мм</t>
        </is>
      </c>
      <c r="E47" s="389" t="inlineStr">
        <is>
          <t>т</t>
        </is>
      </c>
      <c r="F47" s="389" t="n">
        <v>0.4134</v>
      </c>
      <c r="G47" s="256" t="n">
        <v>5763</v>
      </c>
      <c r="H47" s="256" t="n">
        <v>2382.42</v>
      </c>
      <c r="I47" s="229" t="n"/>
      <c r="J47" s="234" t="n"/>
      <c r="K47" s="234" t="n"/>
    </row>
    <row r="48" ht="25.5" customHeight="1" s="319">
      <c r="A48" s="267" t="n">
        <v>33</v>
      </c>
      <c r="B48" s="357" t="n"/>
      <c r="C48" s="262" t="inlineStr">
        <is>
          <t>02.2.05.04-0093</t>
        </is>
      </c>
      <c r="D48" s="263" t="inlineStr">
        <is>
          <t>Щебень из природного камня для строительных работ марка: 800, фракция 20-40 мм</t>
        </is>
      </c>
      <c r="E48" s="389" t="inlineStr">
        <is>
          <t>м3</t>
        </is>
      </c>
      <c r="F48" s="389" t="n">
        <v>9.2364</v>
      </c>
      <c r="G48" s="256" t="n">
        <v>108.4</v>
      </c>
      <c r="H48" s="256" t="n">
        <v>1001.23</v>
      </c>
      <c r="I48" s="229" t="n"/>
      <c r="J48" s="234" t="n"/>
      <c r="K48" s="234" t="n"/>
    </row>
    <row r="49" ht="25.5" customHeight="1" s="319">
      <c r="A49" s="267" t="n">
        <v>34</v>
      </c>
      <c r="B49" s="357" t="n"/>
      <c r="C49" s="262" t="inlineStr">
        <is>
          <t>999-9950</t>
        </is>
      </c>
      <c r="D49" s="263" t="inlineStr">
        <is>
          <t>Вспомогательные ненормируемые ресурсы (2% от Оплаты труда рабочих)</t>
        </is>
      </c>
      <c r="E49" s="389" t="inlineStr">
        <is>
          <t>руб.</t>
        </is>
      </c>
      <c r="F49" s="389" t="n">
        <v>485.3071</v>
      </c>
      <c r="G49" s="256" t="n">
        <v>1</v>
      </c>
      <c r="H49" s="256" t="n">
        <v>485.31</v>
      </c>
      <c r="I49" s="229" t="n"/>
      <c r="J49" s="234" t="n"/>
      <c r="K49" s="234" t="n"/>
    </row>
    <row r="50">
      <c r="A50" s="267" t="n">
        <v>35</v>
      </c>
      <c r="B50" s="357" t="n"/>
      <c r="C50" s="262" t="inlineStr">
        <is>
          <t>10.1.02.02-0012</t>
        </is>
      </c>
      <c r="D50" s="263" t="inlineStr">
        <is>
          <t>Алюминий листовой толщиной: 1,0-2,5 мм, гладкий</t>
        </is>
      </c>
      <c r="E50" s="389" t="inlineStr">
        <is>
          <t>кг</t>
        </is>
      </c>
      <c r="F50" s="389" t="n">
        <v>8.630000000000001</v>
      </c>
      <c r="G50" s="256" t="n">
        <v>47.66</v>
      </c>
      <c r="H50" s="256" t="n">
        <v>411.31</v>
      </c>
      <c r="I50" s="229" t="n"/>
      <c r="J50" s="234" t="n"/>
      <c r="K50" s="234" t="n"/>
    </row>
    <row r="51">
      <c r="A51" s="267" t="n">
        <v>36</v>
      </c>
      <c r="B51" s="357" t="n"/>
      <c r="C51" s="262" t="inlineStr">
        <is>
          <t>01.7.06.08-0003</t>
        </is>
      </c>
      <c r="D51" s="263" t="inlineStr">
        <is>
          <t>Лента сигнальная</t>
        </is>
      </c>
      <c r="E51" s="389" t="inlineStr">
        <is>
          <t>100 м</t>
        </is>
      </c>
      <c r="F51" s="389" t="n">
        <v>3.75</v>
      </c>
      <c r="G51" s="256" t="n">
        <v>108</v>
      </c>
      <c r="H51" s="256" t="n">
        <v>405</v>
      </c>
      <c r="I51" s="229" t="n"/>
      <c r="J51" s="234" t="n"/>
      <c r="K51" s="234" t="n"/>
    </row>
    <row r="52">
      <c r="A52" s="267" t="n">
        <v>37</v>
      </c>
      <c r="B52" s="357" t="n"/>
      <c r="C52" s="262" t="inlineStr">
        <is>
          <t>01.7.19.07-0002</t>
        </is>
      </c>
      <c r="D52" s="263" t="inlineStr">
        <is>
          <t>Резина листовая вулканизованная цветная</t>
        </is>
      </c>
      <c r="E52" s="389" t="inlineStr">
        <is>
          <t>кг</t>
        </is>
      </c>
      <c r="F52" s="389" t="n">
        <v>3.798</v>
      </c>
      <c r="G52" s="256" t="n">
        <v>24.86</v>
      </c>
      <c r="H52" s="256" t="n">
        <v>94.42</v>
      </c>
      <c r="I52" s="229" t="n"/>
      <c r="J52" s="234" t="n"/>
      <c r="K52" s="234" t="n"/>
    </row>
    <row r="53">
      <c r="A53" s="267" t="n">
        <v>38</v>
      </c>
      <c r="B53" s="357" t="n"/>
      <c r="C53" s="262" t="inlineStr">
        <is>
          <t>14.4.03.03-0002</t>
        </is>
      </c>
      <c r="D53" s="263" t="inlineStr">
        <is>
          <t>Лак битумный: БТ-123</t>
        </is>
      </c>
      <c r="E53" s="389" t="inlineStr">
        <is>
          <t>т</t>
        </is>
      </c>
      <c r="F53" s="389" t="n">
        <v>0.0015</v>
      </c>
      <c r="G53" s="256" t="n">
        <v>7826.9</v>
      </c>
      <c r="H53" s="256" t="n">
        <v>11.74</v>
      </c>
      <c r="I53" s="229" t="n"/>
      <c r="J53" s="234" t="n"/>
      <c r="K53" s="234" t="n"/>
    </row>
    <row r="54">
      <c r="A54" s="267" t="n">
        <v>39</v>
      </c>
      <c r="B54" s="357" t="n"/>
      <c r="C54" s="262" t="inlineStr">
        <is>
          <t>01.7.11.07-0034</t>
        </is>
      </c>
      <c r="D54" s="263" t="inlineStr">
        <is>
          <t>Электроды диаметром: 4 мм Э42А</t>
        </is>
      </c>
      <c r="E54" s="389" t="inlineStr">
        <is>
          <t>кг</t>
        </is>
      </c>
      <c r="F54" s="389" t="n">
        <v>1.0452</v>
      </c>
      <c r="G54" s="256" t="n">
        <v>10.57</v>
      </c>
      <c r="H54" s="256" t="n">
        <v>11.05</v>
      </c>
      <c r="I54" s="229" t="n"/>
      <c r="J54" s="234" t="n"/>
      <c r="K54" s="234" t="n"/>
    </row>
    <row r="55">
      <c r="A55" s="267" t="n">
        <v>40</v>
      </c>
      <c r="B55" s="357" t="n"/>
      <c r="C55" s="262" t="inlineStr">
        <is>
          <t>01.7.20.03-0003</t>
        </is>
      </c>
      <c r="D55" s="263" t="inlineStr">
        <is>
          <t>Мешки полипропиленовые (50 кг)</t>
        </is>
      </c>
      <c r="E55" s="389" t="inlineStr">
        <is>
          <t>100 шт</t>
        </is>
      </c>
      <c r="F55" s="389" t="n">
        <v>0.1296</v>
      </c>
      <c r="G55" s="256" t="n">
        <v>82</v>
      </c>
      <c r="H55" s="256" t="n">
        <v>10.63</v>
      </c>
      <c r="I55" s="229" t="n"/>
      <c r="J55" s="234" t="n"/>
      <c r="K55" s="234" t="n"/>
    </row>
    <row r="56">
      <c r="A56" s="267" t="n">
        <v>41</v>
      </c>
      <c r="B56" s="357" t="n"/>
      <c r="C56" s="262" t="inlineStr">
        <is>
          <t>01.7.03.01-0001</t>
        </is>
      </c>
      <c r="D56" s="263" t="inlineStr">
        <is>
          <t>Вода</t>
        </is>
      </c>
      <c r="E56" s="389" t="inlineStr">
        <is>
          <t>м3</t>
        </is>
      </c>
      <c r="F56" s="389" t="n">
        <v>1.402</v>
      </c>
      <c r="G56" s="256" t="n">
        <v>2.44</v>
      </c>
      <c r="H56" s="256" t="n">
        <v>3.42</v>
      </c>
      <c r="I56" s="229" t="n"/>
      <c r="J56" s="234" t="n"/>
      <c r="K56" s="234" t="n"/>
    </row>
    <row r="57" ht="25.5" customHeight="1" s="319">
      <c r="A57" s="267" t="n">
        <v>42</v>
      </c>
      <c r="B57" s="357" t="n"/>
      <c r="C57" s="262" t="inlineStr">
        <is>
          <t>03.2.01.01-0001</t>
        </is>
      </c>
      <c r="D57" s="263" t="inlineStr">
        <is>
          <t>Портландцемент общестроительного назначения бездобавочный, марки: 400</t>
        </is>
      </c>
      <c r="E57" s="389" t="inlineStr">
        <is>
          <t>т</t>
        </is>
      </c>
      <c r="F57" s="389" t="n">
        <v>0.0003</v>
      </c>
      <c r="G57" s="256" t="n">
        <v>412</v>
      </c>
      <c r="H57" s="256" t="n">
        <v>0.12</v>
      </c>
      <c r="I57" s="229" t="n"/>
      <c r="J57" s="234" t="n"/>
      <c r="K57" s="234" t="n"/>
    </row>
    <row r="58" ht="25.5" customHeight="1" s="319">
      <c r="A58" s="442" t="n"/>
      <c r="B58" s="443" t="n"/>
      <c r="C58" s="444" t="n"/>
      <c r="D58" s="445" t="n"/>
      <c r="E58" s="446" t="n"/>
      <c r="F58" s="446" t="n"/>
      <c r="G58" s="447" t="n"/>
      <c r="H58" s="447" t="n"/>
      <c r="I58" s="229" t="n"/>
      <c r="J58" s="234" t="n"/>
      <c r="K58" s="234" t="n"/>
      <c r="L58" s="321" t="n"/>
    </row>
    <row r="59" ht="25.5" customHeight="1" s="319">
      <c r="A59" s="442" t="n"/>
      <c r="B59" s="443" t="n"/>
      <c r="C59" s="444" t="n"/>
      <c r="D59" s="445" t="n"/>
      <c r="E59" s="446" t="n"/>
      <c r="F59" s="446" t="n"/>
      <c r="G59" s="447" t="n"/>
      <c r="H59" s="447" t="n"/>
      <c r="I59" s="229" t="n"/>
      <c r="J59" s="234" t="n"/>
      <c r="K59" s="234" t="n"/>
      <c r="L59" s="321" t="n"/>
    </row>
    <row r="60" ht="25.5" customHeight="1" s="319">
      <c r="A60" s="442" t="n"/>
      <c r="B60" s="443" t="n"/>
      <c r="C60" s="444" t="n"/>
      <c r="D60" s="445" t="n"/>
      <c r="E60" s="446" t="n"/>
      <c r="F60" s="446" t="n"/>
      <c r="G60" s="447" t="n"/>
      <c r="H60" s="447" t="n"/>
      <c r="I60" s="229" t="n"/>
      <c r="J60" s="234" t="n"/>
      <c r="K60" s="234" t="n"/>
      <c r="L60" s="321" t="n"/>
    </row>
    <row r="61" ht="25.5" customHeight="1" s="319">
      <c r="A61" s="442" t="n"/>
      <c r="B61" s="443" t="n"/>
      <c r="C61" s="444" t="n"/>
      <c r="D61" s="445" t="n"/>
      <c r="E61" s="446" t="n"/>
      <c r="F61" s="446" t="n"/>
      <c r="G61" s="447" t="n"/>
      <c r="H61" s="447" t="n"/>
      <c r="I61" s="229" t="n"/>
      <c r="J61" s="234" t="n"/>
      <c r="K61" s="234" t="n"/>
      <c r="L61" s="321" t="n"/>
    </row>
    <row r="64">
      <c r="B64" s="321" t="inlineStr">
        <is>
          <t>Составил ______________________     Д.Ю. Нефедова</t>
        </is>
      </c>
    </row>
    <row r="65">
      <c r="B65" s="306" t="inlineStr">
        <is>
          <t xml:space="preserve">                         (подпись, инициалы, фамилия)</t>
        </is>
      </c>
    </row>
    <row r="67">
      <c r="B67" s="321" t="inlineStr">
        <is>
          <t>Проверил ______________________        А.В. Костянецкая</t>
        </is>
      </c>
    </row>
    <row r="68">
      <c r="B68" s="306" t="inlineStr">
        <is>
          <t xml:space="preserve">                        (подпись, инициалы, фамилия)</t>
        </is>
      </c>
    </row>
  </sheetData>
  <autoFilter ref="A10:H57"/>
  <mergeCells count="16">
    <mergeCell ref="A3:H3"/>
    <mergeCell ref="A8:A9"/>
    <mergeCell ref="E8:E9"/>
    <mergeCell ref="A20:E20"/>
    <mergeCell ref="C8:C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4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6" t="inlineStr">
        <is>
          <t>Ресурсная модель</t>
        </is>
      </c>
    </row>
    <row r="6">
      <c r="B6" s="223" t="n"/>
      <c r="C6" s="294" t="n"/>
      <c r="D6" s="294" t="n"/>
      <c r="E6" s="294" t="n"/>
    </row>
    <row r="7" ht="38.25" customHeight="1" s="319">
      <c r="B7" s="345" t="inlineStr">
        <is>
          <t>Наименование разрабатываемого показателя УНЦ — Устройство траншеи КЛ 330-500 кВ 2ц (Москва, Санкт-Петербург)</t>
        </is>
      </c>
    </row>
    <row r="8">
      <c r="B8" s="364" t="inlineStr">
        <is>
          <t>Единица измерения  — 1 км.</t>
        </is>
      </c>
    </row>
    <row r="9">
      <c r="B9" s="223" t="n"/>
      <c r="C9" s="294" t="n"/>
      <c r="D9" s="294" t="n"/>
      <c r="E9" s="294" t="n"/>
    </row>
    <row r="10" ht="51" customHeight="1" s="319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9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40" t="inlineStr">
        <is>
          <t>Эксплуатация машин основных</t>
        </is>
      </c>
      <c r="C12" s="296">
        <f>'Прил.5 Расчет СМР и ОБ'!J23</f>
        <v/>
      </c>
      <c r="D12" s="217">
        <f>C12/$C$24</f>
        <v/>
      </c>
      <c r="E12" s="217">
        <f>C12/$C$40</f>
        <v/>
      </c>
    </row>
    <row r="13">
      <c r="B13" s="240" t="inlineStr">
        <is>
          <t>Эксплуатация машин прочих</t>
        </is>
      </c>
      <c r="C13" s="296">
        <f>'Прил.5 Расчет СМР и ОБ'!J34</f>
        <v/>
      </c>
      <c r="D13" s="217">
        <f>C13/$C$24</f>
        <v/>
      </c>
      <c r="E13" s="217">
        <f>C13/$C$40</f>
        <v/>
      </c>
    </row>
    <row r="14">
      <c r="B14" s="240" t="inlineStr">
        <is>
          <t>ЭКСПЛУАТАЦИЯ МАШИН, ВСЕГО:</t>
        </is>
      </c>
      <c r="C14" s="296">
        <f>C13+C12</f>
        <v/>
      </c>
      <c r="D14" s="217">
        <f>C14/$C$24</f>
        <v/>
      </c>
      <c r="E14" s="217">
        <f>C14/$C$40</f>
        <v/>
      </c>
    </row>
    <row r="15">
      <c r="B15" s="240" t="inlineStr">
        <is>
          <t>в том числе зарплата машинистов</t>
        </is>
      </c>
      <c r="C15" s="29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40" t="inlineStr">
        <is>
          <t>Материалы основные</t>
        </is>
      </c>
      <c r="C16" s="296">
        <f>'Прил.5 Расчет СМР и ОБ'!J45</f>
        <v/>
      </c>
      <c r="D16" s="217">
        <f>C16/$C$24</f>
        <v/>
      </c>
      <c r="E16" s="217">
        <f>C16/$C$40</f>
        <v/>
      </c>
    </row>
    <row r="17">
      <c r="B17" s="240" t="inlineStr">
        <is>
          <t>Материалы прочие</t>
        </is>
      </c>
      <c r="C17" s="296">
        <f>'Прил.5 Расчет СМР и ОБ'!J65</f>
        <v/>
      </c>
      <c r="D17" s="217">
        <f>C17/$C$24</f>
        <v/>
      </c>
      <c r="E17" s="217">
        <f>C17/$C$40</f>
        <v/>
      </c>
      <c r="G17" s="456" t="n"/>
    </row>
    <row r="18">
      <c r="B18" s="240" t="inlineStr">
        <is>
          <t>МАТЕРИАЛЫ, ВСЕГО:</t>
        </is>
      </c>
      <c r="C18" s="296">
        <f>C17+C16</f>
        <v/>
      </c>
      <c r="D18" s="217">
        <f>C18/$C$24</f>
        <v/>
      </c>
      <c r="E18" s="217">
        <f>C18/$C$40</f>
        <v/>
      </c>
    </row>
    <row r="19">
      <c r="B19" s="240" t="inlineStr">
        <is>
          <t>ИТОГО</t>
        </is>
      </c>
      <c r="C19" s="296">
        <f>C18+C14+C11</f>
        <v/>
      </c>
      <c r="D19" s="217" t="n"/>
      <c r="E19" s="240" t="n"/>
    </row>
    <row r="20">
      <c r="B20" s="240" t="inlineStr">
        <is>
          <t>Сметная прибыль, руб.</t>
        </is>
      </c>
      <c r="C20" s="296">
        <f>ROUND(C21*(C11+C15),2)</f>
        <v/>
      </c>
      <c r="D20" s="217">
        <f>C20/$C$24</f>
        <v/>
      </c>
      <c r="E20" s="217">
        <f>C20/$C$40</f>
        <v/>
      </c>
    </row>
    <row r="21">
      <c r="B21" s="240" t="inlineStr">
        <is>
          <t>Сметная прибыль, %</t>
        </is>
      </c>
      <c r="C21" s="220">
        <f>'Прил.5 Расчет СМР и ОБ'!D69</f>
        <v/>
      </c>
      <c r="D21" s="217" t="n"/>
      <c r="E21" s="240" t="n"/>
    </row>
    <row r="22">
      <c r="B22" s="240" t="inlineStr">
        <is>
          <t>Накладные расходы, руб.</t>
        </is>
      </c>
      <c r="C22" s="296">
        <f>ROUND(C23*(C11+C15),2)</f>
        <v/>
      </c>
      <c r="D22" s="217">
        <f>C22/$C$24</f>
        <v/>
      </c>
      <c r="E22" s="217">
        <f>C22/$C$40</f>
        <v/>
      </c>
    </row>
    <row r="23">
      <c r="B23" s="240" t="inlineStr">
        <is>
          <t>Накладные расходы, %</t>
        </is>
      </c>
      <c r="C23" s="220">
        <f>'Прил.5 Расчет СМР и ОБ'!D68</f>
        <v/>
      </c>
      <c r="D23" s="217" t="n"/>
      <c r="E23" s="240" t="n"/>
    </row>
    <row r="24">
      <c r="B24" s="240" t="inlineStr">
        <is>
          <t>ВСЕГО СМР с НР и СП</t>
        </is>
      </c>
      <c r="C24" s="296">
        <f>C19+C20+C22</f>
        <v/>
      </c>
      <c r="D24" s="217">
        <f>C24/$C$24</f>
        <v/>
      </c>
      <c r="E24" s="217">
        <f>C24/$C$40</f>
        <v/>
      </c>
    </row>
    <row r="25" ht="25.5" customHeight="1" s="319">
      <c r="B25" s="240" t="inlineStr">
        <is>
          <t>ВСЕГО стоимость оборудования, в том числе</t>
        </is>
      </c>
      <c r="C25" s="296">
        <f>'Прил.5 Расчет СМР и ОБ'!J40</f>
        <v/>
      </c>
      <c r="D25" s="217" t="n"/>
      <c r="E25" s="217">
        <f>C25/$C$40</f>
        <v/>
      </c>
    </row>
    <row r="26" ht="25.5" customHeight="1" s="319">
      <c r="B26" s="240" t="inlineStr">
        <is>
          <t>стоимость оборудования технологического</t>
        </is>
      </c>
      <c r="C26" s="296">
        <f>'Прил.5 Расчет СМР и ОБ'!J41</f>
        <v/>
      </c>
      <c r="D26" s="217" t="n"/>
      <c r="E26" s="217">
        <f>C26/$C$40</f>
        <v/>
      </c>
    </row>
    <row r="27">
      <c r="B27" s="240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319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18" t="n"/>
    </row>
    <row r="29" ht="25.5" customHeight="1" s="319">
      <c r="B29" s="240" t="inlineStr">
        <is>
          <t>Временные здания и сооружения - 3,9%</t>
        </is>
      </c>
      <c r="C29" s="219">
        <f>ROUND(C24*3.9%,2)</f>
        <v/>
      </c>
      <c r="D29" s="240" t="n"/>
      <c r="E29" s="217">
        <f>C29/$C$40</f>
        <v/>
      </c>
    </row>
    <row r="30" ht="38.25" customHeight="1" s="319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40" t="n"/>
      <c r="E30" s="217">
        <f>C30/$C$40</f>
        <v/>
      </c>
      <c r="F30" s="218" t="n"/>
    </row>
    <row r="31">
      <c r="B31" s="240" t="inlineStr">
        <is>
          <t>Пусконаладочные работы</t>
        </is>
      </c>
      <c r="C31" s="219" t="n">
        <v>0</v>
      </c>
      <c r="D31" s="240" t="n"/>
      <c r="E31" s="217">
        <f>C31/$C$40</f>
        <v/>
      </c>
    </row>
    <row r="32" ht="25.5" customHeight="1" s="319">
      <c r="B32" s="240" t="inlineStr">
        <is>
          <t>Затраты по перевозке работников к месту работы и обратно</t>
        </is>
      </c>
      <c r="C32" s="219">
        <f>ROUND(C27*0%,2)</f>
        <v/>
      </c>
      <c r="D32" s="240" t="n"/>
      <c r="E32" s="217">
        <f>C32/$C$40</f>
        <v/>
      </c>
    </row>
    <row r="33" ht="25.5" customHeight="1" s="319">
      <c r="B33" s="240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40" t="n"/>
      <c r="E33" s="217">
        <f>C33/$C$40</f>
        <v/>
      </c>
    </row>
    <row r="34" ht="51" customHeight="1" s="319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40" t="n"/>
      <c r="E34" s="217">
        <f>C34/$C$40</f>
        <v/>
      </c>
      <c r="H34" s="229" t="n"/>
    </row>
    <row r="35" ht="76.5" customHeight="1" s="319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40" t="n"/>
      <c r="E35" s="217">
        <f>C35/$C$40</f>
        <v/>
      </c>
    </row>
    <row r="36" ht="25.5" customHeight="1" s="319">
      <c r="B36" s="240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40" t="n"/>
      <c r="E36" s="217">
        <f>C36/$C$40</f>
        <v/>
      </c>
      <c r="L36" s="218" t="n"/>
    </row>
    <row r="37">
      <c r="B37" s="240" t="inlineStr">
        <is>
          <t>Авторский надзор - 0,2%</t>
        </is>
      </c>
      <c r="C37" s="219">
        <f>ROUND((C27+C32+C33+C34+C35+C29+C31+C30)*0.2%,2)</f>
        <v/>
      </c>
      <c r="D37" s="240" t="n"/>
      <c r="E37" s="217">
        <f>C37/$C$40</f>
        <v/>
      </c>
      <c r="L37" s="218" t="n"/>
    </row>
    <row r="38" ht="38.25" customHeight="1" s="319">
      <c r="B38" s="240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40" t="n"/>
      <c r="E38" s="217">
        <f>C38/$C$40</f>
        <v/>
      </c>
    </row>
    <row r="39" ht="13.5" customHeight="1" s="319">
      <c r="B39" s="240" t="inlineStr">
        <is>
          <t>Непредвиденные расходы</t>
        </is>
      </c>
      <c r="C39" s="296">
        <f>ROUND(C38*3%,2)</f>
        <v/>
      </c>
      <c r="D39" s="240" t="n"/>
      <c r="E39" s="217">
        <f>C39/$C$38</f>
        <v/>
      </c>
    </row>
    <row r="40">
      <c r="B40" s="240" t="inlineStr">
        <is>
          <t>ВСЕГО:</t>
        </is>
      </c>
      <c r="C40" s="296">
        <f>C39+C38</f>
        <v/>
      </c>
      <c r="D40" s="240" t="n"/>
      <c r="E40" s="217">
        <f>C40/$C$40</f>
        <v/>
      </c>
    </row>
    <row r="41">
      <c r="B41" s="240" t="inlineStr">
        <is>
          <t>ИТОГО ПОКАЗАТЕЛЬ НА ЕД. ИЗМ.</t>
        </is>
      </c>
      <c r="C41" s="296">
        <f>C40/'Прил.5 Расчет СМР и ОБ'!E72</f>
        <v/>
      </c>
      <c r="D41" s="240" t="n"/>
      <c r="E41" s="240" t="n"/>
      <c r="G41" s="218" t="n"/>
    </row>
    <row r="42">
      <c r="B42" s="298" t="n"/>
      <c r="C42" s="294" t="n"/>
      <c r="D42" s="294" t="n"/>
      <c r="E42" s="294" t="n"/>
      <c r="G42" s="218" t="n"/>
    </row>
    <row r="43">
      <c r="B43" s="298" t="inlineStr">
        <is>
          <t>Составил ____________________________ Д.Ю. Нефедова</t>
        </is>
      </c>
      <c r="C43" s="294" t="n"/>
      <c r="D43" s="294" t="n"/>
      <c r="E43" s="294" t="n"/>
      <c r="G43" s="229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4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34" workbookViewId="0">
      <selection activeCell="D74" sqref="D7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5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294">
      <c r="A4" s="336" t="inlineStr">
        <is>
          <t>Расчет стоимости СМР и оборудования</t>
        </is>
      </c>
    </row>
    <row r="5" ht="12.75" customFormat="1" customHeight="1" s="294">
      <c r="A5" s="336" t="n"/>
      <c r="B5" s="336" t="n"/>
      <c r="C5" s="391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94">
      <c r="A6" s="190" t="inlineStr">
        <is>
          <t>Наименование разрабатываемого показателя УНЦ</t>
        </is>
      </c>
      <c r="B6" s="189" t="n"/>
      <c r="C6" s="189" t="n"/>
      <c r="D6" s="371" t="inlineStr">
        <is>
          <t>Устройство траншеи КЛ 330-500 кВ 2ц (Москва, Санкт-Петербург)</t>
        </is>
      </c>
    </row>
    <row r="7" ht="12.75" customFormat="1" customHeight="1" s="294">
      <c r="A7" s="339" t="inlineStr">
        <is>
          <t>Единица измерения  — 1 км.</t>
        </is>
      </c>
      <c r="I7" s="345" t="n"/>
      <c r="J7" s="345" t="n"/>
    </row>
    <row r="8" ht="13.5" customFormat="1" customHeight="1" s="294">
      <c r="A8" s="339" t="n"/>
    </row>
    <row r="9" ht="13.15" customFormat="1" customHeight="1" s="294"/>
    <row r="10" ht="27" customHeight="1" s="319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9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9" t="n"/>
      <c r="K10" s="304" t="n"/>
      <c r="L10" s="304" t="n"/>
      <c r="M10" s="304" t="n"/>
      <c r="N10" s="304" t="n"/>
    </row>
    <row r="11" ht="28.5" customHeight="1" s="319">
      <c r="A11" s="451" t="n"/>
      <c r="B11" s="451" t="n"/>
      <c r="C11" s="451" t="n"/>
      <c r="D11" s="451" t="n"/>
      <c r="E11" s="451" t="n"/>
      <c r="F11" s="368" t="inlineStr">
        <is>
          <t>на ед. изм.</t>
        </is>
      </c>
      <c r="G11" s="368" t="inlineStr">
        <is>
          <t>общая</t>
        </is>
      </c>
      <c r="H11" s="451" t="n"/>
      <c r="I11" s="368" t="inlineStr">
        <is>
          <t>на ед. изм.</t>
        </is>
      </c>
      <c r="J11" s="368" t="inlineStr">
        <is>
          <t>общая</t>
        </is>
      </c>
      <c r="K11" s="304" t="n"/>
      <c r="L11" s="304" t="n"/>
      <c r="M11" s="304" t="n"/>
      <c r="N11" s="304" t="n"/>
    </row>
    <row r="12" s="319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4" t="n"/>
      <c r="L12" s="304" t="n"/>
      <c r="M12" s="304" t="n"/>
      <c r="N12" s="304" t="n"/>
    </row>
    <row r="13">
      <c r="A13" s="368" t="n"/>
      <c r="B13" s="355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81" t="n"/>
      <c r="J13" s="281" t="n"/>
    </row>
    <row r="14" ht="25.5" customHeight="1" s="319">
      <c r="A14" s="368" t="n">
        <v>1</v>
      </c>
      <c r="B14" s="271" t="inlineStr">
        <is>
          <t>1-2-8</t>
        </is>
      </c>
      <c r="C14" s="376" t="inlineStr">
        <is>
          <t>Затраты труда рабочих-строителей среднего разряда (2,8)</t>
        </is>
      </c>
      <c r="D14" s="368" t="inlineStr">
        <is>
          <t>чел.-ч.</t>
        </is>
      </c>
      <c r="E14" s="457">
        <f>G14/F14</f>
        <v/>
      </c>
      <c r="F14" s="245" t="n">
        <v>8.380000000000001</v>
      </c>
      <c r="G14" s="245">
        <f>'Прил. 3'!H11</f>
        <v/>
      </c>
      <c r="H14" s="188">
        <f>G14/G15</f>
        <v/>
      </c>
      <c r="I14" s="245">
        <f>ФОТр.тек.!E13</f>
        <v/>
      </c>
      <c r="J14" s="245">
        <f>ROUND(I14*E14,2)</f>
        <v/>
      </c>
    </row>
    <row r="15" ht="25.5" customFormat="1" customHeight="1" s="304">
      <c r="A15" s="368" t="n"/>
      <c r="B15" s="368" t="n"/>
      <c r="C15" s="355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7">
        <f>SUM(E14)</f>
        <v/>
      </c>
      <c r="F15" s="245" t="n"/>
      <c r="G15" s="245">
        <f>SUM(G14:G14)</f>
        <v/>
      </c>
      <c r="H15" s="379" t="n">
        <v>1</v>
      </c>
      <c r="I15" s="281" t="n"/>
      <c r="J15" s="245">
        <f>SUM(J14:J14)</f>
        <v/>
      </c>
    </row>
    <row r="16" ht="14.25" customFormat="1" customHeight="1" s="304">
      <c r="A16" s="368" t="n"/>
      <c r="B16" s="376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81" t="n"/>
      <c r="J16" s="281" t="n"/>
    </row>
    <row r="17" ht="14.25" customFormat="1" customHeight="1" s="304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7">
        <f>10061.54+21826.58</f>
        <v/>
      </c>
      <c r="F17" s="245">
        <f>G17/E17</f>
        <v/>
      </c>
      <c r="G17" s="245">
        <f>'Прил. 3'!H20</f>
        <v/>
      </c>
      <c r="H17" s="379" t="n">
        <v>1</v>
      </c>
      <c r="I17" s="245">
        <f>ROUND(F17*'Прил. 10'!D11,2)</f>
        <v/>
      </c>
      <c r="J17" s="245">
        <f>ROUND(I17*E17,2)</f>
        <v/>
      </c>
    </row>
    <row r="18" ht="14.25" customFormat="1" customHeight="1" s="304">
      <c r="A18" s="368" t="n"/>
      <c r="B18" s="355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1" t="n"/>
      <c r="J18" s="281" t="n"/>
    </row>
    <row r="19" ht="14.25" customFormat="1" customHeight="1" s="304">
      <c r="A19" s="368" t="n"/>
      <c r="B19" s="376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81" t="n"/>
      <c r="J19" s="281" t="n"/>
    </row>
    <row r="20" ht="25.5" customFormat="1" customHeight="1" s="304">
      <c r="A20" s="368" t="n">
        <v>3</v>
      </c>
      <c r="B20" s="271" t="inlineStr">
        <is>
          <t>91.14.03-002</t>
        </is>
      </c>
      <c r="C20" s="376" t="inlineStr">
        <is>
          <t>Автомобили-самосвалы, грузоподъемность до 10 т</t>
        </is>
      </c>
      <c r="D20" s="368" t="inlineStr">
        <is>
          <t>маш.-ч</t>
        </is>
      </c>
      <c r="E20" s="457" t="n">
        <v>21826.58</v>
      </c>
      <c r="F20" s="378" t="n">
        <v>87.48999999999999</v>
      </c>
      <c r="G20" s="245">
        <f>ROUND(E20*F20,2)</f>
        <v/>
      </c>
      <c r="H20" s="188">
        <f>G20/$G$35</f>
        <v/>
      </c>
      <c r="I20" s="245">
        <f>ROUND(F20*'Прил. 10'!$D$12,2)</f>
        <v/>
      </c>
      <c r="J20" s="245">
        <f>ROUND(I20*E20,2)</f>
        <v/>
      </c>
    </row>
    <row r="21" ht="25.5" customFormat="1" customHeight="1" s="304">
      <c r="A21" s="368" t="n">
        <v>4</v>
      </c>
      <c r="B21" s="271" t="inlineStr">
        <is>
          <t>91.01.05-086</t>
        </is>
      </c>
      <c r="C21" s="376" t="inlineStr">
        <is>
          <t>Экскаваторы одноковшовые дизельные на гусеничном ходу, емкость ковша 0,65 м3</t>
        </is>
      </c>
      <c r="D21" s="368" t="inlineStr">
        <is>
          <t>маш.-ч</t>
        </is>
      </c>
      <c r="E21" s="457" t="n">
        <v>3756.29</v>
      </c>
      <c r="F21" s="378" t="n">
        <v>115.27</v>
      </c>
      <c r="G21" s="245">
        <f>ROUND(E21*F21,2)</f>
        <v/>
      </c>
      <c r="H21" s="188">
        <f>G21/$G$35</f>
        <v/>
      </c>
      <c r="I21" s="245">
        <f>ROUND(F21*'Прил. 10'!$D$12,2)</f>
        <v/>
      </c>
      <c r="J21" s="245">
        <f>ROUND(I21*E21,2)</f>
        <v/>
      </c>
    </row>
    <row r="22" ht="51" customFormat="1" customHeight="1" s="304">
      <c r="A22" s="368" t="n">
        <v>5</v>
      </c>
      <c r="B22" s="271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8" t="inlineStr">
        <is>
          <t>маш.-ч</t>
        </is>
      </c>
      <c r="E22" s="457" t="n">
        <v>2301.64</v>
      </c>
      <c r="F22" s="378" t="n">
        <v>90</v>
      </c>
      <c r="G22" s="245">
        <f>ROUND(E22*F22,2)</f>
        <v/>
      </c>
      <c r="H22" s="188">
        <f>G22/$G$35</f>
        <v/>
      </c>
      <c r="I22" s="245">
        <f>ROUND(F22*'Прил. 10'!$D$12,2)</f>
        <v/>
      </c>
      <c r="J22" s="245">
        <f>ROUND(I22*E22,2)</f>
        <v/>
      </c>
    </row>
    <row r="23" ht="14.25" customFormat="1" customHeight="1" s="304">
      <c r="A23" s="368" t="n"/>
      <c r="B23" s="368" t="n"/>
      <c r="C23" s="376" t="inlineStr">
        <is>
          <t>Итого основные машины и механизмы</t>
        </is>
      </c>
      <c r="D23" s="368" t="n"/>
      <c r="E23" s="457" t="n"/>
      <c r="F23" s="245" t="n"/>
      <c r="G23" s="245">
        <f>SUM(G20:G22)</f>
        <v/>
      </c>
      <c r="H23" s="379">
        <f>G23/G35</f>
        <v/>
      </c>
      <c r="I23" s="282" t="n"/>
      <c r="J23" s="245">
        <f>SUM(J20:J22)</f>
        <v/>
      </c>
    </row>
    <row r="24" hidden="1" outlineLevel="1" ht="14.25" customFormat="1" customHeight="1" s="304">
      <c r="A24" s="368" t="n">
        <v>6</v>
      </c>
      <c r="B24" s="271" t="inlineStr">
        <is>
          <t>91.01.01-035</t>
        </is>
      </c>
      <c r="C24" s="376" t="inlineStr">
        <is>
          <t>Бульдозеры, мощность 79 кВт (108 л.с.)</t>
        </is>
      </c>
      <c r="D24" s="368" t="inlineStr">
        <is>
          <t>маш.-ч</t>
        </is>
      </c>
      <c r="E24" s="457" t="n">
        <v>1493.38</v>
      </c>
      <c r="F24" s="378" t="n">
        <v>79.06999999999999</v>
      </c>
      <c r="G24" s="245">
        <f>ROUND(E24*F24,2)</f>
        <v/>
      </c>
      <c r="H24" s="188">
        <f>G24/$G$35</f>
        <v/>
      </c>
      <c r="I24" s="245">
        <f>ROUND(F24*'Прил. 10'!$D$12,2)</f>
        <v/>
      </c>
      <c r="J24" s="245">
        <f>ROUND(I24*E24,2)</f>
        <v/>
      </c>
    </row>
    <row r="25" hidden="1" outlineLevel="1" ht="14.25" customFormat="1" customHeight="1" s="304">
      <c r="A25" s="368" t="n">
        <v>7</v>
      </c>
      <c r="B25" s="271" t="inlineStr">
        <is>
          <t>91.01.01-034</t>
        </is>
      </c>
      <c r="C25" s="376" t="inlineStr">
        <is>
          <t>Бульдозеры, мощность 59 кВт (80 л.с.)</t>
        </is>
      </c>
      <c r="D25" s="368" t="inlineStr">
        <is>
          <t>маш.-ч</t>
        </is>
      </c>
      <c r="E25" s="457" t="n">
        <v>1378.68</v>
      </c>
      <c r="F25" s="378" t="n">
        <v>59.47</v>
      </c>
      <c r="G25" s="245">
        <f>ROUND(E25*F25,2)</f>
        <v/>
      </c>
      <c r="H25" s="188">
        <f>G25/$G$35</f>
        <v/>
      </c>
      <c r="I25" s="245">
        <f>ROUND(F25*'Прил. 10'!$D$12,2)</f>
        <v/>
      </c>
      <c r="J25" s="245">
        <f>ROUND(I25*E25,2)</f>
        <v/>
      </c>
    </row>
    <row r="26" hidden="1" outlineLevel="1" ht="25.5" customFormat="1" customHeight="1" s="304">
      <c r="A26" s="368" t="n">
        <v>8</v>
      </c>
      <c r="B26" s="271" t="inlineStr">
        <is>
          <t>91.14.02-001</t>
        </is>
      </c>
      <c r="C26" s="376" t="inlineStr">
        <is>
          <t>Автомобили бортовые, грузоподъемность: до 5 т</t>
        </is>
      </c>
      <c r="D26" s="368" t="inlineStr">
        <is>
          <t>маш.час</t>
        </is>
      </c>
      <c r="E26" s="457" t="n">
        <v>794.08</v>
      </c>
      <c r="F26" s="378" t="n">
        <v>65.70999999999999</v>
      </c>
      <c r="G26" s="245">
        <f>ROUND(E26*F26,2)</f>
        <v/>
      </c>
      <c r="H26" s="188">
        <f>G26/$G$35</f>
        <v/>
      </c>
      <c r="I26" s="245">
        <f>ROUND(F26*'Прил. 10'!$D$12,2)</f>
        <v/>
      </c>
      <c r="J26" s="245">
        <f>ROUND(I26*E26,2)</f>
        <v/>
      </c>
    </row>
    <row r="27" hidden="1" outlineLevel="1" ht="25.5" customFormat="1" customHeight="1" s="304">
      <c r="A27" s="368" t="n">
        <v>9</v>
      </c>
      <c r="B27" s="271" t="inlineStr">
        <is>
          <t>91.05.05-014</t>
        </is>
      </c>
      <c r="C27" s="376" t="inlineStr">
        <is>
          <t>Краны на автомобильном ходу, грузоподъемность 10 т</t>
        </is>
      </c>
      <c r="D27" s="368" t="inlineStr">
        <is>
          <t>маш.час</t>
        </is>
      </c>
      <c r="E27" s="457" t="n">
        <v>330.68</v>
      </c>
      <c r="F27" s="378" t="n">
        <v>111.99</v>
      </c>
      <c r="G27" s="245">
        <f>ROUND(E27*F27,2)</f>
        <v/>
      </c>
      <c r="H27" s="188">
        <f>G27/$G$35</f>
        <v/>
      </c>
      <c r="I27" s="245">
        <f>ROUND(F27*'Прил. 10'!$D$12,2)</f>
        <v/>
      </c>
      <c r="J27" s="245">
        <f>ROUND(I27*E27,2)</f>
        <v/>
      </c>
    </row>
    <row r="28" hidden="1" outlineLevel="1" ht="25.5" customFormat="1" customHeight="1" s="304">
      <c r="A28" s="368" t="n">
        <v>10</v>
      </c>
      <c r="B28" s="271" t="inlineStr">
        <is>
          <t>91.08.09-023</t>
        </is>
      </c>
      <c r="C28" s="376" t="inlineStr">
        <is>
          <t>Трамбовки пневматические при работе от: передвижных компрессорных станций</t>
        </is>
      </c>
      <c r="D28" s="368" t="inlineStr">
        <is>
          <t>маш.час</t>
        </is>
      </c>
      <c r="E28" s="457" t="n">
        <v>9221.700000000001</v>
      </c>
      <c r="F28" s="378" t="n">
        <v>0.55</v>
      </c>
      <c r="G28" s="245">
        <f>ROUND(E28*F28,2)</f>
        <v/>
      </c>
      <c r="H28" s="188">
        <f>G28/$G$35</f>
        <v/>
      </c>
      <c r="I28" s="245">
        <f>ROUND(F28*'Прил. 10'!$D$12,2)</f>
        <v/>
      </c>
      <c r="J28" s="245">
        <f>ROUND(I28*E28,2)</f>
        <v/>
      </c>
    </row>
    <row r="29" hidden="1" outlineLevel="1" ht="25.5" customFormat="1" customHeight="1" s="304">
      <c r="A29" s="368" t="n">
        <v>11</v>
      </c>
      <c r="B29" s="271" t="inlineStr">
        <is>
          <t>91.14.03-001</t>
        </is>
      </c>
      <c r="C29" s="376" t="inlineStr">
        <is>
          <t>Автомобиль-самосвал, грузоподъемность: до 7 т</t>
        </is>
      </c>
      <c r="D29" s="368" t="inlineStr">
        <is>
          <t>маш.час</t>
        </is>
      </c>
      <c r="E29" s="457" t="n">
        <v>6.59</v>
      </c>
      <c r="F29" s="378" t="n">
        <v>89.54000000000001</v>
      </c>
      <c r="G29" s="245">
        <f>ROUND(E29*F29,2)</f>
        <v/>
      </c>
      <c r="H29" s="188">
        <f>G29/$G$35</f>
        <v/>
      </c>
      <c r="I29" s="245">
        <f>ROUND(F29*'Прил. 10'!$D$12,2)</f>
        <v/>
      </c>
      <c r="J29" s="245">
        <f>ROUND(I29*E29,2)</f>
        <v/>
      </c>
    </row>
    <row r="30" hidden="1" outlineLevel="1" ht="14.25" customFormat="1" customHeight="1" s="304">
      <c r="A30" s="368" t="n">
        <v>12</v>
      </c>
      <c r="B30" s="271" t="inlineStr">
        <is>
          <t>91.21.22-341</t>
        </is>
      </c>
      <c r="C30" s="376" t="inlineStr">
        <is>
          <t>Рефлектометр</t>
        </is>
      </c>
      <c r="D30" s="368" t="inlineStr">
        <is>
          <t>маш.час</t>
        </is>
      </c>
      <c r="E30" s="457" t="n">
        <v>28.92</v>
      </c>
      <c r="F30" s="378" t="n">
        <v>10.62</v>
      </c>
      <c r="G30" s="245">
        <f>ROUND(E30*F30,2)</f>
        <v/>
      </c>
      <c r="H30" s="188">
        <f>G30/$G$35</f>
        <v/>
      </c>
      <c r="I30" s="245">
        <f>ROUND(F30*'Прил. 10'!$D$12,2)</f>
        <v/>
      </c>
      <c r="J30" s="245">
        <f>ROUND(I30*E30,2)</f>
        <v/>
      </c>
    </row>
    <row r="31" hidden="1" outlineLevel="1" ht="25.5" customFormat="1" customHeight="1" s="304">
      <c r="A31" s="368" t="n">
        <v>13</v>
      </c>
      <c r="B31" s="271" t="inlineStr">
        <is>
          <t>91.17.04-194</t>
        </is>
      </c>
      <c r="C31" s="376" t="inlineStr">
        <is>
          <t>Сварочный аппарат для сварки оптических кабелей со скалывателем</t>
        </is>
      </c>
      <c r="D31" s="368" t="inlineStr">
        <is>
          <t>маш.час</t>
        </is>
      </c>
      <c r="E31" s="457" t="n">
        <v>13.08</v>
      </c>
      <c r="F31" s="378" t="n">
        <v>12.14</v>
      </c>
      <c r="G31" s="245">
        <f>ROUND(E31*F31,2)</f>
        <v/>
      </c>
      <c r="H31" s="188">
        <f>G31/$G$35</f>
        <v/>
      </c>
      <c r="I31" s="245">
        <f>ROUND(F31*'Прил. 10'!$D$12,2)</f>
        <v/>
      </c>
      <c r="J31" s="245">
        <f>ROUND(I31*E31,2)</f>
        <v/>
      </c>
    </row>
    <row r="32" hidden="1" outlineLevel="1" ht="25.5" customFormat="1" customHeight="1" s="304">
      <c r="A32" s="368" t="n">
        <v>14</v>
      </c>
      <c r="B32" s="271" t="inlineStr">
        <is>
          <t>91.17.04-233</t>
        </is>
      </c>
      <c r="C32" s="376" t="inlineStr">
        <is>
          <t>Установки для сварки: ручной дуговой (постоянного тока)</t>
        </is>
      </c>
      <c r="D32" s="368" t="inlineStr">
        <is>
          <t>маш.час</t>
        </is>
      </c>
      <c r="E32" s="457" t="n">
        <v>6.18</v>
      </c>
      <c r="F32" s="378" t="n">
        <v>8.1</v>
      </c>
      <c r="G32" s="245">
        <f>ROUND(E32*F32,2)</f>
        <v/>
      </c>
      <c r="H32" s="188">
        <f>G32/$G$35</f>
        <v/>
      </c>
      <c r="I32" s="245">
        <f>ROUND(F32*'Прил. 10'!$D$12,2)</f>
        <v/>
      </c>
      <c r="J32" s="245">
        <f>ROUND(I32*E32,2)</f>
        <v/>
      </c>
    </row>
    <row r="33" hidden="1" outlineLevel="1" ht="14.25" customFormat="1" customHeight="1" s="304">
      <c r="A33" s="368" t="n">
        <v>15</v>
      </c>
      <c r="B33" s="271" t="inlineStr">
        <is>
          <t>91.13.01-038</t>
        </is>
      </c>
      <c r="C33" s="376" t="inlineStr">
        <is>
          <t>Машины поливомоечные 6000 л</t>
        </is>
      </c>
      <c r="D33" s="368" t="inlineStr">
        <is>
          <t>маш.час</t>
        </is>
      </c>
      <c r="E33" s="457" t="n">
        <v>0.2</v>
      </c>
      <c r="F33" s="378" t="n">
        <v>110</v>
      </c>
      <c r="G33" s="245">
        <f>ROUND(E33*F33,2)</f>
        <v/>
      </c>
      <c r="H33" s="188">
        <f>G33/$G$35</f>
        <v/>
      </c>
      <c r="I33" s="245">
        <f>ROUND(F33*'Прил. 10'!$D$12,2)</f>
        <v/>
      </c>
      <c r="J33" s="245">
        <f>ROUND(I33*E33,2)</f>
        <v/>
      </c>
    </row>
    <row r="34" collapsed="1" ht="14.25" customFormat="1" customHeight="1" s="304">
      <c r="A34" s="368" t="n"/>
      <c r="B34" s="368" t="n"/>
      <c r="C34" s="376" t="inlineStr">
        <is>
          <t>Итого прочие машины и механизмы</t>
        </is>
      </c>
      <c r="D34" s="368" t="n"/>
      <c r="E34" s="377" t="n"/>
      <c r="F34" s="245" t="n"/>
      <c r="G34" s="282">
        <f>SUM(G24:G33)</f>
        <v/>
      </c>
      <c r="H34" s="188">
        <f>G34/G35</f>
        <v/>
      </c>
      <c r="I34" s="245" t="n"/>
      <c r="J34" s="245">
        <f>SUM(J24:J33)</f>
        <v/>
      </c>
    </row>
    <row r="35" ht="25.5" customFormat="1" customHeight="1" s="304">
      <c r="A35" s="368" t="n"/>
      <c r="B35" s="368" t="n"/>
      <c r="C35" s="355" t="inlineStr">
        <is>
          <t>Итого по разделу «Машины и механизмы»</t>
        </is>
      </c>
      <c r="D35" s="368" t="n"/>
      <c r="E35" s="377" t="n"/>
      <c r="F35" s="245" t="n"/>
      <c r="G35" s="245">
        <f>G34+G23</f>
        <v/>
      </c>
      <c r="H35" s="278" t="n">
        <v>1</v>
      </c>
      <c r="I35" s="279" t="n"/>
      <c r="J35" s="280">
        <f>J34+J23</f>
        <v/>
      </c>
    </row>
    <row r="36" ht="14.25" customFormat="1" customHeight="1" s="304">
      <c r="A36" s="368" t="n"/>
      <c r="B36" s="355" t="inlineStr">
        <is>
          <t>Оборудование</t>
        </is>
      </c>
      <c r="C36" s="448" t="n"/>
      <c r="D36" s="448" t="n"/>
      <c r="E36" s="448" t="n"/>
      <c r="F36" s="448" t="n"/>
      <c r="G36" s="448" t="n"/>
      <c r="H36" s="449" t="n"/>
      <c r="I36" s="281" t="n"/>
      <c r="J36" s="281" t="n"/>
    </row>
    <row r="37">
      <c r="A37" s="368" t="n"/>
      <c r="B37" s="376" t="inlineStr">
        <is>
          <t>Основное оборудование</t>
        </is>
      </c>
      <c r="C37" s="448" t="n"/>
      <c r="D37" s="448" t="n"/>
      <c r="E37" s="448" t="n"/>
      <c r="F37" s="448" t="n"/>
      <c r="G37" s="448" t="n"/>
      <c r="H37" s="449" t="n"/>
      <c r="I37" s="281" t="n"/>
      <c r="J37" s="281" t="n"/>
      <c r="K37" s="304" t="n"/>
      <c r="L37" s="304" t="n"/>
    </row>
    <row r="38">
      <c r="A38" s="368" t="n"/>
      <c r="B38" s="368" t="n"/>
      <c r="C38" s="376" t="inlineStr">
        <is>
          <t>Итого основное оборудование</t>
        </is>
      </c>
      <c r="D38" s="368" t="n"/>
      <c r="E38" s="458" t="n"/>
      <c r="F38" s="378" t="n"/>
      <c r="G38" s="245" t="n">
        <v>0</v>
      </c>
      <c r="H38" s="188" t="n">
        <v>0</v>
      </c>
      <c r="I38" s="282" t="n"/>
      <c r="J38" s="245" t="n">
        <v>0</v>
      </c>
      <c r="K38" s="304" t="n"/>
      <c r="L38" s="304" t="n"/>
    </row>
    <row r="39">
      <c r="A39" s="368" t="n"/>
      <c r="B39" s="368" t="n"/>
      <c r="C39" s="376" t="inlineStr">
        <is>
          <t>Итого прочее оборудование</t>
        </is>
      </c>
      <c r="D39" s="368" t="n"/>
      <c r="E39" s="457" t="n"/>
      <c r="F39" s="378" t="n"/>
      <c r="G39" s="245" t="n">
        <v>0</v>
      </c>
      <c r="H39" s="188" t="n">
        <v>0</v>
      </c>
      <c r="I39" s="282" t="n"/>
      <c r="J39" s="245" t="n">
        <v>0</v>
      </c>
      <c r="K39" s="304" t="n"/>
      <c r="L39" s="304" t="n"/>
    </row>
    <row r="40">
      <c r="A40" s="368" t="n"/>
      <c r="B40" s="368" t="n"/>
      <c r="C40" s="355" t="inlineStr">
        <is>
          <t>Итого по разделу «Оборудование»</t>
        </is>
      </c>
      <c r="D40" s="368" t="n"/>
      <c r="E40" s="377" t="n"/>
      <c r="F40" s="378" t="n"/>
      <c r="G40" s="245">
        <f>G38+G39</f>
        <v/>
      </c>
      <c r="H40" s="278" t="n">
        <v>0</v>
      </c>
      <c r="I40" s="282" t="n"/>
      <c r="J40" s="245">
        <f>J39+J38</f>
        <v/>
      </c>
      <c r="K40" s="304" t="n"/>
      <c r="L40" s="304" t="n"/>
    </row>
    <row r="41" ht="25.5" customHeight="1" s="319">
      <c r="A41" s="368" t="n"/>
      <c r="B41" s="368" t="n"/>
      <c r="C41" s="376" t="inlineStr">
        <is>
          <t>в том числе технологическое оборудование</t>
        </is>
      </c>
      <c r="D41" s="368" t="n"/>
      <c r="E41" s="458" t="n"/>
      <c r="F41" s="378" t="n"/>
      <c r="G41" s="245">
        <f>'Прил.6 Расчет ОБ'!G12</f>
        <v/>
      </c>
      <c r="H41" s="379" t="n"/>
      <c r="I41" s="282" t="n"/>
      <c r="J41" s="245">
        <f>J40</f>
        <v/>
      </c>
      <c r="K41" s="304" t="n"/>
      <c r="L41" s="304" t="n"/>
    </row>
    <row r="42" ht="14.25" customFormat="1" customHeight="1" s="304">
      <c r="A42" s="368" t="n"/>
      <c r="B42" s="355" t="inlineStr">
        <is>
          <t>Материалы</t>
        </is>
      </c>
      <c r="C42" s="448" t="n"/>
      <c r="D42" s="448" t="n"/>
      <c r="E42" s="448" t="n"/>
      <c r="F42" s="448" t="n"/>
      <c r="G42" s="448" t="n"/>
      <c r="H42" s="449" t="n"/>
      <c r="I42" s="281" t="n"/>
      <c r="J42" s="281" t="n"/>
    </row>
    <row r="43" ht="14.25" customFormat="1" customHeight="1" s="304">
      <c r="A43" s="369" t="n"/>
      <c r="B43" s="372" t="inlineStr">
        <is>
          <t>Основные материалы</t>
        </is>
      </c>
      <c r="C43" s="459" t="n"/>
      <c r="D43" s="459" t="n"/>
      <c r="E43" s="459" t="n"/>
      <c r="F43" s="459" t="n"/>
      <c r="G43" s="459" t="n"/>
      <c r="H43" s="460" t="n"/>
      <c r="I43" s="192" t="n"/>
      <c r="J43" s="192" t="n"/>
    </row>
    <row r="44" ht="38.25" customFormat="1" customHeight="1" s="304">
      <c r="A44" s="368" t="n">
        <v>16</v>
      </c>
      <c r="B44" s="368" t="inlineStr">
        <is>
          <t>05.1.01.12-0001</t>
        </is>
      </c>
      <c r="C44" s="376" t="inlineStr">
        <is>
          <t>Плита перекрытия лотков и каналов доборная П4-15, бетон В25 (М350), объем 0,04 м3, расход арматуры 1,3 кг</t>
        </is>
      </c>
      <c r="D44" s="368" t="inlineStr">
        <is>
          <t>шт.</t>
        </is>
      </c>
      <c r="E44" s="458" t="n">
        <v>173000</v>
      </c>
      <c r="F44" s="378" t="n">
        <v>156.83</v>
      </c>
      <c r="G44" s="245">
        <f>ROUND(E44*F44,2)</f>
        <v/>
      </c>
      <c r="H44" s="188">
        <f>G44/$G$66</f>
        <v/>
      </c>
      <c r="I44" s="245">
        <f>ROUND(F44*'Прил. 10'!$D$13,2)</f>
        <v/>
      </c>
      <c r="J44" s="245">
        <f>ROUND(I44*E44,2)</f>
        <v/>
      </c>
    </row>
    <row r="45" ht="14.25" customFormat="1" customHeight="1" s="304">
      <c r="A45" s="370" t="n"/>
      <c r="B45" s="194" t="n"/>
      <c r="C45" s="195" t="inlineStr">
        <is>
          <t>Итого основные материалы</t>
        </is>
      </c>
      <c r="D45" s="370" t="n"/>
      <c r="E45" s="461" t="n"/>
      <c r="F45" s="280" t="n"/>
      <c r="G45" s="280">
        <f>SUM(G44:G44)</f>
        <v/>
      </c>
      <c r="H45" s="188">
        <f>G45/$G$66</f>
        <v/>
      </c>
      <c r="I45" s="245" t="n"/>
      <c r="J45" s="280">
        <f>SUM(J44:J44)</f>
        <v/>
      </c>
    </row>
    <row r="46" ht="14.25" customFormat="1" customHeight="1" s="304">
      <c r="A46" s="368" t="n">
        <v>17</v>
      </c>
      <c r="B46" s="368" t="inlineStr">
        <is>
          <t>Прайс из СД ОП</t>
        </is>
      </c>
      <c r="C46" s="376" t="inlineStr">
        <is>
          <t>Маркер интеллектуальный 1422-xR/iD</t>
        </is>
      </c>
      <c r="D46" s="368" t="inlineStr">
        <is>
          <t>шт.</t>
        </is>
      </c>
      <c r="E46" s="458" t="n">
        <v>375</v>
      </c>
      <c r="F46" s="378" t="n">
        <v>673.64</v>
      </c>
      <c r="G46" s="245">
        <f>ROUND(E46*F46,2)</f>
        <v/>
      </c>
      <c r="H46" s="188">
        <f>G46/$G$66</f>
        <v/>
      </c>
      <c r="I46" s="245">
        <f>ROUND(F46*'Прил. 10'!$D$13,2)</f>
        <v/>
      </c>
      <c r="J46" s="245">
        <f>ROUND(I46*E46,2)</f>
        <v/>
      </c>
    </row>
    <row r="47" hidden="1" outlineLevel="1" ht="38.25" customFormat="1" customHeight="1" s="304">
      <c r="A47" s="368" t="n">
        <v>18</v>
      </c>
      <c r="B47" s="368" t="inlineStr">
        <is>
          <t>02.2.04.03-0014</t>
        </is>
      </c>
      <c r="C47" s="376" t="inlineStr">
        <is>
          <t>Смесь песчано-гравийная природная обогащенная с содержанием гравия: 50-65 %</t>
        </is>
      </c>
      <c r="D47" s="368" t="inlineStr">
        <is>
          <t>м3</t>
        </is>
      </c>
      <c r="E47" s="458" t="n">
        <v>28072</v>
      </c>
      <c r="F47" s="378" t="n">
        <v>82.8</v>
      </c>
      <c r="G47" s="245">
        <f>ROUND(E47*F47,2)</f>
        <v/>
      </c>
      <c r="H47" s="188">
        <f>G47/$G$66</f>
        <v/>
      </c>
      <c r="I47" s="245">
        <f>ROUND(F47*'Прил. 10'!$D$13,2)</f>
        <v/>
      </c>
      <c r="J47" s="245">
        <f>ROUND(I47*E47,2)</f>
        <v/>
      </c>
    </row>
    <row r="48" hidden="1" outlineLevel="1" ht="25.5" customFormat="1" customHeight="1" s="304">
      <c r="A48" s="368" t="n">
        <v>19</v>
      </c>
      <c r="B48" s="368" t="inlineStr">
        <is>
          <t>Прайс из СД ОП</t>
        </is>
      </c>
      <c r="C48" s="376" t="inlineStr">
        <is>
          <t>Ложемент для соединительных муфт с креплениями</t>
        </is>
      </c>
      <c r="D48" s="368" t="inlineStr">
        <is>
          <t>шт.</t>
        </is>
      </c>
      <c r="E48" s="458" t="n">
        <v>18</v>
      </c>
      <c r="F48" s="378" t="n">
        <v>9500</v>
      </c>
      <c r="G48" s="245">
        <f>ROUND(E48*F48,2)</f>
        <v/>
      </c>
      <c r="H48" s="188">
        <f>G48/$G$66</f>
        <v/>
      </c>
      <c r="I48" s="245">
        <f>ROUND(F48*'Прил. 10'!$D$13,2)</f>
        <v/>
      </c>
      <c r="J48" s="245">
        <f>ROUND(I48*E48,2)</f>
        <v/>
      </c>
    </row>
    <row r="49" hidden="1" outlineLevel="1" ht="25.5" customFormat="1" customHeight="1" s="304">
      <c r="A49" s="368" t="n">
        <v>20</v>
      </c>
      <c r="B49" s="368" t="inlineStr">
        <is>
          <t>02.3.01.02-0003</t>
        </is>
      </c>
      <c r="C49" s="376" t="inlineStr">
        <is>
          <t>Песок для строительных работ природный 50%; обогащенный 50%</t>
        </is>
      </c>
      <c r="D49" s="368" t="inlineStr">
        <is>
          <t>м3</t>
        </is>
      </c>
      <c r="E49" s="458" t="n">
        <v>793.3388</v>
      </c>
      <c r="F49" s="378" t="n">
        <v>54.95</v>
      </c>
      <c r="G49" s="245">
        <f>ROUND(E49*F49,2)</f>
        <v/>
      </c>
      <c r="H49" s="188">
        <f>G49/$G$66</f>
        <v/>
      </c>
      <c r="I49" s="245">
        <f>ROUND(F49*'Прил. 10'!$D$13,2)</f>
        <v/>
      </c>
      <c r="J49" s="245">
        <f>ROUND(I49*E49,2)</f>
        <v/>
      </c>
    </row>
    <row r="50" hidden="1" outlineLevel="1" ht="25.5" customFormat="1" customHeight="1" s="304">
      <c r="A50" s="368" t="n">
        <v>21</v>
      </c>
      <c r="B50" s="368" t="inlineStr">
        <is>
          <t>08.3.08.02-0052</t>
        </is>
      </c>
      <c r="C50" s="376" t="inlineStr">
        <is>
          <t>Сталь угловая равнополочная, марка стали: ВСт3кп2, размером 50x50x5 мм</t>
        </is>
      </c>
      <c r="D50" s="368" t="inlineStr">
        <is>
          <t>т</t>
        </is>
      </c>
      <c r="E50" s="458" t="n">
        <v>1.9851</v>
      </c>
      <c r="F50" s="378" t="n">
        <v>5763</v>
      </c>
      <c r="G50" s="245">
        <f>ROUND(E50*F50,2)</f>
        <v/>
      </c>
      <c r="H50" s="188">
        <f>G50/$G$66</f>
        <v/>
      </c>
      <c r="I50" s="245">
        <f>ROUND(F50*'Прил. 10'!$D$13,2)</f>
        <v/>
      </c>
      <c r="J50" s="245">
        <f>ROUND(I50*E50,2)</f>
        <v/>
      </c>
    </row>
    <row r="51" hidden="1" outlineLevel="1" ht="14.25" customFormat="1" customHeight="1" s="304">
      <c r="A51" s="368" t="n">
        <v>22</v>
      </c>
      <c r="B51" s="368" t="inlineStr">
        <is>
          <t>01.7.07.26-0031</t>
        </is>
      </c>
      <c r="C51" s="376" t="inlineStr">
        <is>
          <t>Шнур плетеный хлопчатобумажный</t>
        </is>
      </c>
      <c r="D51" s="368" t="inlineStr">
        <is>
          <t>м</t>
        </is>
      </c>
      <c r="E51" s="458" t="n">
        <v>3000</v>
      </c>
      <c r="F51" s="378" t="n">
        <v>2.05</v>
      </c>
      <c r="G51" s="245">
        <f>ROUND(E51*F51,2)</f>
        <v/>
      </c>
      <c r="H51" s="188">
        <f>G51/$G$66</f>
        <v/>
      </c>
      <c r="I51" s="245">
        <f>ROUND(F51*'Прил. 10'!$D$13,2)</f>
        <v/>
      </c>
      <c r="J51" s="245">
        <f>ROUND(I51*E51,2)</f>
        <v/>
      </c>
    </row>
    <row r="52" hidden="1" outlineLevel="1" ht="14.25" customFormat="1" customHeight="1" s="304">
      <c r="A52" s="368" t="n">
        <v>23</v>
      </c>
      <c r="B52" s="368" t="inlineStr">
        <is>
          <t>01.7.15.01-0001</t>
        </is>
      </c>
      <c r="C52" s="376" t="inlineStr">
        <is>
          <t>Анкер-шпилька Hilti HST М12х115/20</t>
        </is>
      </c>
      <c r="D52" s="368" t="inlineStr">
        <is>
          <t>шт</t>
        </is>
      </c>
      <c r="E52" s="458" t="n">
        <v>144</v>
      </c>
      <c r="F52" s="378" t="n">
        <v>42.49</v>
      </c>
      <c r="G52" s="245">
        <f>ROUND(E52*F52,2)</f>
        <v/>
      </c>
      <c r="H52" s="188">
        <f>G52/$G$66</f>
        <v/>
      </c>
      <c r="I52" s="245">
        <f>ROUND(F52*'Прил. 10'!$D$13,2)</f>
        <v/>
      </c>
      <c r="J52" s="245">
        <f>ROUND(I52*E52,2)</f>
        <v/>
      </c>
    </row>
    <row r="53" hidden="1" outlineLevel="1" ht="25.5" customFormat="1" customHeight="1" s="304">
      <c r="A53" s="368" t="n">
        <v>24</v>
      </c>
      <c r="B53" s="368" t="inlineStr">
        <is>
          <t>14.4.04.11-0010</t>
        </is>
      </c>
      <c r="C53" s="376" t="inlineStr">
        <is>
          <t>Эмаль ХС-720 серебристая антикоррозийная</t>
        </is>
      </c>
      <c r="D53" s="368" t="inlineStr">
        <is>
          <t>т</t>
        </is>
      </c>
      <c r="E53" s="458" t="n">
        <v>0.078</v>
      </c>
      <c r="F53" s="378" t="n">
        <v>35001</v>
      </c>
      <c r="G53" s="245">
        <f>ROUND(E53*F53,2)</f>
        <v/>
      </c>
      <c r="H53" s="188">
        <f>G53/$G$66</f>
        <v/>
      </c>
      <c r="I53" s="245">
        <f>ROUND(F53*'Прил. 10'!$D$13,2)</f>
        <v/>
      </c>
      <c r="J53" s="245">
        <f>ROUND(I53*E53,2)</f>
        <v/>
      </c>
    </row>
    <row r="54" hidden="1" outlineLevel="1" ht="38.25" customFormat="1" customHeight="1" s="304">
      <c r="A54" s="368" t="n">
        <v>25</v>
      </c>
      <c r="B54" s="368" t="inlineStr">
        <is>
          <t>08.3.05.02-0101</t>
        </is>
      </c>
      <c r="C54" s="376" t="inlineStr">
        <is>
          <t>Сталь листовая углеродистая обыкновенного качества марки ВСт3пс5 толщиной: 4-6 мм</t>
        </is>
      </c>
      <c r="D54" s="368" t="inlineStr">
        <is>
          <t>т</t>
        </is>
      </c>
      <c r="E54" s="458" t="n">
        <v>0.4134</v>
      </c>
      <c r="F54" s="378" t="n">
        <v>5763</v>
      </c>
      <c r="G54" s="245">
        <f>ROUND(E54*F54,2)</f>
        <v/>
      </c>
      <c r="H54" s="188">
        <f>G54/$G$66</f>
        <v/>
      </c>
      <c r="I54" s="245">
        <f>ROUND(F54*'Прил. 10'!$D$13,2)</f>
        <v/>
      </c>
      <c r="J54" s="245">
        <f>ROUND(I54*E54,2)</f>
        <v/>
      </c>
    </row>
    <row r="55" hidden="1" outlineLevel="1" ht="38.25" customFormat="1" customHeight="1" s="304">
      <c r="A55" s="368" t="n">
        <v>26</v>
      </c>
      <c r="B55" s="368" t="inlineStr">
        <is>
          <t>02.2.05.04-0093</t>
        </is>
      </c>
      <c r="C55" s="376" t="inlineStr">
        <is>
          <t>Щебень из природного камня для строительных работ марка: 800, фракция 20-40 мм</t>
        </is>
      </c>
      <c r="D55" s="368" t="inlineStr">
        <is>
          <t>м3</t>
        </is>
      </c>
      <c r="E55" s="458" t="n">
        <v>9.2364</v>
      </c>
      <c r="F55" s="378" t="n">
        <v>108.4</v>
      </c>
      <c r="G55" s="245">
        <f>ROUND(E55*F55,2)</f>
        <v/>
      </c>
      <c r="H55" s="188">
        <f>G55/$G$66</f>
        <v/>
      </c>
      <c r="I55" s="245">
        <f>ROUND(F55*'Прил. 10'!$D$13,2)</f>
        <v/>
      </c>
      <c r="J55" s="245">
        <f>ROUND(I55*E55,2)</f>
        <v/>
      </c>
    </row>
    <row r="56" hidden="1" outlineLevel="1" ht="25.5" customFormat="1" customHeight="1" s="304">
      <c r="A56" s="368" t="n">
        <v>27</v>
      </c>
      <c r="B56" s="368" t="inlineStr">
        <is>
          <t>999-9950</t>
        </is>
      </c>
      <c r="C56" s="376" t="inlineStr">
        <is>
          <t>Вспомогательные ненормируемые ресурсы (2% от Оплаты труда рабочих)</t>
        </is>
      </c>
      <c r="D56" s="368" t="inlineStr">
        <is>
          <t>руб.</t>
        </is>
      </c>
      <c r="E56" s="458" t="n">
        <v>485.3071</v>
      </c>
      <c r="F56" s="378" t="n">
        <v>1</v>
      </c>
      <c r="G56" s="245">
        <f>ROUND(E56*F56,2)</f>
        <v/>
      </c>
      <c r="H56" s="188">
        <f>G56/$G$66</f>
        <v/>
      </c>
      <c r="I56" s="245">
        <f>ROUND(F56*'Прил. 10'!$D$13,2)</f>
        <v/>
      </c>
      <c r="J56" s="245">
        <f>ROUND(I56*E56,2)</f>
        <v/>
      </c>
    </row>
    <row r="57" hidden="1" outlineLevel="1" ht="25.5" customFormat="1" customHeight="1" s="304">
      <c r="A57" s="368" t="n">
        <v>28</v>
      </c>
      <c r="B57" s="368" t="inlineStr">
        <is>
          <t>10.1.02.02-0012</t>
        </is>
      </c>
      <c r="C57" s="376" t="inlineStr">
        <is>
          <t>Алюминий листовой толщиной: 1,0-2,5 мм, гладкий</t>
        </is>
      </c>
      <c r="D57" s="368" t="inlineStr">
        <is>
          <t>кг</t>
        </is>
      </c>
      <c r="E57" s="458" t="n">
        <v>8.630000000000001</v>
      </c>
      <c r="F57" s="378" t="n">
        <v>47.66</v>
      </c>
      <c r="G57" s="245">
        <f>ROUND(E57*F57,2)</f>
        <v/>
      </c>
      <c r="H57" s="188">
        <f>G57/$G$66</f>
        <v/>
      </c>
      <c r="I57" s="245">
        <f>ROUND(F57*'Прил. 10'!$D$13,2)</f>
        <v/>
      </c>
      <c r="J57" s="245">
        <f>ROUND(I57*E57,2)</f>
        <v/>
      </c>
    </row>
    <row r="58" hidden="1" outlineLevel="1" ht="14.25" customFormat="1" customHeight="1" s="304">
      <c r="A58" s="368" t="n">
        <v>29</v>
      </c>
      <c r="B58" s="368" t="inlineStr">
        <is>
          <t>01.7.06.08-0003</t>
        </is>
      </c>
      <c r="C58" s="376" t="inlineStr">
        <is>
          <t>Лента сигнальная</t>
        </is>
      </c>
      <c r="D58" s="368" t="inlineStr">
        <is>
          <t>100 м</t>
        </is>
      </c>
      <c r="E58" s="458" t="n">
        <v>3.75</v>
      </c>
      <c r="F58" s="378" t="n">
        <v>108</v>
      </c>
      <c r="G58" s="245">
        <f>ROUND(E58*F58,2)</f>
        <v/>
      </c>
      <c r="H58" s="188">
        <f>G58/$G$66</f>
        <v/>
      </c>
      <c r="I58" s="245">
        <f>ROUND(F58*'Прил. 10'!$D$13,2)</f>
        <v/>
      </c>
      <c r="J58" s="245">
        <f>ROUND(I58*E58,2)</f>
        <v/>
      </c>
    </row>
    <row r="59" hidden="1" outlineLevel="1" ht="14.25" customFormat="1" customHeight="1" s="304">
      <c r="A59" s="368" t="n">
        <v>30</v>
      </c>
      <c r="B59" s="368" t="inlineStr">
        <is>
          <t>01.7.19.07-0002</t>
        </is>
      </c>
      <c r="C59" s="376" t="inlineStr">
        <is>
          <t>Резина листовая вулканизованная цветная</t>
        </is>
      </c>
      <c r="D59" s="368" t="inlineStr">
        <is>
          <t>кг</t>
        </is>
      </c>
      <c r="E59" s="458" t="n">
        <v>3.798</v>
      </c>
      <c r="F59" s="378" t="n">
        <v>24.86</v>
      </c>
      <c r="G59" s="245">
        <f>ROUND(E59*F59,2)</f>
        <v/>
      </c>
      <c r="H59" s="188">
        <f>G59/$G$66</f>
        <v/>
      </c>
      <c r="I59" s="245">
        <f>ROUND(F59*'Прил. 10'!$D$13,2)</f>
        <v/>
      </c>
      <c r="J59" s="245">
        <f>ROUND(I59*E59,2)</f>
        <v/>
      </c>
    </row>
    <row r="60" hidden="1" outlineLevel="1" ht="14.25" customFormat="1" customHeight="1" s="304">
      <c r="A60" s="368" t="n">
        <v>31</v>
      </c>
      <c r="B60" s="368" t="inlineStr">
        <is>
          <t>14.4.03.03-0002</t>
        </is>
      </c>
      <c r="C60" s="376" t="inlineStr">
        <is>
          <t>Лак битумный: БТ-123</t>
        </is>
      </c>
      <c r="D60" s="368" t="inlineStr">
        <is>
          <t>т</t>
        </is>
      </c>
      <c r="E60" s="458" t="n">
        <v>0.0015</v>
      </c>
      <c r="F60" s="378" t="n">
        <v>7826.9</v>
      </c>
      <c r="G60" s="245">
        <f>ROUND(E60*F60,2)</f>
        <v/>
      </c>
      <c r="H60" s="188">
        <f>G60/$G$66</f>
        <v/>
      </c>
      <c r="I60" s="245">
        <f>ROUND(F60*'Прил. 10'!$D$13,2)</f>
        <v/>
      </c>
      <c r="J60" s="245">
        <f>ROUND(I60*E60,2)</f>
        <v/>
      </c>
    </row>
    <row r="61" hidden="1" outlineLevel="1" ht="14.25" customFormat="1" customHeight="1" s="304">
      <c r="A61" s="368" t="n">
        <v>32</v>
      </c>
      <c r="B61" s="368" t="inlineStr">
        <is>
          <t>01.7.11.07-0034</t>
        </is>
      </c>
      <c r="C61" s="376" t="inlineStr">
        <is>
          <t>Электроды диаметром: 4 мм Э42А</t>
        </is>
      </c>
      <c r="D61" s="368" t="inlineStr">
        <is>
          <t>кг</t>
        </is>
      </c>
      <c r="E61" s="458" t="n">
        <v>1.0452</v>
      </c>
      <c r="F61" s="378" t="n">
        <v>10.57</v>
      </c>
      <c r="G61" s="245">
        <f>ROUND(E61*F61,2)</f>
        <v/>
      </c>
      <c r="H61" s="188">
        <f>G61/$G$66</f>
        <v/>
      </c>
      <c r="I61" s="245">
        <f>ROUND(F61*'Прил. 10'!$D$13,2)</f>
        <v/>
      </c>
      <c r="J61" s="245">
        <f>ROUND(I61*E61,2)</f>
        <v/>
      </c>
    </row>
    <row r="62" hidden="1" outlineLevel="1" ht="14.25" customFormat="1" customHeight="1" s="304">
      <c r="A62" s="368" t="n">
        <v>33</v>
      </c>
      <c r="B62" s="368" t="inlineStr">
        <is>
          <t>01.7.20.03-0003</t>
        </is>
      </c>
      <c r="C62" s="376" t="inlineStr">
        <is>
          <t>Мешки полипропиленовые (50 кг)</t>
        </is>
      </c>
      <c r="D62" s="368" t="inlineStr">
        <is>
          <t>100 шт</t>
        </is>
      </c>
      <c r="E62" s="458" t="n">
        <v>0.1296</v>
      </c>
      <c r="F62" s="378" t="n">
        <v>82</v>
      </c>
      <c r="G62" s="245">
        <f>ROUND(E62*F62,2)</f>
        <v/>
      </c>
      <c r="H62" s="188">
        <f>G62/$G$66</f>
        <v/>
      </c>
      <c r="I62" s="245">
        <f>ROUND(F62*'Прил. 10'!$D$13,2)</f>
        <v/>
      </c>
      <c r="J62" s="245">
        <f>ROUND(I62*E62,2)</f>
        <v/>
      </c>
    </row>
    <row r="63" hidden="1" outlineLevel="1" ht="14.25" customFormat="1" customHeight="1" s="304">
      <c r="A63" s="368" t="n">
        <v>34</v>
      </c>
      <c r="B63" s="368" t="inlineStr">
        <is>
          <t>01.7.03.01-0001</t>
        </is>
      </c>
      <c r="C63" s="376" t="inlineStr">
        <is>
          <t>Вода</t>
        </is>
      </c>
      <c r="D63" s="368" t="inlineStr">
        <is>
          <t>м3</t>
        </is>
      </c>
      <c r="E63" s="458" t="n">
        <v>1.402</v>
      </c>
      <c r="F63" s="378" t="n">
        <v>2.44</v>
      </c>
      <c r="G63" s="245">
        <f>ROUND(E63*F63,2)</f>
        <v/>
      </c>
      <c r="H63" s="188">
        <f>G63/$G$66</f>
        <v/>
      </c>
      <c r="I63" s="245">
        <f>ROUND(F63*'Прил. 10'!$D$13,2)</f>
        <v/>
      </c>
      <c r="J63" s="245">
        <f>ROUND(I63*E63,2)</f>
        <v/>
      </c>
    </row>
    <row r="64" hidden="1" outlineLevel="1" ht="25.5" customFormat="1" customHeight="1" s="304">
      <c r="A64" s="368" t="n">
        <v>35</v>
      </c>
      <c r="B64" s="368" t="inlineStr">
        <is>
          <t>03.2.01.01-0001</t>
        </is>
      </c>
      <c r="C64" s="376" t="inlineStr">
        <is>
          <t>Портландцемент общестроительного назначения бездобавочный, марки: 400</t>
        </is>
      </c>
      <c r="D64" s="368" t="inlineStr">
        <is>
          <t>т</t>
        </is>
      </c>
      <c r="E64" s="458" t="n">
        <v>0.0003</v>
      </c>
      <c r="F64" s="378" t="n">
        <v>412</v>
      </c>
      <c r="G64" s="245">
        <f>ROUND(E64*F64,2)</f>
        <v/>
      </c>
      <c r="H64" s="188">
        <f>G64/$G$66</f>
        <v/>
      </c>
      <c r="I64" s="245">
        <f>ROUND(F64*'Прил. 10'!$D$13,2)</f>
        <v/>
      </c>
      <c r="J64" s="245">
        <f>ROUND(I64*E64,2)</f>
        <v/>
      </c>
    </row>
    <row r="65" collapsed="1" ht="14.25" customFormat="1" customHeight="1" s="304">
      <c r="A65" s="368" t="n"/>
      <c r="B65" s="368" t="n"/>
      <c r="C65" s="376" t="inlineStr">
        <is>
          <t>Итого прочие материалы</t>
        </is>
      </c>
      <c r="D65" s="368" t="n"/>
      <c r="E65" s="377" t="n"/>
      <c r="F65" s="378" t="n"/>
      <c r="G65" s="245">
        <f>SUM(G46:G64)</f>
        <v/>
      </c>
      <c r="H65" s="188">
        <f>G65/$G$66</f>
        <v/>
      </c>
      <c r="I65" s="245" t="n"/>
      <c r="J65" s="245">
        <f>SUM(J46:J64)</f>
        <v/>
      </c>
    </row>
    <row r="66" ht="14.25" customFormat="1" customHeight="1" s="304">
      <c r="A66" s="368" t="n"/>
      <c r="B66" s="368" t="n"/>
      <c r="C66" s="355" t="inlineStr">
        <is>
          <t>Итого по разделу «Материалы»</t>
        </is>
      </c>
      <c r="D66" s="368" t="n"/>
      <c r="E66" s="377" t="n"/>
      <c r="F66" s="378" t="n"/>
      <c r="G66" s="245">
        <f>G45+G65</f>
        <v/>
      </c>
      <c r="H66" s="379">
        <f>G66/$G$66</f>
        <v/>
      </c>
      <c r="I66" s="245" t="n"/>
      <c r="J66" s="245">
        <f>J45+J65</f>
        <v/>
      </c>
    </row>
    <row r="67" ht="14.25" customFormat="1" customHeight="1" s="304">
      <c r="A67" s="368" t="n"/>
      <c r="B67" s="368" t="n"/>
      <c r="C67" s="376" t="inlineStr">
        <is>
          <t>ИТОГО ПО РМ</t>
        </is>
      </c>
      <c r="D67" s="368" t="n"/>
      <c r="E67" s="377" t="n"/>
      <c r="F67" s="378" t="n"/>
      <c r="G67" s="245">
        <f>G15+G35+G66</f>
        <v/>
      </c>
      <c r="H67" s="379" t="n"/>
      <c r="I67" s="245" t="n"/>
      <c r="J67" s="245">
        <f>J15+J35+J66</f>
        <v/>
      </c>
    </row>
    <row r="68" ht="14.25" customFormat="1" customHeight="1" s="304">
      <c r="A68" s="368" t="n"/>
      <c r="B68" s="368" t="n"/>
      <c r="C68" s="376" t="inlineStr">
        <is>
          <t>Накладные расходы</t>
        </is>
      </c>
      <c r="D68" s="248">
        <f>ROUND(G68/(G$17+$G$15),2)</f>
        <v/>
      </c>
      <c r="E68" s="377" t="n"/>
      <c r="F68" s="378" t="n"/>
      <c r="G68" s="245">
        <f>377026.44+277037.03</f>
        <v/>
      </c>
      <c r="H68" s="379" t="n"/>
      <c r="I68" s="245" t="n"/>
      <c r="J68" s="245">
        <f>ROUND(D68*(J15+J17),2)</f>
        <v/>
      </c>
    </row>
    <row r="69" ht="14.25" customFormat="1" customHeight="1" s="304">
      <c r="A69" s="368" t="n"/>
      <c r="B69" s="368" t="n"/>
      <c r="C69" s="376" t="inlineStr">
        <is>
          <t>Сметная прибыль</t>
        </is>
      </c>
      <c r="D69" s="248">
        <f>ROUND(G69/(G$15+G$17),2)</f>
        <v/>
      </c>
      <c r="E69" s="377" t="n"/>
      <c r="F69" s="378" t="n"/>
      <c r="G69" s="245">
        <f>209471.15+179767.83</f>
        <v/>
      </c>
      <c r="H69" s="379" t="n"/>
      <c r="I69" s="245" t="n"/>
      <c r="J69" s="245">
        <f>ROUND(D69*(J15+J17),2)</f>
        <v/>
      </c>
    </row>
    <row r="70" ht="14.25" customFormat="1" customHeight="1" s="304">
      <c r="A70" s="368" t="n"/>
      <c r="B70" s="368" t="n"/>
      <c r="C70" s="376" t="inlineStr">
        <is>
          <t>Итого СМР (с НР и СП)</t>
        </is>
      </c>
      <c r="D70" s="368" t="n"/>
      <c r="E70" s="377" t="n"/>
      <c r="F70" s="378" t="n"/>
      <c r="G70" s="245">
        <f>G15+G35+G66+G68+G69</f>
        <v/>
      </c>
      <c r="H70" s="379" t="n"/>
      <c r="I70" s="245" t="n"/>
      <c r="J70" s="245">
        <f>J15+J35+J66+J68+J69</f>
        <v/>
      </c>
    </row>
    <row r="71" ht="14.25" customFormat="1" customHeight="1" s="304">
      <c r="A71" s="368" t="n"/>
      <c r="B71" s="368" t="n"/>
      <c r="C71" s="376" t="inlineStr">
        <is>
          <t>ВСЕГО СМР + ОБОРУДОВАНИЕ</t>
        </is>
      </c>
      <c r="D71" s="368" t="n"/>
      <c r="E71" s="377" t="n"/>
      <c r="F71" s="378" t="n"/>
      <c r="G71" s="245">
        <f>G70+G40</f>
        <v/>
      </c>
      <c r="H71" s="379" t="n"/>
      <c r="I71" s="245" t="n"/>
      <c r="J71" s="245">
        <f>J70+J40</f>
        <v/>
      </c>
    </row>
    <row r="72" ht="14.25" customFormat="1" customHeight="1" s="304">
      <c r="A72" s="368" t="n"/>
      <c r="B72" s="368" t="n"/>
      <c r="C72" s="376" t="inlineStr">
        <is>
          <t>ИТОГО ПОКАЗАТЕЛЬ НА ЕД. ИЗМ.</t>
        </is>
      </c>
      <c r="D72" s="368" t="inlineStr">
        <is>
          <t>1 км.</t>
        </is>
      </c>
      <c r="E72" s="458" t="n">
        <v>7.43</v>
      </c>
      <c r="F72" s="378" t="n"/>
      <c r="G72" s="245">
        <f>G71/E72</f>
        <v/>
      </c>
      <c r="H72" s="379" t="n"/>
      <c r="I72" s="245" t="n"/>
      <c r="J72" s="245">
        <f>J71/E72</f>
        <v/>
      </c>
    </row>
    <row r="74" ht="14.25" customFormat="1" customHeight="1" s="304">
      <c r="A74" s="294" t="inlineStr">
        <is>
          <t>Составил ______________________    Д.Ю. Нефедова</t>
        </is>
      </c>
    </row>
    <row r="75" ht="14.25" customFormat="1" customHeight="1" s="304">
      <c r="A75" s="303" t="inlineStr">
        <is>
          <t xml:space="preserve">                         (подпись, инициалы, фамилия)</t>
        </is>
      </c>
    </row>
    <row r="76" ht="14.25" customFormat="1" customHeight="1" s="304">
      <c r="A76" s="294" t="n"/>
    </row>
    <row r="77" ht="14.25" customFormat="1" customHeight="1" s="304">
      <c r="A77" s="294" t="inlineStr">
        <is>
          <t>Проверил ______________________        А.В. Костянецкая</t>
        </is>
      </c>
    </row>
    <row r="78" ht="14.25" customFormat="1" customHeight="1" s="304">
      <c r="A78" s="303" t="inlineStr">
        <is>
          <t xml:space="preserve">                        (подпись, инициалы, фамилия)</t>
        </is>
      </c>
    </row>
    <row r="81">
      <c r="J81" s="462" t="n"/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4" t="inlineStr">
        <is>
          <t>Приложение №6</t>
        </is>
      </c>
    </row>
    <row r="2" ht="21.75" customHeight="1" s="319">
      <c r="A2" s="384" t="n"/>
      <c r="B2" s="384" t="n"/>
      <c r="C2" s="384" t="n"/>
      <c r="D2" s="384" t="n"/>
      <c r="E2" s="384" t="n"/>
      <c r="F2" s="384" t="n"/>
      <c r="G2" s="384" t="n"/>
    </row>
    <row r="3">
      <c r="A3" s="336" t="inlineStr">
        <is>
          <t>Расчет стоимости оборудования</t>
        </is>
      </c>
    </row>
    <row r="4" ht="27" customHeight="1" s="319">
      <c r="A4" s="339" t="inlineStr">
        <is>
          <t>Наименование разрабатываемого показателя УНЦ — Устройство траншеи КЛ 330-500 кВ 2ц (Москва, Санкт-Петербург)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19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9">
      <c r="A9" s="240" t="n"/>
      <c r="B9" s="376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9">
      <c r="A10" s="368" t="n"/>
      <c r="B10" s="355" t="n"/>
      <c r="C10" s="376" t="inlineStr">
        <is>
          <t>ИТОГО ИНЖЕНЕРНОЕ ОБОРУДОВАНИЕ</t>
        </is>
      </c>
      <c r="D10" s="355" t="n"/>
      <c r="E10" s="242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19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45" t="n">
        <v>0</v>
      </c>
    </row>
    <row r="13" ht="19.5" customHeight="1" s="319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45">
        <f>G10+G12</f>
        <v/>
      </c>
    </row>
    <row r="14">
      <c r="A14" s="305" t="n"/>
      <c r="B14" s="300" t="n"/>
      <c r="C14" s="305" t="n"/>
      <c r="D14" s="305" t="n"/>
      <c r="E14" s="305" t="n"/>
      <c r="F14" s="305" t="n"/>
      <c r="G14" s="305" t="n"/>
    </row>
    <row r="15">
      <c r="A15" s="294" t="inlineStr">
        <is>
          <t>Составил ______________________    Д.Ю. Нефедова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3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294" t="n"/>
      <c r="B17" s="304" t="n"/>
      <c r="C17" s="304" t="n"/>
      <c r="D17" s="305" t="n"/>
      <c r="E17" s="305" t="n"/>
      <c r="F17" s="305" t="n"/>
      <c r="G17" s="305" t="n"/>
    </row>
    <row r="18">
      <c r="A18" s="294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294" t="n"/>
      <c r="C1" s="294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19">
      <c r="A3" s="336" t="inlineStr">
        <is>
          <t>Расчет показателя УНЦ</t>
        </is>
      </c>
    </row>
    <row r="4" ht="24.75" customHeight="1" s="319">
      <c r="A4" s="336" t="n"/>
      <c r="B4" s="336" t="n"/>
      <c r="C4" s="336" t="n"/>
      <c r="D4" s="336" t="n"/>
    </row>
    <row r="5" ht="38.25" customHeight="1" s="319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19">
      <c r="A6" s="339" t="inlineStr">
        <is>
          <t>Единица измерения  — 1 км</t>
        </is>
      </c>
      <c r="D6" s="339" t="n"/>
    </row>
    <row r="7">
      <c r="A7" s="294" t="n"/>
      <c r="B7" s="294" t="n"/>
      <c r="C7" s="294" t="n"/>
      <c r="D7" s="294" t="n"/>
    </row>
    <row r="8" ht="14.45" customHeight="1" s="319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9">
      <c r="A9" s="451" t="n"/>
      <c r="B9" s="451" t="n"/>
      <c r="C9" s="451" t="n"/>
      <c r="D9" s="451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5" customHeight="1" s="319">
      <c r="A11" s="368" t="inlineStr">
        <is>
          <t>Б2-06-4</t>
        </is>
      </c>
      <c r="B11" s="368" t="inlineStr">
        <is>
          <t xml:space="preserve">УНЦ на устройство траншеи КЛ и восстановление благоустройства по трассе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Д.Ю. Нефедова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9" min="1" max="1"/>
    <col width="40.7109375" customWidth="1" style="319" min="2" max="2"/>
    <col width="37.570312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6" t="inlineStr">
        <is>
          <t>Приложение № 10</t>
        </is>
      </c>
    </row>
    <row r="5" ht="18.75" customHeight="1" s="319">
      <c r="B5" s="162" t="n"/>
    </row>
    <row r="6" ht="15.75" customHeight="1" s="319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9">
      <c r="B10" s="352" t="n">
        <v>1</v>
      </c>
      <c r="C10" s="352" t="n">
        <v>2</v>
      </c>
      <c r="D10" s="352" t="n">
        <v>3</v>
      </c>
    </row>
    <row r="11" ht="45" customHeight="1" s="319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9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9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9">
      <c r="B14" s="352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19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19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19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19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5" t="n">
        <v>0.002</v>
      </c>
    </row>
    <row r="19" ht="24" customHeight="1" s="319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5" t="n">
        <v>0.03</v>
      </c>
    </row>
    <row r="20" ht="18.75" customHeight="1" s="319">
      <c r="B20" s="237" t="n"/>
    </row>
    <row r="21" ht="18.75" customHeight="1" s="319">
      <c r="B21" s="237" t="n"/>
    </row>
    <row r="22" ht="18.75" customHeight="1" s="319">
      <c r="B22" s="237" t="n"/>
    </row>
    <row r="23" ht="18.75" customHeight="1" s="319">
      <c r="B23" s="237" t="n"/>
    </row>
    <row r="26">
      <c r="B26" s="294" t="inlineStr">
        <is>
          <t>Составил ______________________        Д.Ю. Нефедова</t>
        </is>
      </c>
      <c r="C26" s="304" t="n"/>
    </row>
    <row r="27">
      <c r="B27" s="303" t="inlineStr">
        <is>
          <t xml:space="preserve">                         (подпись, инициалы, фамилия)</t>
        </is>
      </c>
      <c r="C27" s="304" t="n"/>
    </row>
    <row r="28">
      <c r="B28" s="294" t="n"/>
      <c r="C28" s="304" t="n"/>
    </row>
    <row r="29">
      <c r="B29" s="294" t="inlineStr">
        <is>
          <t>Проверил ______________________        А.В. Костянецкая</t>
        </is>
      </c>
      <c r="C29" s="304" t="n"/>
    </row>
    <row r="30">
      <c r="B30" s="303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53.7109375" bestFit="1" customWidth="1" style="319" min="6" max="6"/>
  </cols>
  <sheetData>
    <row r="1" s="319"/>
    <row r="2" ht="17.25" customHeight="1" s="319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2" t="n"/>
      <c r="D10" s="352" t="n"/>
      <c r="E10" s="463" t="n">
        <v>2.8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4" t="n">
        <v>1.166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33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5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2025-01-24T11:54:10Z</dcterms:modified>
  <cp:lastModifiedBy>User4</cp:lastModifiedBy>
  <cp:lastPrinted>2023-11-28T08:04:45Z</cp:lastPrinted>
</cp:coreProperties>
</file>