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1325" tabRatio="924" firstSheet="4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3'!$A$1:$H$130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ОБ'!$A$1:$J$140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8">
    <numFmt numFmtId="164" formatCode="_-* #,##0\ _₽_-;\-* #,##0\ _₽_-;_-* &quot;-&quot;??\ _₽_-;_-@_-"/>
    <numFmt numFmtId="165" formatCode="0.0000"/>
    <numFmt numFmtId="166" formatCode="#,##0.0000"/>
    <numFmt numFmtId="167" formatCode="0.000"/>
    <numFmt numFmtId="168" formatCode="_-* #,##0.0\ _₽_-;\-* #,##0.0\ _₽_-;_-* &quot;-&quot;??\ _₽_-;_-@_-"/>
    <numFmt numFmtId="169" formatCode="_-* #,##0.00\ _₽_-;\-* #,##0.00\ _₽_-;_-* &quot;-&quot;??\ _₽_-;_-@_-"/>
    <numFmt numFmtId="170" formatCode="#,##0.0"/>
    <numFmt numFmtId="171" formatCode="#,##0.00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Times New Roman"/>
      <b val="1"/>
      <color rgb="FF000000"/>
      <sz val="12"/>
    </font>
    <font>
      <name val="Times New Roman"/>
      <color rgb="FF000000"/>
      <sz val="10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65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5" fontId="1" fillId="0" borderId="4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/>
    </xf>
    <xf numFmtId="0" fontId="16" fillId="0" borderId="0" applyAlignment="1" pivotButton="0" quotePrefix="0" xfId="0">
      <alignment vertical="center"/>
    </xf>
    <xf numFmtId="0" fontId="16" fillId="0" borderId="0" pivotButton="0" quotePrefix="0" xfId="0"/>
    <xf numFmtId="0" fontId="17" fillId="0" borderId="0" applyAlignment="1" pivotButton="0" quotePrefix="0" xfId="0">
      <alignment horizontal="center" vertical="center"/>
    </xf>
    <xf numFmtId="0" fontId="18" fillId="0" borderId="0" pivotButton="0" quotePrefix="0" xfId="0"/>
    <xf numFmtId="0" fontId="16" fillId="0" borderId="1" applyAlignment="1" pivotButton="0" quotePrefix="0" xfId="0">
      <alignment vertical="center" wrapText="1"/>
    </xf>
    <xf numFmtId="0" fontId="16" fillId="0" borderId="1" applyAlignment="1" pivotButton="0" quotePrefix="0" xfId="0">
      <alignment horizontal="justify" vertical="center" wrapText="1"/>
    </xf>
    <xf numFmtId="4" fontId="18" fillId="0" borderId="0" applyAlignment="1" pivotButton="0" quotePrefix="0" xfId="0">
      <alignment wrapText="1"/>
    </xf>
    <xf numFmtId="49" fontId="16" fillId="0" borderId="1" applyAlignment="1" pivotButton="0" quotePrefix="0" xfId="0">
      <alignment horizontal="center" vertical="center" wrapText="1"/>
    </xf>
    <xf numFmtId="0" fontId="16" fillId="0" borderId="2" applyAlignment="1" pivotButton="0" quotePrefix="0" xfId="0">
      <alignment vertical="center" wrapText="1"/>
    </xf>
    <xf numFmtId="0" fontId="18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0" fontId="19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5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top" wrapText="1"/>
    </xf>
    <xf numFmtId="14" fontId="16" fillId="0" borderId="1" applyAlignment="1" pivotButton="0" quotePrefix="0" xfId="0">
      <alignment vertical="top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6" fillId="0" borderId="1" applyAlignment="1" pivotButton="0" quotePrefix="0" xfId="0">
      <alignment vertical="top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" fontId="1" fillId="0" borderId="1" applyAlignment="1" pivotButton="0" quotePrefix="0" xfId="0">
      <alignment horizontal="center" vertical="top"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top" wrapText="1"/>
    </xf>
    <xf numFmtId="4" fontId="20" fillId="0" borderId="1" applyAlignment="1" pivotButton="0" quotePrefix="0" xfId="0">
      <alignment vertical="top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right" vertical="top" wrapText="1"/>
    </xf>
    <xf numFmtId="43" fontId="2" fillId="0" borderId="1" applyAlignment="1" pivotButton="0" quotePrefix="0" xfId="0">
      <alignment vertical="center" wrapText="1"/>
    </xf>
    <xf numFmtId="0" fontId="20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justify"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3" fontId="0" fillId="0" borderId="0" pivotButton="0" quotePrefix="0" xfId="0"/>
    <xf numFmtId="10" fontId="1" fillId="0" borderId="1" applyAlignment="1" pivotButton="0" quotePrefix="0" xfId="0">
      <alignment horizontal="right" vertical="center"/>
    </xf>
    <xf numFmtId="4" fontId="0" fillId="0" borderId="0" pivotButton="0" quotePrefix="0" xfId="0"/>
    <xf numFmtId="10" fontId="0" fillId="0" borderId="0" pivotButton="0" quotePrefix="0" xfId="0"/>
    <xf numFmtId="0" fontId="1" fillId="0" borderId="0" applyAlignment="1" pivotButton="0" quotePrefix="0" xfId="0">
      <alignment vertical="center"/>
    </xf>
    <xf numFmtId="0" fontId="4" fillId="0" borderId="0" pivotButton="0" quotePrefix="0" xfId="0"/>
    <xf numFmtId="0" fontId="0" fillId="0" borderId="0" pivotButton="0" quotePrefix="0" xfId="0"/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/>
    </xf>
    <xf numFmtId="4" fontId="1" fillId="0" borderId="0" applyAlignment="1" pivotButton="0" quotePrefix="0" xfId="0">
      <alignment vertical="center" wrapText="1"/>
    </xf>
    <xf numFmtId="0" fontId="4" fillId="0" borderId="1" pivotButton="0" quotePrefix="0" xfId="0"/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166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4" fillId="0" borderId="1" pivotButton="0" quotePrefix="0" xfId="0"/>
    <xf numFmtId="0" fontId="4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21" fillId="0" borderId="1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right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7" fillId="0" borderId="0" applyAlignment="1" pivotButton="0" quotePrefix="0" xfId="0">
      <alignment horizontal="right" vertical="center"/>
    </xf>
    <xf numFmtId="10" fontId="16" fillId="0" borderId="1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justify" vertical="center"/>
    </xf>
    <xf numFmtId="0" fontId="0" fillId="0" borderId="0" pivotButton="0" quotePrefix="0" xfId="0"/>
    <xf numFmtId="0" fontId="16" fillId="0" borderId="0" pivotButton="0" quotePrefix="0" xfId="0"/>
    <xf numFmtId="0" fontId="16" fillId="0" borderId="1" applyAlignment="1" pivotButton="0" quotePrefix="0" xfId="0">
      <alignment vertical="center" wrapText="1"/>
    </xf>
    <xf numFmtId="167" fontId="1" fillId="0" borderId="1" applyAlignment="1" pivotButton="0" quotePrefix="0" xfId="0">
      <alignment horizontal="center" vertical="top" wrapText="1"/>
    </xf>
    <xf numFmtId="167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168" fontId="16" fillId="0" borderId="0" pivotButton="0" quotePrefix="0" xfId="0"/>
    <xf numFmtId="4" fontId="1" fillId="0" borderId="2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43" fontId="4" fillId="0" borderId="0" pivotButton="0" quotePrefix="0" xfId="0"/>
    <xf numFmtId="0" fontId="20" fillId="0" borderId="1" applyAlignment="1" pivotButton="0" quotePrefix="0" xfId="0">
      <alignment vertical="top"/>
    </xf>
    <xf numFmtId="0" fontId="16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4" fillId="0" borderId="0" pivotButton="0" quotePrefix="0" xfId="0"/>
    <xf numFmtId="0" fontId="8" fillId="0" borderId="0" pivotButton="0" quotePrefix="0" xfId="0"/>
    <xf numFmtId="0" fontId="16" fillId="0" borderId="0" applyAlignment="1" pivotButton="0" quotePrefix="0" xfId="0">
      <alignment vertical="center"/>
    </xf>
    <xf numFmtId="14" fontId="16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pivotButton="0" quotePrefix="0" xfId="0"/>
    <xf numFmtId="0" fontId="16" fillId="0" borderId="1" applyAlignment="1" pivotButton="0" quotePrefix="1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20" fillId="0" borderId="1" applyAlignment="1" pivotButton="0" quotePrefix="0" xfId="0">
      <alignment vertical="center" wrapText="1"/>
    </xf>
    <xf numFmtId="4" fontId="20" fillId="0" borderId="1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3" fontId="2" fillId="0" borderId="0" applyAlignment="1" pivotButton="0" quotePrefix="0" xfId="0">
      <alignment vertical="center" wrapText="1"/>
    </xf>
    <xf numFmtId="43" fontId="16" fillId="0" borderId="0" pivotButton="0" quotePrefix="0" xfId="0"/>
    <xf numFmtId="169" fontId="16" fillId="0" borderId="0" pivotButton="0" quotePrefix="0" xfId="0"/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70" fontId="16" fillId="0" borderId="1" applyAlignment="1" pivotButton="0" quotePrefix="0" xfId="0">
      <alignment horizontal="center" vertical="center"/>
    </xf>
    <xf numFmtId="171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 wrapText="1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2" fillId="0" borderId="2" applyAlignment="1" pivotButton="0" quotePrefix="0" xfId="0">
      <alignment horizontal="left" vertical="center" wrapText="1"/>
    </xf>
    <xf numFmtId="0" fontId="2" fillId="0" borderId="6" applyAlignment="1" pivotButton="0" quotePrefix="0" xfId="0">
      <alignment horizontal="left" vertical="center" wrapText="1"/>
    </xf>
    <xf numFmtId="0" fontId="2" fillId="0" borderId="7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8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16" fillId="0" borderId="5" applyAlignment="1" pivotButton="0" quotePrefix="0" xfId="0">
      <alignment vertical="center" wrapText="1"/>
    </xf>
    <xf numFmtId="165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0" fillId="0" borderId="6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43" fontId="16" fillId="0" borderId="0" pivotButton="0" quotePrefix="0" xfId="0"/>
    <xf numFmtId="169" fontId="16" fillId="0" borderId="0" pivotButton="0" quotePrefix="0" xfId="0"/>
    <xf numFmtId="43" fontId="2" fillId="0" borderId="1" applyAlignment="1" pivotButton="0" quotePrefix="0" xfId="0">
      <alignment vertical="center" wrapText="1"/>
    </xf>
    <xf numFmtId="43" fontId="2" fillId="0" borderId="0" applyAlignment="1" pivotButton="0" quotePrefix="0" xfId="0">
      <alignment vertical="center" wrapText="1"/>
    </xf>
    <xf numFmtId="167" fontId="1" fillId="0" borderId="1" applyAlignment="1" pivotButton="0" quotePrefix="0" xfId="0">
      <alignment horizontal="center" vertical="top" wrapText="1"/>
    </xf>
    <xf numFmtId="168" fontId="16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43" fontId="0" fillId="0" borderId="0" pivotButton="0" quotePrefix="0" xfId="0"/>
    <xf numFmtId="166" fontId="1" fillId="0" borderId="1" applyAlignment="1" pivotButton="0" quotePrefix="0" xfId="0">
      <alignment horizontal="center" vertical="center" wrapText="1"/>
    </xf>
    <xf numFmtId="43" fontId="4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5" fontId="1" fillId="0" borderId="4" applyAlignment="1" pivotButton="0" quotePrefix="0" xfId="0">
      <alignment horizontal="center" vertical="center" wrapText="1"/>
    </xf>
    <xf numFmtId="165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13" zoomScale="85" zoomScaleNormal="55" workbookViewId="0">
      <selection activeCell="D31" sqref="D31"/>
    </sheetView>
  </sheetViews>
  <sheetFormatPr baseColWidth="8" defaultColWidth="9.140625" defaultRowHeight="15.75"/>
  <cols>
    <col width="9.140625" customWidth="1" style="328" min="1" max="2"/>
    <col width="51.7109375" customWidth="1" style="328" min="3" max="3"/>
    <col width="47" customWidth="1" style="328" min="4" max="4"/>
    <col width="37.42578125" customWidth="1" style="328" min="5" max="5"/>
    <col width="9.140625" customWidth="1" style="328" min="6" max="6"/>
  </cols>
  <sheetData>
    <row r="3">
      <c r="B3" s="352" t="inlineStr">
        <is>
          <t>Приложение № 1</t>
        </is>
      </c>
    </row>
    <row r="4">
      <c r="B4" s="353" t="inlineStr">
        <is>
          <t>Сравнительная таблица отбора объекта-представителя</t>
        </is>
      </c>
    </row>
    <row r="5" ht="84" customHeight="1" s="326">
      <c r="B5" s="356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26">
      <c r="B6" s="173" t="n"/>
      <c r="C6" s="173" t="n"/>
      <c r="D6" s="173" t="n"/>
    </row>
    <row r="7" ht="64.5" customHeight="1" s="326">
      <c r="B7" s="354" t="inlineStr">
        <is>
          <t>Наименование разрабатываемого показателя УНЦ - Укрепление котлованов и траншей 330-500 кВ (Все регионы за исключением Москвы и Санкт-Петербурга)</t>
        </is>
      </c>
    </row>
    <row r="8" ht="31.5" customHeight="1" s="326">
      <c r="B8" s="309" t="inlineStr">
        <is>
          <t xml:space="preserve">Сопоставимый уровень цен: </t>
        </is>
      </c>
      <c r="C8" s="309" t="n"/>
      <c r="D8" s="310">
        <f>D22</f>
        <v/>
      </c>
    </row>
    <row r="9" ht="15.75" customHeight="1" s="326">
      <c r="B9" s="355" t="inlineStr">
        <is>
          <t>Единица измерения  — 1 км</t>
        </is>
      </c>
    </row>
    <row r="10">
      <c r="B10" s="355" t="n"/>
      <c r="C10" s="328" t="n"/>
      <c r="D10" s="328" t="n"/>
    </row>
    <row r="11">
      <c r="B11" s="358" t="inlineStr">
        <is>
          <t>№ п/п</t>
        </is>
      </c>
      <c r="C11" s="358" t="inlineStr">
        <is>
          <t>Параметр</t>
        </is>
      </c>
      <c r="D11" s="358" t="inlineStr">
        <is>
          <t xml:space="preserve">Объект-представитель </t>
        </is>
      </c>
      <c r="E11" s="174" t="n"/>
    </row>
    <row r="12" ht="63" customHeight="1" s="326">
      <c r="B12" s="358" t="n">
        <v>1</v>
      </c>
      <c r="C12" s="317" t="inlineStr">
        <is>
          <t>Наименование объекта-представителя</t>
        </is>
      </c>
      <c r="D12" s="358" t="inlineStr">
        <is>
          <t>ПС 330кВ Василеостровская с КЛ 330кВ Василеостровская-Северная, КЛ 330кВ Василеостровская -Завод Ильич в г.Санкт-Петербурге</t>
        </is>
      </c>
    </row>
    <row r="13">
      <c r="B13" s="358" t="n">
        <v>2</v>
      </c>
      <c r="C13" s="317" t="inlineStr">
        <is>
          <t>Наименование субъекта Российской Федерации</t>
        </is>
      </c>
      <c r="D13" s="358" t="inlineStr">
        <is>
          <t>г.Санкт-Петербург</t>
        </is>
      </c>
    </row>
    <row r="14">
      <c r="B14" s="358" t="n">
        <v>3</v>
      </c>
      <c r="C14" s="317" t="inlineStr">
        <is>
          <t>Климатический район и подрайон</t>
        </is>
      </c>
      <c r="D14" s="358" t="inlineStr">
        <is>
          <t>IIВ</t>
        </is>
      </c>
    </row>
    <row r="15">
      <c r="B15" s="358" t="n">
        <v>4</v>
      </c>
      <c r="C15" s="317" t="inlineStr">
        <is>
          <t>Мощность объекта</t>
        </is>
      </c>
      <c r="D15" s="358" t="n">
        <v>5.67</v>
      </c>
    </row>
    <row r="16" ht="63" customHeight="1" s="326">
      <c r="B16" s="358" t="n">
        <v>5</v>
      </c>
      <c r="C16" s="17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58" t="inlineStr">
        <is>
          <t>Щиты: из досок толщиной 50 мм, плиты железобетонные</t>
        </is>
      </c>
    </row>
    <row r="17" ht="63" customHeight="1" s="326">
      <c r="B17" s="358" t="n">
        <v>6</v>
      </c>
      <c r="C17" s="17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12">
        <f>D18+D19+D21+D20</f>
        <v/>
      </c>
      <c r="E17" s="177" t="n"/>
    </row>
    <row r="18">
      <c r="B18" s="178" t="inlineStr">
        <is>
          <t>6.1</t>
        </is>
      </c>
      <c r="C18" s="317" t="inlineStr">
        <is>
          <t>строительно-монтажные работы</t>
        </is>
      </c>
      <c r="D18" s="312">
        <f>'Прил.2 Расч стоим'!F13+'Прил.2 Расч стоим'!G13</f>
        <v/>
      </c>
    </row>
    <row r="19">
      <c r="B19" s="178" t="inlineStr">
        <is>
          <t>6.2</t>
        </is>
      </c>
      <c r="C19" s="317" t="inlineStr">
        <is>
          <t>оборудование и инвентарь</t>
        </is>
      </c>
      <c r="D19" s="312">
        <f>'Прил.2 Расч стоим'!H13</f>
        <v/>
      </c>
    </row>
    <row r="20">
      <c r="B20" s="178" t="inlineStr">
        <is>
          <t>6.3</t>
        </is>
      </c>
      <c r="C20" s="317" t="inlineStr">
        <is>
          <t>пусконаладочные работы</t>
        </is>
      </c>
      <c r="D20" s="312" t="n">
        <v>0</v>
      </c>
    </row>
    <row r="21">
      <c r="B21" s="178" t="inlineStr">
        <is>
          <t>6.4</t>
        </is>
      </c>
      <c r="C21" s="179" t="inlineStr">
        <is>
          <t>прочие и лимитированные затраты</t>
        </is>
      </c>
      <c r="D21" s="312">
        <f>D18*3.3%+(D18*3.3%+D18)*1%</f>
        <v/>
      </c>
    </row>
    <row r="22">
      <c r="B22" s="358" t="n">
        <v>7</v>
      </c>
      <c r="C22" s="179" t="inlineStr">
        <is>
          <t>Сопоставимый уровень цен</t>
        </is>
      </c>
      <c r="D22" s="313" t="inlineStr">
        <is>
          <t>3 квартал 2013 г</t>
        </is>
      </c>
      <c r="E22" s="180" t="n"/>
    </row>
    <row r="23" ht="78.75" customHeight="1" s="326">
      <c r="B23" s="358" t="n">
        <v>8</v>
      </c>
      <c r="C23" s="181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12">
        <f>D17</f>
        <v/>
      </c>
      <c r="E23" s="177" t="n"/>
    </row>
    <row r="24" ht="31.5" customHeight="1" s="326">
      <c r="B24" s="358" t="n">
        <v>9</v>
      </c>
      <c r="C24" s="176" t="inlineStr">
        <is>
          <t>Приведенная сметная стоимость на единицу мощности, тыс. руб. (строка 8/строку 4)</t>
        </is>
      </c>
      <c r="D24" s="312">
        <f>D23/D15</f>
        <v/>
      </c>
      <c r="E24" s="180" t="n"/>
    </row>
    <row r="25">
      <c r="B25" s="358" t="n">
        <v>10</v>
      </c>
      <c r="C25" s="317" t="inlineStr">
        <is>
          <t>Примечание</t>
        </is>
      </c>
      <c r="D25" s="358" t="n"/>
    </row>
    <row r="26">
      <c r="B26" s="182" t="n"/>
      <c r="C26" s="183" t="n"/>
      <c r="D26" s="183" t="n"/>
    </row>
    <row r="27" ht="37.5" customHeight="1" s="326">
      <c r="B27" s="309" t="n"/>
    </row>
    <row r="28">
      <c r="B28" s="328" t="inlineStr">
        <is>
          <t>Составил ______________________    Д.Ю. Нефедова</t>
        </is>
      </c>
    </row>
    <row r="29">
      <c r="B29" s="309" t="inlineStr">
        <is>
          <t xml:space="preserve">                         (подпись, инициалы, фамилия)</t>
        </is>
      </c>
    </row>
    <row r="31">
      <c r="B31" s="328" t="inlineStr">
        <is>
          <t>Проверил ______________________        А.В. Костянецкая</t>
        </is>
      </c>
    </row>
    <row r="32">
      <c r="B32" s="309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Normal="70" workbookViewId="0">
      <selection activeCell="E18" sqref="E18"/>
    </sheetView>
  </sheetViews>
  <sheetFormatPr baseColWidth="8" defaultColWidth="9.140625" defaultRowHeight="15.75"/>
  <cols>
    <col width="5.5703125" customWidth="1" style="328" min="1" max="1"/>
    <col width="9.140625" customWidth="1" style="328" min="2" max="2"/>
    <col width="35.28515625" customWidth="1" style="328" min="3" max="3"/>
    <col width="13.85546875" customWidth="1" style="328" min="4" max="4"/>
    <col width="24.85546875" customWidth="1" style="328" min="5" max="5"/>
    <col width="15.5703125" customWidth="1" style="328" min="6" max="6"/>
    <col width="14.85546875" customWidth="1" style="328" min="7" max="7"/>
    <col width="16.7109375" customWidth="1" style="328" min="8" max="8"/>
    <col width="13" customWidth="1" style="328" min="9" max="10"/>
    <col width="13.7109375" customWidth="1" style="328" min="11" max="11"/>
  </cols>
  <sheetData>
    <row r="3">
      <c r="B3" s="352" t="inlineStr">
        <is>
          <t>Приложение № 2</t>
        </is>
      </c>
    </row>
    <row r="4">
      <c r="B4" s="353" t="inlineStr">
        <is>
          <t>Расчет стоимости основных видов работ для выбора объекта-представителя</t>
        </is>
      </c>
    </row>
    <row r="5">
      <c r="B5" s="184" t="n"/>
      <c r="C5" s="184" t="n"/>
      <c r="D5" s="184" t="n"/>
      <c r="E5" s="184" t="n"/>
      <c r="F5" s="184" t="n"/>
      <c r="G5" s="184" t="n"/>
      <c r="H5" s="184" t="n"/>
      <c r="I5" s="184" t="n"/>
      <c r="J5" s="184" t="n"/>
    </row>
    <row r="6" ht="29.25" customHeight="1" s="326">
      <c r="B6" s="355">
        <f>'Прил.1 Сравнит табл'!B7:D7</f>
        <v/>
      </c>
    </row>
    <row r="7">
      <c r="B7" s="355">
        <f>'Прил.1 Сравнит табл'!B9:D9</f>
        <v/>
      </c>
    </row>
    <row r="8" ht="18.75" customHeight="1" s="326">
      <c r="B8" s="265" t="n"/>
    </row>
    <row r="9" ht="15.75" customHeight="1" s="326">
      <c r="B9" s="358" t="inlineStr">
        <is>
          <t>№ п/п</t>
        </is>
      </c>
      <c r="C9" s="358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58" t="inlineStr">
        <is>
          <t>Объект-представитель 1</t>
        </is>
      </c>
      <c r="E9" s="446" t="n"/>
      <c r="F9" s="446" t="n"/>
      <c r="G9" s="446" t="n"/>
      <c r="H9" s="446" t="n"/>
      <c r="I9" s="446" t="n"/>
      <c r="J9" s="447" t="n"/>
    </row>
    <row r="10" ht="15.75" customHeight="1" s="326">
      <c r="B10" s="448" t="n"/>
      <c r="C10" s="448" t="n"/>
      <c r="D10" s="358" t="inlineStr">
        <is>
          <t>Номер сметы</t>
        </is>
      </c>
      <c r="E10" s="358" t="inlineStr">
        <is>
          <t>Наименование сметы</t>
        </is>
      </c>
      <c r="F10" s="358" t="inlineStr">
        <is>
          <t>Сметная стоимость в уровне цен 3 кв. 2013 г., тыс. руб.</t>
        </is>
      </c>
      <c r="G10" s="446" t="n"/>
      <c r="H10" s="446" t="n"/>
      <c r="I10" s="446" t="n"/>
      <c r="J10" s="447" t="n"/>
    </row>
    <row r="11" ht="31.5" customHeight="1" s="326">
      <c r="B11" s="449" t="n"/>
      <c r="C11" s="449" t="n"/>
      <c r="D11" s="449" t="n"/>
      <c r="E11" s="449" t="n"/>
      <c r="F11" s="358" t="inlineStr">
        <is>
          <t>Строительные работы</t>
        </is>
      </c>
      <c r="G11" s="358" t="inlineStr">
        <is>
          <t>Монтажные работы</t>
        </is>
      </c>
      <c r="H11" s="358" t="inlineStr">
        <is>
          <t>Оборудование</t>
        </is>
      </c>
      <c r="I11" s="358" t="inlineStr">
        <is>
          <t>Прочее</t>
        </is>
      </c>
      <c r="J11" s="358" t="inlineStr">
        <is>
          <t>Всего</t>
        </is>
      </c>
    </row>
    <row r="12" ht="78.75" customHeight="1" s="326">
      <c r="B12" s="315" t="n">
        <v>1</v>
      </c>
      <c r="C12" s="341">
        <f>'Прил.1 Сравнит табл'!D16</f>
        <v/>
      </c>
      <c r="D12" s="316" t="inlineStr">
        <is>
          <t>№ 02-01-16</t>
        </is>
      </c>
      <c r="E12" s="317" t="inlineStr">
        <is>
          <t>Строительные работы по прокладке кабелей 330 кВ  на участке от соед. муфты №8 до соед. муфты №9</t>
        </is>
      </c>
      <c r="F12" s="318" t="n">
        <v>17549.7047888</v>
      </c>
      <c r="G12" s="318" t="n">
        <v>124.257</v>
      </c>
      <c r="H12" s="318" t="n"/>
      <c r="I12" s="318" t="n"/>
      <c r="J12" s="319">
        <f>SUM(F12:I12)</f>
        <v/>
      </c>
      <c r="K12" s="450" t="n"/>
    </row>
    <row r="13" ht="15.75" customHeight="1" s="326">
      <c r="B13" s="357" t="inlineStr">
        <is>
          <t>Всего по объекту:</t>
        </is>
      </c>
      <c r="C13" s="446" t="n"/>
      <c r="D13" s="446" t="n"/>
      <c r="E13" s="447" t="n"/>
      <c r="F13" s="321">
        <f>SUM(F12:F12)</f>
        <v/>
      </c>
      <c r="G13" s="321">
        <f>SUM(G12:G12)</f>
        <v/>
      </c>
      <c r="H13" s="321">
        <f>SUM(H12:H12)</f>
        <v/>
      </c>
      <c r="I13" s="321" t="n"/>
      <c r="J13" s="321">
        <f>SUM(F13:I13)</f>
        <v/>
      </c>
      <c r="K13" s="451" t="n"/>
    </row>
    <row r="14" ht="15.75" customHeight="1" s="326">
      <c r="B14" s="357" t="inlineStr">
        <is>
          <t>Всего по объекту в сопоставимом уровне цен 3 кв. 2013г:</t>
        </is>
      </c>
      <c r="C14" s="446" t="n"/>
      <c r="D14" s="446" t="n"/>
      <c r="E14" s="447" t="n"/>
      <c r="F14" s="321">
        <f>F13</f>
        <v/>
      </c>
      <c r="G14" s="321">
        <f>G13</f>
        <v/>
      </c>
      <c r="H14" s="321">
        <f>H13</f>
        <v/>
      </c>
      <c r="I14" s="321">
        <f>'Прил.1 Сравнит табл'!D21</f>
        <v/>
      </c>
      <c r="J14" s="321">
        <f>SUM(F14:I14)</f>
        <v/>
      </c>
    </row>
    <row r="15" ht="15" customHeight="1" s="326"/>
    <row r="16" ht="15" customHeight="1" s="326"/>
    <row r="17" ht="15" customHeight="1" s="326"/>
    <row r="18" ht="15" customHeight="1" s="326">
      <c r="C18" s="297" t="inlineStr">
        <is>
          <t>Составил ______________________     Д.Ю. Нефедова</t>
        </is>
      </c>
      <c r="D18" s="307" t="n"/>
      <c r="E18" s="307" t="n"/>
    </row>
    <row r="19" ht="15" customHeight="1" s="326">
      <c r="C19" s="306" t="inlineStr">
        <is>
          <t xml:space="preserve">                         (подпись, инициалы, фамилия)</t>
        </is>
      </c>
      <c r="D19" s="307" t="n"/>
      <c r="E19" s="307" t="n"/>
    </row>
    <row r="20" ht="15" customHeight="1" s="326">
      <c r="C20" s="297" t="n"/>
      <c r="D20" s="307" t="n"/>
      <c r="E20" s="307" t="n"/>
    </row>
    <row r="21" ht="15" customHeight="1" s="326">
      <c r="C21" s="297" t="inlineStr">
        <is>
          <t>Проверил ______________________        А.В. Костянецкая</t>
        </is>
      </c>
      <c r="D21" s="307" t="n"/>
      <c r="E21" s="307" t="n"/>
    </row>
    <row r="22" ht="15" customHeight="1" s="326">
      <c r="C22" s="306" t="inlineStr">
        <is>
          <t xml:space="preserve">                        (подпись, инициалы, фамилия)</t>
        </is>
      </c>
      <c r="D22" s="307" t="n"/>
      <c r="E22" s="307" t="n"/>
    </row>
    <row r="23" ht="15" customHeight="1" s="326"/>
    <row r="24" ht="15" customHeight="1" s="326"/>
    <row r="25" ht="15" customHeight="1" s="326"/>
    <row r="26" ht="15" customHeight="1" s="326"/>
    <row r="27" ht="15" customHeight="1" s="326"/>
    <row r="28" ht="15" customHeight="1" s="326"/>
  </sheetData>
  <mergeCells count="12">
    <mergeCell ref="B7:J7"/>
    <mergeCell ref="B3:J3"/>
    <mergeCell ref="D10:D11"/>
    <mergeCell ref="D9:J9"/>
    <mergeCell ref="B13:E13"/>
    <mergeCell ref="F10:J10"/>
    <mergeCell ref="B9:B11"/>
    <mergeCell ref="C9:C11"/>
    <mergeCell ref="B4:J4"/>
    <mergeCell ref="E10:E11"/>
    <mergeCell ref="B6:J6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129"/>
  <sheetViews>
    <sheetView view="pageBreakPreview" topLeftCell="A112" zoomScale="85" workbookViewId="0">
      <selection activeCell="D125" sqref="D125"/>
    </sheetView>
  </sheetViews>
  <sheetFormatPr baseColWidth="8" defaultColWidth="9.140625" defaultRowHeight="15.75"/>
  <cols>
    <col width="9.140625" customWidth="1" style="328" min="1" max="1"/>
    <col width="12.5703125" customWidth="1" style="328" min="2" max="2"/>
    <col width="22.42578125" customWidth="1" style="328" min="3" max="3"/>
    <col width="49.7109375" customWidth="1" style="328" min="4" max="4"/>
    <col width="10.140625" customWidth="1" style="328" min="5" max="5"/>
    <col width="20.7109375" customWidth="1" style="328" min="6" max="6"/>
    <col width="20" customWidth="1" style="328" min="7" max="7"/>
    <col width="16.7109375" customWidth="1" style="328" min="8" max="8"/>
    <col width="9.28515625" customWidth="1" style="328" min="9" max="9"/>
    <col width="10.28515625" customWidth="1" style="328" min="10" max="10"/>
    <col width="11.7109375" customWidth="1" style="328" min="11" max="11"/>
    <col width="9.140625" customWidth="1" style="328" min="12" max="12"/>
  </cols>
  <sheetData>
    <row r="2">
      <c r="A2" s="352" t="inlineStr">
        <is>
          <t xml:space="preserve">Приложение № 3 </t>
        </is>
      </c>
    </row>
    <row r="3">
      <c r="A3" s="353" t="inlineStr">
        <is>
          <t>Объектная ресурсная ведомость</t>
        </is>
      </c>
    </row>
    <row r="4" ht="18.75" customHeight="1" s="326">
      <c r="A4" s="186" t="n"/>
      <c r="B4" s="186" t="n"/>
      <c r="C4" s="367" t="n"/>
    </row>
    <row r="5">
      <c r="A5" s="355" t="n"/>
    </row>
    <row r="6" ht="33.75" customHeight="1" s="326">
      <c r="A6" s="366" t="inlineStr">
        <is>
          <t>Наименование разрабатываемого показателя УНЦ -  Укрепление котлованов и траншей 330-500 кВ (Все регионы за исключением Москвы и Санкт-Петербурга)</t>
        </is>
      </c>
    </row>
    <row r="7">
      <c r="A7" s="187" t="n"/>
      <c r="B7" s="187" t="n"/>
      <c r="C7" s="187" t="n"/>
      <c r="D7" s="187" t="n"/>
      <c r="E7" s="187" t="n"/>
      <c r="F7" s="187" t="n"/>
      <c r="G7" s="187" t="n"/>
      <c r="H7" s="187" t="n"/>
    </row>
    <row r="8" ht="38.25" customHeight="1" s="326">
      <c r="A8" s="358" t="inlineStr">
        <is>
          <t>п/п</t>
        </is>
      </c>
      <c r="B8" s="358" t="inlineStr">
        <is>
          <t>№ЛСР</t>
        </is>
      </c>
      <c r="C8" s="358" t="inlineStr">
        <is>
          <t>Код ресурса</t>
        </is>
      </c>
      <c r="D8" s="358" t="inlineStr">
        <is>
          <t>Наименование ресурса</t>
        </is>
      </c>
      <c r="E8" s="358" t="inlineStr">
        <is>
          <t>Ед. изм.</t>
        </is>
      </c>
      <c r="F8" s="358" t="inlineStr">
        <is>
          <t>Кол-во единиц по данным объекта-представителя</t>
        </is>
      </c>
      <c r="G8" s="358" t="inlineStr">
        <is>
          <t>Сметная стоимость в ценах на 01.01.2000 (руб.)</t>
        </is>
      </c>
      <c r="H8" s="447" t="n"/>
    </row>
    <row r="9" ht="40.5" customHeight="1" s="326">
      <c r="A9" s="449" t="n"/>
      <c r="B9" s="449" t="n"/>
      <c r="C9" s="449" t="n"/>
      <c r="D9" s="449" t="n"/>
      <c r="E9" s="449" t="n"/>
      <c r="F9" s="449" t="n"/>
      <c r="G9" s="358" t="inlineStr">
        <is>
          <t>на ед.изм.</t>
        </is>
      </c>
      <c r="H9" s="358" t="inlineStr">
        <is>
          <t>общая</t>
        </is>
      </c>
    </row>
    <row r="10">
      <c r="A10" s="341" t="n">
        <v>1</v>
      </c>
      <c r="B10" s="341" t="n"/>
      <c r="C10" s="341" t="n">
        <v>2</v>
      </c>
      <c r="D10" s="341" t="inlineStr">
        <is>
          <t>З</t>
        </is>
      </c>
      <c r="E10" s="341" t="n">
        <v>4</v>
      </c>
      <c r="F10" s="341" t="n">
        <v>5</v>
      </c>
      <c r="G10" s="341" t="n">
        <v>6</v>
      </c>
      <c r="H10" s="341" t="n">
        <v>7</v>
      </c>
    </row>
    <row r="11" customFormat="1" s="204">
      <c r="A11" s="360" t="inlineStr">
        <is>
          <t>Затраты труда рабочих</t>
        </is>
      </c>
      <c r="B11" s="446" t="n"/>
      <c r="C11" s="446" t="n"/>
      <c r="D11" s="446" t="n"/>
      <c r="E11" s="447" t="n"/>
      <c r="F11" s="452">
        <f>SUM(F12:F23)</f>
        <v/>
      </c>
      <c r="G11" s="198" t="n"/>
      <c r="H11" s="452">
        <f>SUM(H12:H23)</f>
        <v/>
      </c>
      <c r="I11" s="453" t="n"/>
      <c r="J11" s="453" t="n"/>
    </row>
    <row r="12">
      <c r="A12" s="393" t="n">
        <v>1</v>
      </c>
      <c r="B12" s="190" t="n"/>
      <c r="C12" s="194" t="inlineStr">
        <is>
          <t>1-3-0</t>
        </is>
      </c>
      <c r="D12" s="195" t="inlineStr">
        <is>
          <t>Затраты труда рабочих (средний разряд работы 3,0)</t>
        </is>
      </c>
      <c r="E12" s="393" t="inlineStr">
        <is>
          <t>чел.-ч</t>
        </is>
      </c>
      <c r="F12" s="454" t="n">
        <v>18356.83</v>
      </c>
      <c r="G12" s="201" t="n">
        <v>8.529999999999999</v>
      </c>
      <c r="H12" s="201">
        <f>ROUND(F12*G12,2)</f>
        <v/>
      </c>
      <c r="M12" s="455" t="n"/>
    </row>
    <row r="13">
      <c r="A13" s="393" t="n">
        <v>2</v>
      </c>
      <c r="B13" s="190" t="n"/>
      <c r="C13" s="194" t="inlineStr">
        <is>
          <t>1-4-0</t>
        </is>
      </c>
      <c r="D13" s="195" t="inlineStr">
        <is>
          <t>Затраты труда рабочих (средний разряд работы 4,0)</t>
        </is>
      </c>
      <c r="E13" s="393" t="inlineStr">
        <is>
          <t>чел.-ч</t>
        </is>
      </c>
      <c r="F13" s="454" t="n">
        <v>565.03</v>
      </c>
      <c r="G13" s="201" t="n">
        <v>9.619999999999999</v>
      </c>
      <c r="H13" s="201">
        <f>ROUND(F13*G13,2)</f>
        <v/>
      </c>
    </row>
    <row r="14">
      <c r="A14" s="393" t="n">
        <v>3</v>
      </c>
      <c r="B14" s="190" t="n"/>
      <c r="C14" s="194" t="inlineStr">
        <is>
          <t>1-3-7</t>
        </is>
      </c>
      <c r="D14" s="195" t="inlineStr">
        <is>
          <t>Затраты труда рабочих (средний разряд работы 3,7)</t>
        </is>
      </c>
      <c r="E14" s="393" t="inlineStr">
        <is>
          <t>чел.-ч</t>
        </is>
      </c>
      <c r="F14" s="454" t="n">
        <v>479.6</v>
      </c>
      <c r="G14" s="201" t="n">
        <v>9.289999999999999</v>
      </c>
      <c r="H14" s="201">
        <f>ROUND(F14*G14,2)</f>
        <v/>
      </c>
    </row>
    <row r="15">
      <c r="A15" s="393" t="n">
        <v>4</v>
      </c>
      <c r="B15" s="190" t="n"/>
      <c r="C15" s="194" t="inlineStr">
        <is>
          <t>1-3-8</t>
        </is>
      </c>
      <c r="D15" s="195" t="inlineStr">
        <is>
          <t>Затраты труда рабочих (средний разряд работы 3,8)</t>
        </is>
      </c>
      <c r="E15" s="393" t="inlineStr">
        <is>
          <t>чел.-ч</t>
        </is>
      </c>
      <c r="F15" s="454" t="n">
        <v>336.56</v>
      </c>
      <c r="G15" s="201" t="n">
        <v>9.4</v>
      </c>
      <c r="H15" s="201">
        <f>ROUND(F15*G15,2)</f>
        <v/>
      </c>
    </row>
    <row r="16">
      <c r="A16" s="393" t="n">
        <v>5</v>
      </c>
      <c r="B16" s="190" t="n"/>
      <c r="C16" s="194" t="inlineStr">
        <is>
          <t>1-2-0</t>
        </is>
      </c>
      <c r="D16" s="195" t="inlineStr">
        <is>
          <t>Затраты труда рабочих (средний разряд работы 2,0)</t>
        </is>
      </c>
      <c r="E16" s="393" t="inlineStr">
        <is>
          <t>чел.-ч</t>
        </is>
      </c>
      <c r="F16" s="454" t="n">
        <v>228.6</v>
      </c>
      <c r="G16" s="201" t="n">
        <v>7.8</v>
      </c>
      <c r="H16" s="201">
        <f>ROUND(F16*G16,2)</f>
        <v/>
      </c>
    </row>
    <row r="17">
      <c r="A17" s="393" t="n">
        <v>6</v>
      </c>
      <c r="B17" s="190" t="n"/>
      <c r="C17" s="194" t="inlineStr">
        <is>
          <t>1-2-9</t>
        </is>
      </c>
      <c r="D17" s="195" t="inlineStr">
        <is>
          <t>Затраты труда рабочих (средний разряд работы 2,9)</t>
        </is>
      </c>
      <c r="E17" s="393" t="inlineStr">
        <is>
          <t>чел.-ч</t>
        </is>
      </c>
      <c r="F17" s="454" t="n">
        <v>89.27</v>
      </c>
      <c r="G17" s="201" t="n">
        <v>8.460000000000001</v>
      </c>
      <c r="H17" s="201">
        <f>ROUND(F17*G17,2)</f>
        <v/>
      </c>
    </row>
    <row r="18">
      <c r="A18" s="393" t="n">
        <v>7</v>
      </c>
      <c r="B18" s="190" t="n"/>
      <c r="C18" s="194" t="inlineStr">
        <is>
          <t>1-4-6</t>
        </is>
      </c>
      <c r="D18" s="195" t="inlineStr">
        <is>
          <t>Затраты труда рабочих (средний разряд работы 4,6)</t>
        </is>
      </c>
      <c r="E18" s="393" t="inlineStr">
        <is>
          <t>чел.-ч</t>
        </is>
      </c>
      <c r="F18" s="454" t="n">
        <v>44.15</v>
      </c>
      <c r="G18" s="201" t="n">
        <v>10.5</v>
      </c>
      <c r="H18" s="201">
        <f>ROUND(F18*G18,2)</f>
        <v/>
      </c>
    </row>
    <row r="19">
      <c r="A19" s="393" t="n">
        <v>8</v>
      </c>
      <c r="B19" s="190" t="n"/>
      <c r="C19" s="194" t="inlineStr">
        <is>
          <t>1-3-9</t>
        </is>
      </c>
      <c r="D19" s="195" t="inlineStr">
        <is>
          <t>Затраты труда рабочих (средний разряд работы 3,9)</t>
        </is>
      </c>
      <c r="E19" s="393" t="inlineStr">
        <is>
          <t>чел.-ч</t>
        </is>
      </c>
      <c r="F19" s="454" t="n">
        <v>28.24</v>
      </c>
      <c r="G19" s="201" t="n">
        <v>9.51</v>
      </c>
      <c r="H19" s="201">
        <f>ROUND(F19*G19,2)</f>
        <v/>
      </c>
    </row>
    <row r="20">
      <c r="A20" s="393" t="n">
        <v>9</v>
      </c>
      <c r="B20" s="190" t="n"/>
      <c r="C20" s="194" t="inlineStr">
        <is>
          <t>1-2-3</t>
        </is>
      </c>
      <c r="D20" s="195" t="inlineStr">
        <is>
          <t>Затраты труда рабочих (средний разряд работы 2,3)</t>
        </is>
      </c>
      <c r="E20" s="393" t="inlineStr">
        <is>
          <t>чел.-ч</t>
        </is>
      </c>
      <c r="F20" s="454" t="n">
        <v>24.79</v>
      </c>
      <c r="G20" s="201" t="n">
        <v>8.02</v>
      </c>
      <c r="H20" s="201">
        <f>ROUND(F20*G20,2)</f>
        <v/>
      </c>
    </row>
    <row r="21">
      <c r="A21" s="393" t="n">
        <v>10</v>
      </c>
      <c r="B21" s="190" t="n"/>
      <c r="C21" s="194" t="inlineStr">
        <is>
          <t>1-3-5</t>
        </is>
      </c>
      <c r="D21" s="195" t="inlineStr">
        <is>
          <t>Затраты труда рабочих (средний разряд работы 3,5)</t>
        </is>
      </c>
      <c r="E21" s="393" t="inlineStr">
        <is>
          <t>чел.-ч</t>
        </is>
      </c>
      <c r="F21" s="454" t="n">
        <v>17.24</v>
      </c>
      <c r="G21" s="201" t="n">
        <v>9.07</v>
      </c>
      <c r="H21" s="201">
        <f>ROUND(F21*G21,2)</f>
        <v/>
      </c>
    </row>
    <row r="22">
      <c r="A22" s="393" t="n">
        <v>11</v>
      </c>
      <c r="B22" s="190" t="n"/>
      <c r="C22" s="194" t="inlineStr">
        <is>
          <t>1-2-5</t>
        </is>
      </c>
      <c r="D22" s="195" t="inlineStr">
        <is>
          <t>Затраты труда рабочих (средний разряд работы 2,5)</t>
        </is>
      </c>
      <c r="E22" s="393" t="inlineStr">
        <is>
          <t>чел.-ч</t>
        </is>
      </c>
      <c r="F22" s="454" t="n">
        <v>3.47</v>
      </c>
      <c r="G22" s="201" t="n">
        <v>8.17</v>
      </c>
      <c r="H22" s="201">
        <f>ROUND(F22*G22,2)</f>
        <v/>
      </c>
      <c r="K22" s="204" t="n"/>
    </row>
    <row r="23">
      <c r="A23" s="393" t="n">
        <v>12</v>
      </c>
      <c r="B23" s="190" t="n"/>
      <c r="C23" s="194" t="inlineStr">
        <is>
          <t>1-3-4</t>
        </is>
      </c>
      <c r="D23" s="195" t="inlineStr">
        <is>
          <t>Затраты труда рабочих (средний разряд работы 3,4)</t>
        </is>
      </c>
      <c r="E23" s="393" t="inlineStr">
        <is>
          <t>чел.-ч</t>
        </is>
      </c>
      <c r="F23" s="454" t="n">
        <v>1.98</v>
      </c>
      <c r="G23" s="201" t="n">
        <v>8.970000000000001</v>
      </c>
      <c r="H23" s="201">
        <f>ROUND(F23*G23,2)</f>
        <v/>
      </c>
    </row>
    <row r="24">
      <c r="A24" s="359" t="inlineStr">
        <is>
          <t>Затраты труда машинистов</t>
        </is>
      </c>
      <c r="B24" s="446" t="n"/>
      <c r="C24" s="446" t="n"/>
      <c r="D24" s="446" t="n"/>
      <c r="E24" s="447" t="n"/>
      <c r="F24" s="360" t="n"/>
      <c r="G24" s="200" t="n"/>
      <c r="H24" s="452">
        <f>H25</f>
        <v/>
      </c>
    </row>
    <row r="25">
      <c r="A25" s="393" t="n">
        <v>13</v>
      </c>
      <c r="B25" s="361" t="n"/>
      <c r="C25" s="194" t="n">
        <v>2</v>
      </c>
      <c r="D25" s="195" t="inlineStr">
        <is>
          <t>Затраты труда машинистов</t>
        </is>
      </c>
      <c r="E25" s="393" t="inlineStr">
        <is>
          <t>чел.-ч</t>
        </is>
      </c>
      <c r="F25" s="454" t="n">
        <v>1211.35</v>
      </c>
      <c r="G25" s="201" t="n"/>
      <c r="H25" s="456" t="n">
        <v>15327.06</v>
      </c>
      <c r="I25" s="204" t="n"/>
      <c r="J25" s="204" t="n"/>
      <c r="K25" s="204" t="n"/>
    </row>
    <row r="26" customFormat="1" s="204">
      <c r="A26" s="360" t="inlineStr">
        <is>
          <t>Машины и механизмы</t>
        </is>
      </c>
      <c r="B26" s="446" t="n"/>
      <c r="C26" s="446" t="n"/>
      <c r="D26" s="446" t="n"/>
      <c r="E26" s="447" t="n"/>
      <c r="F26" s="360" t="n"/>
      <c r="G26" s="200" t="n"/>
      <c r="H26" s="452">
        <f>SUM(H27:H57)</f>
        <v/>
      </c>
      <c r="I26" s="453" t="n"/>
      <c r="J26" s="453" t="n"/>
    </row>
    <row r="27" ht="25.5" customHeight="1" s="326">
      <c r="A27" s="393" t="n">
        <v>14</v>
      </c>
      <c r="B27" s="361" t="n"/>
      <c r="C27" s="194" t="inlineStr">
        <is>
          <t>91.05.05-014</t>
        </is>
      </c>
      <c r="D27" s="195" t="inlineStr">
        <is>
          <t>Краны на автомобильном ходу, грузоподъемность 10 т</t>
        </is>
      </c>
      <c r="E27" s="393" t="inlineStr">
        <is>
          <t>маш.час</t>
        </is>
      </c>
      <c r="F27" s="393" t="n">
        <v>365.22</v>
      </c>
      <c r="G27" s="202" t="n">
        <v>111.99</v>
      </c>
      <c r="H27" s="201">
        <f>ROUND(F27*G27,2)</f>
        <v/>
      </c>
      <c r="I27" s="204" t="n"/>
      <c r="J27" s="204" t="n"/>
      <c r="K27" s="204" t="n"/>
      <c r="L27" s="207" t="n"/>
    </row>
    <row r="28" customFormat="1" s="204">
      <c r="A28" s="393" t="n">
        <v>15</v>
      </c>
      <c r="B28" s="361" t="n"/>
      <c r="C28" s="194" t="inlineStr">
        <is>
          <t>91.14.02-001</t>
        </is>
      </c>
      <c r="D28" s="195" t="inlineStr">
        <is>
          <t>Автомобили бортовые, грузоподъемность: до 5 т</t>
        </is>
      </c>
      <c r="E28" s="393" t="inlineStr">
        <is>
          <t>маш.час</t>
        </is>
      </c>
      <c r="F28" s="393" t="n">
        <v>519.15</v>
      </c>
      <c r="G28" s="202" t="n">
        <v>65.70999999999999</v>
      </c>
      <c r="H28" s="201">
        <f>ROUND(F28*G28,2)</f>
        <v/>
      </c>
      <c r="L28" s="207" t="n"/>
    </row>
    <row r="29" ht="38.25" customHeight="1" s="326">
      <c r="A29" s="393" t="n">
        <v>16</v>
      </c>
      <c r="B29" s="361" t="n"/>
      <c r="C29" s="194" t="inlineStr">
        <is>
          <t>91.04.01-078</t>
        </is>
      </c>
      <c r="D29" s="195" t="inlineStr">
        <is>
          <t>Установки и агрегаты буровые на базе автомобилей для роторного бурения скважин на воду глубина бурения: до 500 м, грузоподъемность 12,5 т</t>
        </is>
      </c>
      <c r="E29" s="393" t="inlineStr">
        <is>
          <t>маш.час</t>
        </is>
      </c>
      <c r="F29" s="393" t="n">
        <v>42.91</v>
      </c>
      <c r="G29" s="202" t="n">
        <v>340</v>
      </c>
      <c r="H29" s="201">
        <f>ROUND(F29*G29,2)</f>
        <v/>
      </c>
      <c r="I29" s="204" t="n"/>
      <c r="J29" s="204" t="n"/>
      <c r="K29" s="204" t="n"/>
      <c r="L29" s="207" t="n"/>
    </row>
    <row r="30" ht="25.5" customHeight="1" s="326">
      <c r="A30" s="393" t="n">
        <v>17</v>
      </c>
      <c r="B30" s="361" t="n"/>
      <c r="C30" s="194" t="inlineStr">
        <is>
          <t>91.10.05-005</t>
        </is>
      </c>
      <c r="D30" s="195" t="inlineStr">
        <is>
          <t>Трубоукладчики для труб диаметром: до 700 мм, грузоподъемность 12,5 т</t>
        </is>
      </c>
      <c r="E30" s="393" t="inlineStr">
        <is>
          <t>маш.час</t>
        </is>
      </c>
      <c r="F30" s="393" t="n">
        <v>71.94</v>
      </c>
      <c r="G30" s="202" t="n">
        <v>152.5</v>
      </c>
      <c r="H30" s="201">
        <f>ROUND(F30*G30,2)</f>
        <v/>
      </c>
      <c r="I30" s="204" t="n"/>
      <c r="J30" s="204" t="n"/>
      <c r="K30" s="204" t="n"/>
      <c r="L30" s="207" t="n"/>
    </row>
    <row r="31" ht="38.25" customHeight="1" s="326">
      <c r="A31" s="393" t="n">
        <v>18</v>
      </c>
      <c r="B31" s="361" t="n"/>
      <c r="C31" s="194" t="inlineStr">
        <is>
          <t>91.04.01-021</t>
        </is>
      </c>
      <c r="D31" s="195" t="inlineStr">
        <is>
          <t>Комплекты оборудования шнекового бурения на базе автомобиля глубина бурения до 50 м, грузоподъемность мачты 3,7 т</t>
        </is>
      </c>
      <c r="E31" s="393" t="inlineStr">
        <is>
          <t>маш.час</t>
        </is>
      </c>
      <c r="F31" s="393" t="n">
        <v>102.07</v>
      </c>
      <c r="G31" s="202" t="n">
        <v>87.59999999999999</v>
      </c>
      <c r="H31" s="201">
        <f>ROUND(F31*G31,2)</f>
        <v/>
      </c>
      <c r="I31" s="204" t="n"/>
      <c r="J31" s="204" t="n"/>
      <c r="K31" s="204" t="n"/>
      <c r="L31" s="207" t="n"/>
    </row>
    <row r="32">
      <c r="A32" s="393" t="n">
        <v>19</v>
      </c>
      <c r="B32" s="361" t="n"/>
      <c r="C32" s="194" t="inlineStr">
        <is>
          <t>91.08.11-011</t>
        </is>
      </c>
      <c r="D32" s="195" t="inlineStr">
        <is>
          <t>Заливщик швов на базе автомобиля</t>
        </is>
      </c>
      <c r="E32" s="393" t="inlineStr">
        <is>
          <t>маш.час</t>
        </is>
      </c>
      <c r="F32" s="393" t="n">
        <v>44.34</v>
      </c>
      <c r="G32" s="202" t="n">
        <v>175.25</v>
      </c>
      <c r="H32" s="201">
        <f>ROUND(F32*G32,2)</f>
        <v/>
      </c>
      <c r="I32" s="204" t="n"/>
      <c r="J32" s="204" t="n"/>
      <c r="K32" s="204" t="n"/>
    </row>
    <row r="33">
      <c r="A33" s="393" t="n">
        <v>20</v>
      </c>
      <c r="B33" s="361" t="n"/>
      <c r="C33" s="194" t="inlineStr">
        <is>
          <t>91.08.03-030</t>
        </is>
      </c>
      <c r="D33" s="195" t="inlineStr">
        <is>
          <t>Катки на пневмоколесном ходу, масса 30 т</t>
        </is>
      </c>
      <c r="E33" s="393" t="inlineStr">
        <is>
          <t>маш.час</t>
        </is>
      </c>
      <c r="F33" s="393" t="n">
        <v>11.16</v>
      </c>
      <c r="G33" s="202" t="n">
        <v>364.07</v>
      </c>
      <c r="H33" s="201">
        <f>ROUND(F33*G33,2)</f>
        <v/>
      </c>
      <c r="I33" s="204" t="n"/>
      <c r="J33" s="204" t="n"/>
      <c r="K33" s="204" t="n"/>
    </row>
    <row r="34">
      <c r="A34" s="393" t="n">
        <v>21</v>
      </c>
      <c r="B34" s="361" t="n"/>
      <c r="C34" s="194" t="inlineStr">
        <is>
          <t>91.05.01-017</t>
        </is>
      </c>
      <c r="D34" s="195" t="inlineStr">
        <is>
          <t>Краны башенные, грузоподъемность 8 т</t>
        </is>
      </c>
      <c r="E34" s="393" t="inlineStr">
        <is>
          <t>маш.час</t>
        </is>
      </c>
      <c r="F34" s="393" t="n">
        <v>22.86</v>
      </c>
      <c r="G34" s="202" t="n">
        <v>86.40000000000001</v>
      </c>
      <c r="H34" s="201">
        <f>ROUND(F34*G34,2)</f>
        <v/>
      </c>
      <c r="I34" s="204" t="n"/>
      <c r="J34" s="204" t="n"/>
      <c r="K34" s="204" t="n"/>
    </row>
    <row r="35">
      <c r="A35" s="393" t="n">
        <v>22</v>
      </c>
      <c r="B35" s="361" t="n"/>
      <c r="C35" s="194" t="inlineStr">
        <is>
          <t>91.06.05-011</t>
        </is>
      </c>
      <c r="D35" s="195" t="inlineStr">
        <is>
          <t>Погрузчик, грузоподъемность 5 т</t>
        </is>
      </c>
      <c r="E35" s="393" t="inlineStr">
        <is>
          <t>маш.час</t>
        </is>
      </c>
      <c r="F35" s="393" t="n">
        <v>6.98</v>
      </c>
      <c r="G35" s="202" t="n">
        <v>89.98999999999999</v>
      </c>
      <c r="H35" s="201">
        <f>ROUND(F35*G35,2)</f>
        <v/>
      </c>
      <c r="I35" s="204" t="n"/>
      <c r="J35" s="204" t="n"/>
      <c r="K35" s="204" t="n"/>
    </row>
    <row r="36">
      <c r="A36" s="393" t="n">
        <v>23</v>
      </c>
      <c r="B36" s="361" t="n"/>
      <c r="C36" s="194" t="inlineStr">
        <is>
          <t>91.05.06-012</t>
        </is>
      </c>
      <c r="D36" s="195" t="inlineStr">
        <is>
          <t>Краны на гусеничном ходу, грузоподъемность до 16 т</t>
        </is>
      </c>
      <c r="E36" s="393" t="inlineStr">
        <is>
          <t>маш.час</t>
        </is>
      </c>
      <c r="F36" s="393" t="n">
        <v>4.52</v>
      </c>
      <c r="G36" s="202" t="n">
        <v>96.89</v>
      </c>
      <c r="H36" s="201">
        <f>ROUND(F36*G36,2)</f>
        <v/>
      </c>
      <c r="I36" s="453" t="n"/>
      <c r="J36" s="453" t="n"/>
    </row>
    <row r="37" ht="25.5" customHeight="1" s="326">
      <c r="A37" s="393" t="n">
        <v>24</v>
      </c>
      <c r="B37" s="361" t="n"/>
      <c r="C37" s="194" t="inlineStr">
        <is>
          <t>91.17.04-036</t>
        </is>
      </c>
      <c r="D37" s="195" t="inlineStr">
        <is>
          <t>Агрегаты сварочные передвижные номинальным сварочным током 250-400 А: с дизельным двигателем</t>
        </is>
      </c>
      <c r="E37" s="393" t="inlineStr">
        <is>
          <t>маш.час</t>
        </is>
      </c>
      <c r="F37" s="393" t="n">
        <v>28.67</v>
      </c>
      <c r="G37" s="202" t="n">
        <v>14</v>
      </c>
      <c r="H37" s="201">
        <f>ROUND(F37*G37,2)</f>
        <v/>
      </c>
    </row>
    <row r="38">
      <c r="A38" s="393" t="n">
        <v>25</v>
      </c>
      <c r="B38" s="361" t="n"/>
      <c r="C38" s="194" t="inlineStr">
        <is>
          <t>91.05.06-007</t>
        </is>
      </c>
      <c r="D38" s="195" t="inlineStr">
        <is>
          <t>Краны на гусеничном ходу, грузоподъемность 25 т</t>
        </is>
      </c>
      <c r="E38" s="393" t="inlineStr">
        <is>
          <t>маш.час</t>
        </is>
      </c>
      <c r="F38" s="393" t="n">
        <v>3.29</v>
      </c>
      <c r="G38" s="202" t="n">
        <v>120.04</v>
      </c>
      <c r="H38" s="201">
        <f>ROUND(F38*G38,2)</f>
        <v/>
      </c>
    </row>
    <row r="39" ht="25.5" customHeight="1" s="326">
      <c r="A39" s="393" t="n">
        <v>26</v>
      </c>
      <c r="B39" s="361" t="n"/>
      <c r="C39" s="194" t="inlineStr">
        <is>
          <t>91.05.04-006</t>
        </is>
      </c>
      <c r="D39" s="195" t="inlineStr">
        <is>
          <t>Краны мостовые электрические, грузоподъемность 10 т</t>
        </is>
      </c>
      <c r="E39" s="393" t="inlineStr">
        <is>
          <t>маш.час</t>
        </is>
      </c>
      <c r="F39" s="393" t="n">
        <v>5.28</v>
      </c>
      <c r="G39" s="202" t="n">
        <v>73.12</v>
      </c>
      <c r="H39" s="201">
        <f>ROUND(F39*G39,2)</f>
        <v/>
      </c>
    </row>
    <row r="40" ht="25.5" customHeight="1" s="326">
      <c r="A40" s="393" t="n">
        <v>27</v>
      </c>
      <c r="B40" s="361" t="n"/>
      <c r="C40" s="194" t="inlineStr">
        <is>
          <t>91.17.04-233</t>
        </is>
      </c>
      <c r="D40" s="195" t="inlineStr">
        <is>
          <t>Установки для сварки: ручной дуговой (постоянного тока)</t>
        </is>
      </c>
      <c r="E40" s="393" t="inlineStr">
        <is>
          <t>маш.час</t>
        </is>
      </c>
      <c r="F40" s="393" t="n">
        <v>42.94</v>
      </c>
      <c r="G40" s="202" t="n">
        <v>8.1</v>
      </c>
      <c r="H40" s="201">
        <f>ROUND(F40*G40,2)</f>
        <v/>
      </c>
      <c r="J40" s="207" t="n"/>
    </row>
    <row r="41" ht="25.5" customHeight="1" s="326">
      <c r="A41" s="393" t="n">
        <v>28</v>
      </c>
      <c r="B41" s="361" t="n"/>
      <c r="C41" s="194" t="inlineStr">
        <is>
          <t>91.01.02-004</t>
        </is>
      </c>
      <c r="D41" s="195" t="inlineStr">
        <is>
          <t>Автогрейдеры: среднего типа, мощность 99 кВт (135 л.с.)</t>
        </is>
      </c>
      <c r="E41" s="393" t="inlineStr">
        <is>
          <t>маш.час</t>
        </is>
      </c>
      <c r="F41" s="393" t="n">
        <v>2.79</v>
      </c>
      <c r="G41" s="202" t="n">
        <v>123</v>
      </c>
      <c r="H41" s="201">
        <f>ROUND(F41*G41,2)</f>
        <v/>
      </c>
      <c r="J41" s="207" t="n"/>
    </row>
    <row r="42" ht="25.5" customHeight="1" s="326">
      <c r="A42" s="393" t="n">
        <v>29</v>
      </c>
      <c r="B42" s="361" t="n"/>
      <c r="C42" s="194" t="inlineStr">
        <is>
          <t>91.05.05-015</t>
        </is>
      </c>
      <c r="D42" s="195" t="inlineStr">
        <is>
          <t>Краны на автомобильном ходу, грузоподъемность 16 т</t>
        </is>
      </c>
      <c r="E42" s="393" t="inlineStr">
        <is>
          <t>маш.час</t>
        </is>
      </c>
      <c r="F42" s="393" t="n">
        <v>2.48</v>
      </c>
      <c r="G42" s="202" t="n">
        <v>115.4</v>
      </c>
      <c r="H42" s="201">
        <f>ROUND(F42*G42,2)</f>
        <v/>
      </c>
      <c r="J42" s="207" t="n"/>
    </row>
    <row r="43">
      <c r="A43" s="393" t="n">
        <v>30</v>
      </c>
      <c r="B43" s="361" t="n"/>
      <c r="C43" s="194" t="inlineStr">
        <is>
          <t>91.14.02-003</t>
        </is>
      </c>
      <c r="D43" s="195" t="inlineStr">
        <is>
          <t>Автомобили бортовые, грузоподъемность: до 10 т</t>
        </is>
      </c>
      <c r="E43" s="393" t="inlineStr">
        <is>
          <t>маш.час</t>
        </is>
      </c>
      <c r="F43" s="393" t="n">
        <v>2.65</v>
      </c>
      <c r="G43" s="202" t="n">
        <v>80.44</v>
      </c>
      <c r="H43" s="201">
        <f>ROUND(F43*G43,2)</f>
        <v/>
      </c>
      <c r="J43" s="207" t="n"/>
    </row>
    <row r="44">
      <c r="A44" s="393" t="n">
        <v>31</v>
      </c>
      <c r="B44" s="361" t="n"/>
      <c r="C44" s="194" t="inlineStr">
        <is>
          <t>91.08.04-021</t>
        </is>
      </c>
      <c r="D44" s="195" t="inlineStr">
        <is>
          <t>Котлы битумные: передвижные 400 л</t>
        </is>
      </c>
      <c r="E44" s="393" t="inlineStr">
        <is>
          <t>маш.час</t>
        </is>
      </c>
      <c r="F44" s="393" t="n">
        <v>6.02</v>
      </c>
      <c r="G44" s="202" t="n">
        <v>30</v>
      </c>
      <c r="H44" s="201">
        <f>ROUND(F44*G44,2)</f>
        <v/>
      </c>
      <c r="J44" s="207" t="n"/>
    </row>
    <row r="45">
      <c r="A45" s="393" t="n">
        <v>32</v>
      </c>
      <c r="B45" s="361" t="n"/>
      <c r="C45" s="194" t="inlineStr">
        <is>
          <t>91.13.01-038</t>
        </is>
      </c>
      <c r="D45" s="195" t="inlineStr">
        <is>
          <t>Машины поливомоечные 6000 л</t>
        </is>
      </c>
      <c r="E45" s="393" t="inlineStr">
        <is>
          <t>маш.час</t>
        </is>
      </c>
      <c r="F45" s="393" t="n">
        <v>1.17</v>
      </c>
      <c r="G45" s="202" t="n">
        <v>110</v>
      </c>
      <c r="H45" s="201">
        <f>ROUND(F45*G45,2)</f>
        <v/>
      </c>
      <c r="J45" s="207" t="n"/>
    </row>
    <row r="46">
      <c r="A46" s="393" t="n">
        <v>33</v>
      </c>
      <c r="B46" s="361" t="n"/>
      <c r="C46" s="194" t="inlineStr">
        <is>
          <t>91.14.04-001</t>
        </is>
      </c>
      <c r="D46" s="195" t="inlineStr">
        <is>
          <t>Тягачи седельные, грузоподъемность: 12 т</t>
        </is>
      </c>
      <c r="E46" s="393" t="inlineStr">
        <is>
          <t>маш.час</t>
        </is>
      </c>
      <c r="F46" s="393" t="n">
        <v>0.92</v>
      </c>
      <c r="G46" s="202" t="n">
        <v>102.84</v>
      </c>
      <c r="H46" s="201">
        <f>ROUND(F46*G46,2)</f>
        <v/>
      </c>
      <c r="J46" s="207" t="n"/>
    </row>
    <row r="47" ht="25.5" customHeight="1" s="326">
      <c r="A47" s="393" t="n">
        <v>34</v>
      </c>
      <c r="B47" s="361" t="n"/>
      <c r="C47" s="194" t="inlineStr">
        <is>
          <t>91.17.04-171</t>
        </is>
      </c>
      <c r="D47" s="195" t="inlineStr">
        <is>
          <t>Преобразователи сварочные номинальным сварочным током 315-500 А</t>
        </is>
      </c>
      <c r="E47" s="393" t="inlineStr">
        <is>
          <t>маш.час</t>
        </is>
      </c>
      <c r="F47" s="393" t="n">
        <v>5.61</v>
      </c>
      <c r="G47" s="202" t="n">
        <v>12.31</v>
      </c>
      <c r="H47" s="201">
        <f>ROUND(F47*G47,2)</f>
        <v/>
      </c>
      <c r="J47" s="207" t="n"/>
    </row>
    <row r="48">
      <c r="A48" s="393" t="n">
        <v>35</v>
      </c>
      <c r="B48" s="361" t="n"/>
      <c r="C48" s="194" t="inlineStr">
        <is>
          <t>91.14.02-002</t>
        </is>
      </c>
      <c r="D48" s="195" t="inlineStr">
        <is>
          <t>Автомобили бортовые, грузоподъемность: до 8 т</t>
        </is>
      </c>
      <c r="E48" s="393" t="inlineStr">
        <is>
          <t>маш.час</t>
        </is>
      </c>
      <c r="F48" s="393" t="n">
        <v>0.5600000000000001</v>
      </c>
      <c r="G48" s="202" t="n">
        <v>85.84</v>
      </c>
      <c r="H48" s="201">
        <f>ROUND(F48*G48,2)</f>
        <v/>
      </c>
      <c r="J48" s="207" t="n"/>
    </row>
    <row r="49">
      <c r="A49" s="393" t="n">
        <v>36</v>
      </c>
      <c r="B49" s="361" t="n"/>
      <c r="C49" s="194" t="inlineStr">
        <is>
          <t>91.06.01-003</t>
        </is>
      </c>
      <c r="D49" s="195" t="inlineStr">
        <is>
          <t>Домкраты гидравлические, грузоподъемность 63-100 т</t>
        </is>
      </c>
      <c r="E49" s="393" t="inlineStr">
        <is>
          <t>маш.час</t>
        </is>
      </c>
      <c r="F49" s="393" t="n">
        <v>35.71</v>
      </c>
      <c r="G49" s="202" t="n">
        <v>0.9</v>
      </c>
      <c r="H49" s="201">
        <f>ROUND(F49*G49,2)</f>
        <v/>
      </c>
      <c r="J49" s="207" t="n"/>
    </row>
    <row r="50">
      <c r="A50" s="393" t="n">
        <v>37</v>
      </c>
      <c r="B50" s="361" t="n"/>
      <c r="C50" s="194" t="inlineStr">
        <is>
          <t>91.07.04-002</t>
        </is>
      </c>
      <c r="D50" s="195" t="inlineStr">
        <is>
          <t>Вибратор поверхностный</t>
        </is>
      </c>
      <c r="E50" s="393" t="inlineStr">
        <is>
          <t>маш.час</t>
        </is>
      </c>
      <c r="F50" s="393" t="n">
        <v>61.07</v>
      </c>
      <c r="G50" s="202" t="n">
        <v>0.5</v>
      </c>
      <c r="H50" s="201">
        <f>ROUND(F50*G50,2)</f>
        <v/>
      </c>
      <c r="J50" s="207" t="n"/>
    </row>
    <row r="51">
      <c r="A51" s="393" t="n">
        <v>38</v>
      </c>
      <c r="B51" s="361" t="n"/>
      <c r="C51" s="194" t="inlineStr">
        <is>
          <t>91.17.04-042</t>
        </is>
      </c>
      <c r="D51" s="195" t="inlineStr">
        <is>
          <t>Аппарат для газовой сварки и резки</t>
        </is>
      </c>
      <c r="E51" s="393" t="inlineStr">
        <is>
          <t>маш.час</t>
        </is>
      </c>
      <c r="F51" s="393" t="n">
        <v>14.86</v>
      </c>
      <c r="G51" s="202" t="n">
        <v>1.2</v>
      </c>
      <c r="H51" s="201">
        <f>ROUND(F51*G51,2)</f>
        <v/>
      </c>
      <c r="J51" s="207" t="n"/>
    </row>
    <row r="52">
      <c r="A52" s="393" t="n">
        <v>39</v>
      </c>
      <c r="B52" s="361" t="n"/>
      <c r="C52" s="194" t="inlineStr">
        <is>
          <t>91.21.16-001</t>
        </is>
      </c>
      <c r="D52" s="195" t="inlineStr">
        <is>
          <t>Пресс-ножницы комбинированные</t>
        </is>
      </c>
      <c r="E52" s="393" t="inlineStr">
        <is>
          <t>маш.час</t>
        </is>
      </c>
      <c r="F52" s="393" t="n">
        <v>0.95</v>
      </c>
      <c r="G52" s="202" t="n">
        <v>15.4</v>
      </c>
      <c r="H52" s="201">
        <f>ROUND(F52*G52,2)</f>
        <v/>
      </c>
      <c r="J52" s="207" t="n"/>
    </row>
    <row r="53">
      <c r="A53" s="393" t="n">
        <v>40</v>
      </c>
      <c r="B53" s="361" t="n"/>
      <c r="C53" s="194" t="inlineStr">
        <is>
          <t>91.05.02-005</t>
        </is>
      </c>
      <c r="D53" s="195" t="inlineStr">
        <is>
          <t>Краны козловые, грузоподъемность 32 т</t>
        </is>
      </c>
      <c r="E53" s="393" t="inlineStr">
        <is>
          <t>маш.час</t>
        </is>
      </c>
      <c r="F53" s="393" t="n">
        <v>0.11</v>
      </c>
      <c r="G53" s="202" t="n">
        <v>120.24</v>
      </c>
      <c r="H53" s="201">
        <f>ROUND(F53*G53,2)</f>
        <v/>
      </c>
      <c r="J53" s="207" t="n"/>
    </row>
    <row r="54" ht="25.5" customHeight="1" s="326">
      <c r="A54" s="393" t="n">
        <v>41</v>
      </c>
      <c r="B54" s="361" t="n"/>
      <c r="C54" s="194" t="inlineStr">
        <is>
          <t>91.14.05-011</t>
        </is>
      </c>
      <c r="D54" s="195" t="inlineStr">
        <is>
          <t>Полуприцепы общего назначения, грузоподъемность: 12 т</t>
        </is>
      </c>
      <c r="E54" s="393" t="inlineStr">
        <is>
          <t>маш.час</t>
        </is>
      </c>
      <c r="F54" s="393" t="n">
        <v>0.92</v>
      </c>
      <c r="G54" s="202" t="n">
        <v>12</v>
      </c>
      <c r="H54" s="201">
        <f>ROUND(F54*G54,2)</f>
        <v/>
      </c>
      <c r="J54" s="207" t="n"/>
    </row>
    <row r="55" ht="25.5" customHeight="1" s="326">
      <c r="A55" s="393" t="n">
        <v>42</v>
      </c>
      <c r="B55" s="361" t="n"/>
      <c r="C55" s="194" t="inlineStr">
        <is>
          <t>91.06.03-062</t>
        </is>
      </c>
      <c r="D55" s="195" t="inlineStr">
        <is>
          <t>Лебедки электрические тяговым усилием: до 31,39 кН (3,2 т)</t>
        </is>
      </c>
      <c r="E55" s="393" t="inlineStr">
        <is>
          <t>маш.час</t>
        </is>
      </c>
      <c r="F55" s="393" t="n">
        <v>1.08</v>
      </c>
      <c r="G55" s="202" t="n">
        <v>6.9</v>
      </c>
      <c r="H55" s="201">
        <f>ROUND(F55*G55,2)</f>
        <v/>
      </c>
      <c r="J55" s="207" t="n"/>
    </row>
    <row r="56">
      <c r="A56" s="393" t="n">
        <v>43</v>
      </c>
      <c r="B56" s="361" t="n"/>
      <c r="C56" s="194" t="inlineStr">
        <is>
          <t>91.07.04-001</t>
        </is>
      </c>
      <c r="D56" s="195" t="inlineStr">
        <is>
          <t>Вибратор глубинный</t>
        </is>
      </c>
      <c r="E56" s="393" t="inlineStr">
        <is>
          <t>маш.час</t>
        </is>
      </c>
      <c r="F56" s="393" t="n">
        <v>3.75</v>
      </c>
      <c r="G56" s="202" t="n">
        <v>1.9</v>
      </c>
      <c r="H56" s="201">
        <f>ROUND(F56*G56,2)</f>
        <v/>
      </c>
      <c r="J56" s="207" t="n"/>
    </row>
    <row r="57" ht="25.5" customHeight="1" s="326">
      <c r="A57" s="393" t="n">
        <v>44</v>
      </c>
      <c r="B57" s="361" t="n"/>
      <c r="C57" s="194" t="inlineStr">
        <is>
          <t>91.21.01-012</t>
        </is>
      </c>
      <c r="D57" s="195" t="inlineStr">
        <is>
          <t>Агрегаты окрасочные высокого давления для окраски поверхностей конструкций, мощность 1 кВт</t>
        </is>
      </c>
      <c r="E57" s="393" t="inlineStr">
        <is>
          <t>маш.час</t>
        </is>
      </c>
      <c r="F57" s="393" t="n">
        <v>0.02</v>
      </c>
      <c r="G57" s="202" t="n">
        <v>6.82</v>
      </c>
      <c r="H57" s="201">
        <f>ROUND(F57*G57,2)</f>
        <v/>
      </c>
      <c r="J57" s="207" t="n"/>
    </row>
    <row r="58" ht="15" customHeight="1" s="326">
      <c r="A58" s="359" t="inlineStr">
        <is>
          <t>Оборудование</t>
        </is>
      </c>
      <c r="B58" s="446" t="n"/>
      <c r="C58" s="446" t="n"/>
      <c r="D58" s="446" t="n"/>
      <c r="E58" s="447" t="n"/>
      <c r="F58" s="198" t="n"/>
      <c r="G58" s="198" t="n"/>
      <c r="H58" s="452" t="n"/>
    </row>
    <row r="59">
      <c r="A59" s="360" t="inlineStr">
        <is>
          <t>Материалы</t>
        </is>
      </c>
      <c r="B59" s="446" t="n"/>
      <c r="C59" s="446" t="n"/>
      <c r="D59" s="446" t="n"/>
      <c r="E59" s="447" t="n"/>
      <c r="F59" s="360" t="n"/>
      <c r="G59" s="200" t="n"/>
      <c r="H59" s="452" t="n">
        <v>2464222</v>
      </c>
      <c r="I59" s="453" t="n"/>
      <c r="J59" s="453" t="n"/>
    </row>
    <row r="60">
      <c r="A60" s="197" t="n">
        <v>45</v>
      </c>
      <c r="B60" s="361" t="n"/>
      <c r="C60" s="194" t="inlineStr">
        <is>
          <t>11.2.13.04-0013</t>
        </is>
      </c>
      <c r="D60" s="195" t="inlineStr">
        <is>
          <t>Щиты: из досок толщиной 50 мм</t>
        </is>
      </c>
      <c r="E60" s="393" t="inlineStr">
        <is>
          <t>м2</t>
        </is>
      </c>
      <c r="F60" s="393" t="n">
        <v>18374</v>
      </c>
      <c r="G60" s="201" t="n">
        <v>57.63</v>
      </c>
      <c r="H60" s="201" t="n">
        <v>1058893.62</v>
      </c>
      <c r="I60" s="453" t="n"/>
      <c r="J60" s="453" t="n"/>
      <c r="K60" s="218" t="n"/>
    </row>
    <row r="61" ht="38.25" customHeight="1" s="326">
      <c r="A61" s="197" t="n">
        <v>46</v>
      </c>
      <c r="B61" s="361" t="n"/>
      <c r="C61" s="194" t="inlineStr">
        <is>
          <t>24.3.05.07-0563</t>
        </is>
      </c>
      <c r="D61" s="195" t="inlineStr">
        <is>
          <t>Муфта термоусаживающаяся полиэтиленовая для стыков, номинальный наружный диаметр 560 мм, длина 700 мм</t>
        </is>
      </c>
      <c r="E61" s="393" t="inlineStr">
        <is>
          <t>шт.</t>
        </is>
      </c>
      <c r="F61" s="393" t="n">
        <v>872</v>
      </c>
      <c r="G61" s="201" t="n">
        <v>709.37</v>
      </c>
      <c r="H61" s="201" t="n">
        <v>618570.64</v>
      </c>
      <c r="I61" s="219" t="n"/>
      <c r="J61" s="207" t="n"/>
      <c r="K61" s="207" t="n"/>
    </row>
    <row r="62" ht="25.5" customHeight="1" s="326">
      <c r="A62" s="197" t="n">
        <v>47</v>
      </c>
      <c r="B62" s="361" t="n"/>
      <c r="C62" s="194" t="inlineStr">
        <is>
          <t>05.1.08.06-0071</t>
        </is>
      </c>
      <c r="D62" s="195" t="inlineStr">
        <is>
          <t>Плиты железобетонные для покрытий автомобильных дорог</t>
        </is>
      </c>
      <c r="E62" s="393" t="inlineStr">
        <is>
          <t>м3</t>
        </is>
      </c>
      <c r="F62" s="393" t="n">
        <v>264.888</v>
      </c>
      <c r="G62" s="201" t="n">
        <v>964</v>
      </c>
      <c r="H62" s="201" t="n">
        <v>255352.03</v>
      </c>
      <c r="I62" s="219" t="n"/>
      <c r="J62" s="207" t="n"/>
    </row>
    <row r="63" ht="25.5" customHeight="1" s="326">
      <c r="A63" s="197" t="n">
        <v>48</v>
      </c>
      <c r="B63" s="361" t="n"/>
      <c r="C63" s="194" t="inlineStr">
        <is>
          <t>20.2.02.07-0011</t>
        </is>
      </c>
      <c r="D63" s="195" t="inlineStr">
        <is>
          <t>Капа кабельная марки 102L055-R05/S, диаметром 65-95 мм</t>
        </is>
      </c>
      <c r="E63" s="393" t="inlineStr">
        <is>
          <t>100 шт.</t>
        </is>
      </c>
      <c r="F63" s="393" t="n">
        <v>8.720000000000001</v>
      </c>
      <c r="G63" s="201" t="n">
        <v>12790</v>
      </c>
      <c r="H63" s="201" t="n">
        <v>111528.8</v>
      </c>
      <c r="I63" s="219" t="n"/>
      <c r="J63" s="207" t="n"/>
    </row>
    <row r="64" ht="38.25" customHeight="1" s="326">
      <c r="A64" s="197" t="n">
        <v>49</v>
      </c>
      <c r="B64" s="361" t="n"/>
      <c r="C64" s="194" t="inlineStr">
        <is>
          <t>04.3.02.04-0155</t>
        </is>
      </c>
      <c r="D64" s="195" t="inlineStr">
        <is>
          <t>Смеси бетонные, БСГ, тяжелого бетона на гранитном щебне, фракция 5-20 мм, класс: В30 (М400), П3, F200, W8</t>
        </is>
      </c>
      <c r="E64" s="393" t="inlineStr">
        <is>
          <t>м3</t>
        </is>
      </c>
      <c r="F64" s="393" t="n">
        <v>126.2352</v>
      </c>
      <c r="G64" s="201" t="n">
        <v>787.34</v>
      </c>
      <c r="H64" s="201" t="n">
        <v>99390.02</v>
      </c>
      <c r="I64" s="219" t="n"/>
      <c r="J64" s="207" t="n"/>
    </row>
    <row r="65">
      <c r="A65" s="197" t="n">
        <v>50</v>
      </c>
      <c r="B65" s="361" t="n"/>
      <c r="C65" s="194" t="inlineStr">
        <is>
          <t>01.7.14.01-0002</t>
        </is>
      </c>
      <c r="D65" s="195" t="inlineStr">
        <is>
          <t>Пенополиуретан (ППУ) полимер Вилан-405 (баллон 1л)</t>
        </is>
      </c>
      <c r="E65" s="393" t="inlineStr">
        <is>
          <t>шт</t>
        </is>
      </c>
      <c r="F65" s="393" t="n">
        <v>1744</v>
      </c>
      <c r="G65" s="201" t="n">
        <v>45.15</v>
      </c>
      <c r="H65" s="201" t="n">
        <v>78741.60000000001</v>
      </c>
      <c r="I65" s="219" t="n"/>
      <c r="J65" s="207" t="n"/>
    </row>
    <row r="66" ht="51" customHeight="1" s="326">
      <c r="A66" s="197" t="n">
        <v>51</v>
      </c>
      <c r="B66" s="361" t="n"/>
      <c r="C66" s="194" t="inlineStr">
        <is>
          <t>07.2.07.12-0021</t>
        </is>
      </c>
      <c r="D66" s="195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0,5 до 1 т</t>
        </is>
      </c>
      <c r="E66" s="393" t="inlineStr">
        <is>
          <t>т</t>
        </is>
      </c>
      <c r="F66" s="393" t="n">
        <v>9.186999999999999</v>
      </c>
      <c r="G66" s="201" t="n">
        <v>7008.5</v>
      </c>
      <c r="H66" s="201" t="n">
        <v>64387.09</v>
      </c>
      <c r="I66" s="219" t="n"/>
      <c r="J66" s="207" t="n"/>
    </row>
    <row r="67" ht="25.5" customHeight="1" s="326">
      <c r="A67" s="197" t="n">
        <v>52</v>
      </c>
      <c r="B67" s="361" t="n"/>
      <c r="C67" s="194" t="inlineStr">
        <is>
          <t>11.1.03.06-0087</t>
        </is>
      </c>
      <c r="D67" s="195" t="inlineStr">
        <is>
          <t>Доски обрезные хвойных пород длиной: 4-6,5 м, шириной 75-150 мм, толщиной 25 мм, III сорта</t>
        </is>
      </c>
      <c r="E67" s="393" t="inlineStr">
        <is>
          <t>м3</t>
        </is>
      </c>
      <c r="F67" s="393" t="n">
        <v>53.0137</v>
      </c>
      <c r="G67" s="201" t="n">
        <v>1100</v>
      </c>
      <c r="H67" s="201" t="n">
        <v>58315.07</v>
      </c>
      <c r="I67" s="219" t="n"/>
      <c r="J67" s="207" t="n"/>
    </row>
    <row r="68" ht="38.25" customHeight="1" s="326">
      <c r="A68" s="197" t="n">
        <v>53</v>
      </c>
      <c r="B68" s="361" t="n"/>
      <c r="C68" s="194" t="inlineStr">
        <is>
          <t>04.3.02.04-0154</t>
        </is>
      </c>
      <c r="D68" s="195" t="inlineStr">
        <is>
          <t>Смеси бетонные, БСГ, тяжелого бетона на гранитном щебне, фракция 5-20 мм, класс: В25 (М350), П3, F150, W6</t>
        </is>
      </c>
      <c r="E68" s="393" t="inlineStr">
        <is>
          <t>м3</t>
        </is>
      </c>
      <c r="F68" s="393" t="n">
        <v>19.9752</v>
      </c>
      <c r="G68" s="201" t="n">
        <v>745.24</v>
      </c>
      <c r="H68" s="201" t="n">
        <v>14886.32</v>
      </c>
      <c r="I68" s="219" t="n"/>
      <c r="J68" s="207" t="n"/>
    </row>
    <row r="69" ht="25.5" customHeight="1" s="326">
      <c r="A69" s="197" t="n">
        <v>54</v>
      </c>
      <c r="B69" s="361" t="n"/>
      <c r="C69" s="194" t="inlineStr">
        <is>
          <t>11.1.02.04-0031</t>
        </is>
      </c>
      <c r="D69" s="195" t="inlineStr">
        <is>
          <t>Лесоматериалы круглые хвойных пород для строительства диаметром 14-24 см, длиной 3-6,5 м</t>
        </is>
      </c>
      <c r="E69" s="393" t="inlineStr">
        <is>
          <t>м3</t>
        </is>
      </c>
      <c r="F69" s="393" t="n">
        <v>23.6758</v>
      </c>
      <c r="G69" s="201" t="n">
        <v>558.33</v>
      </c>
      <c r="H69" s="201" t="n">
        <v>13218.91</v>
      </c>
      <c r="I69" s="219" t="n"/>
      <c r="J69" s="207" t="n"/>
    </row>
    <row r="70" ht="25.5" customHeight="1" s="326">
      <c r="A70" s="197" t="n">
        <v>55</v>
      </c>
      <c r="B70" s="361" t="n"/>
      <c r="C70" s="194" t="inlineStr">
        <is>
          <t>24.3.05.02-0125</t>
        </is>
      </c>
      <c r="D70" s="195" t="inlineStr">
        <is>
          <t>Заглушка полиэтиленовая с удлиненным хвостовиком SDR 11, диаметр: 225 мм (ТУ2248-001-18425183-01)</t>
        </is>
      </c>
      <c r="E70" s="393" t="inlineStr">
        <is>
          <t>шт.</t>
        </is>
      </c>
      <c r="F70" s="393" t="n">
        <v>24</v>
      </c>
      <c r="G70" s="201" t="n">
        <v>427.5</v>
      </c>
      <c r="H70" s="201" t="n">
        <v>10260</v>
      </c>
      <c r="I70" s="219" t="n"/>
      <c r="J70" s="207" t="n"/>
    </row>
    <row r="71" ht="25.5" customHeight="1" s="326">
      <c r="A71" s="197" t="n">
        <v>56</v>
      </c>
      <c r="B71" s="361" t="n"/>
      <c r="C71" s="194" t="inlineStr">
        <is>
          <t>02.3.01.02-0003</t>
        </is>
      </c>
      <c r="D71" s="195" t="inlineStr">
        <is>
          <t>Песок для строительных работ природный 50%; обогащенный 50%</t>
        </is>
      </c>
      <c r="E71" s="393" t="inlineStr">
        <is>
          <t>м3</t>
        </is>
      </c>
      <c r="F71" s="393" t="n">
        <v>173.448</v>
      </c>
      <c r="G71" s="201" t="n">
        <v>54.95</v>
      </c>
      <c r="H71" s="201" t="n">
        <v>9530.969999999999</v>
      </c>
      <c r="I71" s="219" t="n"/>
      <c r="J71" s="207" t="n"/>
    </row>
    <row r="72" ht="51" customHeight="1" s="326">
      <c r="A72" s="197" t="n">
        <v>57</v>
      </c>
      <c r="B72" s="361" t="n"/>
      <c r="C72" s="194" t="inlineStr">
        <is>
          <t>07.2.07.12-0011</t>
        </is>
      </c>
      <c r="D72" s="195" t="inlineStr">
        <is>
          <t>Отдельные конструктивные элементы зданий и сооружений с преобладанием: гнутосварных профилей и круглых труб, средняя масса сборочной единицы до 0,1 т</t>
        </is>
      </c>
      <c r="E72" s="393" t="inlineStr">
        <is>
          <t>т</t>
        </is>
      </c>
      <c r="F72" s="393" t="n">
        <v>0.828788</v>
      </c>
      <c r="G72" s="201" t="n">
        <v>11255</v>
      </c>
      <c r="H72" s="201" t="n">
        <v>9328.01</v>
      </c>
      <c r="I72" s="219" t="n"/>
      <c r="J72" s="207" t="n"/>
    </row>
    <row r="73" ht="25.5" customHeight="1" s="326">
      <c r="A73" s="197" t="n">
        <v>58</v>
      </c>
      <c r="B73" s="361" t="n"/>
      <c r="C73" s="194" t="inlineStr">
        <is>
          <t>11.1.03.06-0095</t>
        </is>
      </c>
      <c r="D73" s="195" t="inlineStr">
        <is>
          <t>Доски обрезные хвойных пород длиной: 4-6,5 м, шириной 75-150 мм, толщиной 44 мм и более, III сорта</t>
        </is>
      </c>
      <c r="E73" s="393" t="inlineStr">
        <is>
          <t>м3</t>
        </is>
      </c>
      <c r="F73" s="393" t="n">
        <v>8.0251</v>
      </c>
      <c r="G73" s="201" t="n">
        <v>1056</v>
      </c>
      <c r="H73" s="201" t="n">
        <v>8474.51</v>
      </c>
      <c r="I73" s="219" t="n"/>
      <c r="J73" s="207" t="n"/>
    </row>
    <row r="74" ht="25.5" customHeight="1" s="326">
      <c r="A74" s="197" t="n">
        <v>59</v>
      </c>
      <c r="B74" s="361" t="n"/>
      <c r="C74" s="194" t="inlineStr">
        <is>
          <t>08.3.03.06-0002</t>
        </is>
      </c>
      <c r="D74" s="195" t="inlineStr">
        <is>
          <t>Проволока горячекатаная в мотках, диаметром 6,3-6,5 мм</t>
        </is>
      </c>
      <c r="E74" s="393" t="inlineStr">
        <is>
          <t>т</t>
        </is>
      </c>
      <c r="F74" s="393" t="n">
        <v>1.7079</v>
      </c>
      <c r="G74" s="201" t="n">
        <v>4455.2</v>
      </c>
      <c r="H74" s="201" t="n">
        <v>7609.04</v>
      </c>
      <c r="I74" s="219" t="n"/>
      <c r="J74" s="207" t="n"/>
    </row>
    <row r="75" ht="25.5" customHeight="1" s="326">
      <c r="A75" s="197" t="n">
        <v>60</v>
      </c>
      <c r="B75" s="361" t="n"/>
      <c r="C75" s="194" t="inlineStr">
        <is>
          <t>08.3.08.02-0052</t>
        </is>
      </c>
      <c r="D75" s="195" t="inlineStr">
        <is>
          <t>Сталь угловая равнополочная, марка стали: ВСт3кп2, размером 50x50x5 мм</t>
        </is>
      </c>
      <c r="E75" s="393" t="inlineStr">
        <is>
          <t>т</t>
        </is>
      </c>
      <c r="F75" s="393" t="n">
        <v>0.8857</v>
      </c>
      <c r="G75" s="201" t="n">
        <v>5763</v>
      </c>
      <c r="H75" s="201" t="n">
        <v>5104.29</v>
      </c>
      <c r="I75" s="219" t="n"/>
      <c r="J75" s="207" t="n"/>
    </row>
    <row r="76" ht="38.25" customHeight="1" s="326">
      <c r="A76" s="197" t="n">
        <v>61</v>
      </c>
      <c r="B76" s="361" t="n"/>
      <c r="C76" s="194" t="inlineStr">
        <is>
          <t>23.3.03.02-0159</t>
        </is>
      </c>
      <c r="D76" s="195" t="inlineStr">
        <is>
          <t>Трубы стальные бесшовные, горячедеформированные со снятой фаской из стали марок 15, 20, 25, наружным диаметром: 219 мм, толщина стенки 8 мм</t>
        </is>
      </c>
      <c r="E76" s="393" t="inlineStr">
        <is>
          <t>м</t>
        </is>
      </c>
      <c r="F76" s="393" t="n">
        <v>13.2192</v>
      </c>
      <c r="G76" s="201" t="n">
        <v>355.02</v>
      </c>
      <c r="H76" s="201" t="n">
        <v>4693.08</v>
      </c>
      <c r="I76" s="219" t="n"/>
      <c r="J76" s="207" t="n"/>
    </row>
    <row r="77" ht="25.5" customHeight="1" s="326">
      <c r="A77" s="197" t="n">
        <v>62</v>
      </c>
      <c r="B77" s="361" t="n"/>
      <c r="C77" s="194" t="inlineStr">
        <is>
          <t>08.4.02.05-0001</t>
        </is>
      </c>
      <c r="D77" s="195" t="inlineStr">
        <is>
          <t>Сетка сварная с ячейкой 10 из арматурной стали: А-I и А-II преобладающим диаметром до 14 мм</t>
        </is>
      </c>
      <c r="E77" s="393" t="inlineStr">
        <is>
          <t>т</t>
        </is>
      </c>
      <c r="F77" s="393" t="n">
        <v>0.7776</v>
      </c>
      <c r="G77" s="201" t="n">
        <v>5830</v>
      </c>
      <c r="H77" s="201" t="n">
        <v>4533.41</v>
      </c>
      <c r="I77" s="219" t="n"/>
      <c r="J77" s="207" t="n"/>
    </row>
    <row r="78">
      <c r="A78" s="197" t="n">
        <v>63</v>
      </c>
      <c r="B78" s="361" t="n"/>
      <c r="C78" s="194" t="inlineStr">
        <is>
          <t>01.7.15.06-0111</t>
        </is>
      </c>
      <c r="D78" s="195" t="inlineStr">
        <is>
          <t>Гвозди строительные</t>
        </is>
      </c>
      <c r="E78" s="393" t="inlineStr">
        <is>
          <t>т</t>
        </is>
      </c>
      <c r="F78" s="393" t="n">
        <v>0.3114</v>
      </c>
      <c r="G78" s="201" t="n">
        <v>11978</v>
      </c>
      <c r="H78" s="201" t="n">
        <v>3729.95</v>
      </c>
      <c r="I78" s="219" t="n"/>
      <c r="J78" s="207" t="n"/>
    </row>
    <row r="79" ht="25.5" customHeight="1" s="326">
      <c r="A79" s="197" t="n">
        <v>64</v>
      </c>
      <c r="B79" s="361" t="n"/>
      <c r="C79" s="194" t="inlineStr">
        <is>
          <t>11.1.03.01-0075</t>
        </is>
      </c>
      <c r="D79" s="195" t="inlineStr">
        <is>
          <t>Бруски обрезные хвойных пород длиной: 2-6,5 м, толщиной 40-60 мм, II сорта</t>
        </is>
      </c>
      <c r="E79" s="393" t="inlineStr">
        <is>
          <t>м3</t>
        </is>
      </c>
      <c r="F79" s="393" t="n">
        <v>2.551</v>
      </c>
      <c r="G79" s="201" t="n">
        <v>1250</v>
      </c>
      <c r="H79" s="201" t="n">
        <v>3188.75</v>
      </c>
      <c r="I79" s="219" t="n"/>
      <c r="J79" s="207" t="n"/>
    </row>
    <row r="80">
      <c r="A80" s="197" t="n">
        <v>65</v>
      </c>
      <c r="B80" s="361" t="n"/>
      <c r="C80" s="194" t="inlineStr">
        <is>
          <t>08.4.01.02-0001</t>
        </is>
      </c>
      <c r="D80" s="195" t="inlineStr">
        <is>
          <t>Детали закладные весом до 1 килограмма</t>
        </is>
      </c>
      <c r="E80" s="393" t="inlineStr">
        <is>
          <t>т</t>
        </is>
      </c>
      <c r="F80" s="393" t="n">
        <v>0.2246</v>
      </c>
      <c r="G80" s="201" t="n">
        <v>11684</v>
      </c>
      <c r="H80" s="201" t="n">
        <v>2624.23</v>
      </c>
      <c r="I80" s="219" t="n"/>
      <c r="J80" s="207" t="n"/>
    </row>
    <row r="81">
      <c r="A81" s="197" t="n">
        <v>66</v>
      </c>
      <c r="B81" s="361" t="n"/>
      <c r="C81" s="194" t="inlineStr">
        <is>
          <t>Прайс из СД ОП</t>
        </is>
      </c>
      <c r="D81" s="195" t="inlineStr">
        <is>
          <t>Транспортные услуги</t>
        </is>
      </c>
      <c r="E81" s="393" t="inlineStr">
        <is>
          <t>шт.</t>
        </is>
      </c>
      <c r="F81" s="393" t="n">
        <v>1</v>
      </c>
      <c r="G81" s="201" t="n">
        <v>2262.07</v>
      </c>
      <c r="H81" s="201" t="n">
        <v>2262.07</v>
      </c>
      <c r="I81" s="219" t="n"/>
      <c r="J81" s="207" t="n"/>
    </row>
    <row r="82" ht="51" customHeight="1" s="326">
      <c r="A82" s="197" t="n">
        <v>67</v>
      </c>
      <c r="B82" s="361" t="n"/>
      <c r="C82" s="194" t="inlineStr">
        <is>
          <t>07.2.07.12-0001</t>
        </is>
      </c>
      <c r="D82" s="195" t="inlineStr">
        <is>
          <t>Конструктивные элементы вспомогательного назначения: массой не более 50 кг с преобладанием толстолистовой стали без отверстий и сборосварочных операций</t>
        </is>
      </c>
      <c r="E82" s="393" t="inlineStr">
        <is>
          <t>т</t>
        </is>
      </c>
      <c r="F82" s="393" t="n">
        <v>0.334591</v>
      </c>
      <c r="G82" s="201" t="n">
        <v>6550</v>
      </c>
      <c r="H82" s="201" t="n">
        <v>2191.57</v>
      </c>
      <c r="I82" s="219" t="n"/>
      <c r="J82" s="207" t="n"/>
    </row>
    <row r="83" ht="25.5" customHeight="1" s="326">
      <c r="A83" s="197" t="n">
        <v>68</v>
      </c>
      <c r="B83" s="361" t="n"/>
      <c r="C83" s="194" t="inlineStr">
        <is>
          <t>04.3.02.04-0143</t>
        </is>
      </c>
      <c r="D83" s="195" t="inlineStr">
        <is>
          <t>Смеси бетонные, БСГ, тяжелого бетона на гранитном щебне, фракция 5-20 мм, класс: В7,5 (М100), П3</t>
        </is>
      </c>
      <c r="E83" s="393" t="inlineStr">
        <is>
          <t>м3</t>
        </is>
      </c>
      <c r="F83" s="393" t="n">
        <v>3.672</v>
      </c>
      <c r="G83" s="201" t="n">
        <v>517.14</v>
      </c>
      <c r="H83" s="201" t="n">
        <v>1898.94</v>
      </c>
      <c r="I83" s="219" t="n"/>
      <c r="J83" s="207" t="n"/>
    </row>
    <row r="84">
      <c r="A84" s="197" t="n">
        <v>69</v>
      </c>
      <c r="B84" s="361" t="n"/>
      <c r="C84" s="194" t="inlineStr">
        <is>
          <t>01.7.06.12-0004</t>
        </is>
      </c>
      <c r="D84" s="195" t="inlineStr">
        <is>
          <t>Лента киперная, ширина 40 мм</t>
        </is>
      </c>
      <c r="E84" s="393" t="inlineStr">
        <is>
          <t>100 м</t>
        </is>
      </c>
      <c r="F84" s="393" t="n">
        <v>17.44</v>
      </c>
      <c r="G84" s="201" t="n">
        <v>94</v>
      </c>
      <c r="H84" s="201" t="n">
        <v>1639.36</v>
      </c>
      <c r="I84" s="219" t="n"/>
      <c r="J84" s="207" t="n"/>
    </row>
    <row r="85">
      <c r="A85" s="197" t="n">
        <v>70</v>
      </c>
      <c r="B85" s="361" t="n"/>
      <c r="C85" s="194" t="inlineStr">
        <is>
          <t>01.2.03.03-0045</t>
        </is>
      </c>
      <c r="D85" s="195" t="inlineStr">
        <is>
          <t>Мастика битумно-полимерная</t>
        </is>
      </c>
      <c r="E85" s="393" t="inlineStr">
        <is>
          <t>т</t>
        </is>
      </c>
      <c r="F85" s="393" t="n">
        <v>0.9536</v>
      </c>
      <c r="G85" s="201" t="n">
        <v>1500</v>
      </c>
      <c r="H85" s="201" t="n">
        <v>1430.4</v>
      </c>
      <c r="I85" s="219" t="n"/>
      <c r="J85" s="207" t="n"/>
    </row>
    <row r="86" ht="25.5" customHeight="1" s="326">
      <c r="A86" s="197" t="n">
        <v>71</v>
      </c>
      <c r="B86" s="361" t="n"/>
      <c r="C86" s="194" t="inlineStr">
        <is>
          <t>01.2.03.03-0107</t>
        </is>
      </c>
      <c r="D86" s="195" t="inlineStr">
        <is>
          <t>Мастика клеящая морозостойкая битумно-масляная МБ-50</t>
        </is>
      </c>
      <c r="E86" s="393" t="inlineStr">
        <is>
          <t>т</t>
        </is>
      </c>
      <c r="F86" s="393" t="n">
        <v>0.31968</v>
      </c>
      <c r="G86" s="201" t="n">
        <v>3960</v>
      </c>
      <c r="H86" s="201" t="n">
        <v>1265.93</v>
      </c>
      <c r="I86" s="219" t="n"/>
      <c r="J86" s="207" t="n"/>
    </row>
    <row r="87">
      <c r="A87" s="197" t="n">
        <v>72</v>
      </c>
      <c r="B87" s="361" t="n"/>
      <c r="C87" s="194" t="inlineStr">
        <is>
          <t>14.4.04.11-0010</t>
        </is>
      </c>
      <c r="D87" s="195" t="inlineStr">
        <is>
          <t>Эмаль ХС-720 серебристая антикоррозийная</t>
        </is>
      </c>
      <c r="E87" s="393" t="inlineStr">
        <is>
          <t>т</t>
        </is>
      </c>
      <c r="F87" s="393" t="n">
        <v>0.0348</v>
      </c>
      <c r="G87" s="201" t="n">
        <v>35001</v>
      </c>
      <c r="H87" s="201" t="n">
        <v>1218.03</v>
      </c>
      <c r="I87" s="219" t="n"/>
      <c r="J87" s="207" t="n"/>
    </row>
    <row r="88" ht="38.25" customHeight="1" s="326">
      <c r="A88" s="197" t="n">
        <v>73</v>
      </c>
      <c r="B88" s="361" t="n"/>
      <c r="C88" s="194" t="inlineStr">
        <is>
          <t>08.4.02.03-0021</t>
        </is>
      </c>
      <c r="D88" s="195" t="inlineStr">
        <is>
          <t>Каркасы и сетки арматурные плоские, собранные и сваренные (связанные) в арматурные изделия, класс BP-I, диаметр 4 мм</t>
        </is>
      </c>
      <c r="E88" s="393" t="inlineStr">
        <is>
          <t>т</t>
        </is>
      </c>
      <c r="F88" s="393" t="n">
        <v>0.1332</v>
      </c>
      <c r="G88" s="201" t="n">
        <v>8817.17</v>
      </c>
      <c r="H88" s="201" t="n">
        <v>1174.45</v>
      </c>
      <c r="I88" s="219" t="n"/>
      <c r="J88" s="207" t="n"/>
    </row>
    <row r="89">
      <c r="A89" s="197" t="n">
        <v>74</v>
      </c>
      <c r="B89" s="361" t="n"/>
      <c r="C89" s="194" t="inlineStr">
        <is>
          <t>01.7.07.12-0024</t>
        </is>
      </c>
      <c r="D89" s="195" t="inlineStr">
        <is>
          <t>Пленка полиэтиленовая толщиной: 0,15 мм</t>
        </is>
      </c>
      <c r="E89" s="393" t="inlineStr">
        <is>
          <t>м2</t>
        </is>
      </c>
      <c r="F89" s="393" t="n">
        <v>319.488</v>
      </c>
      <c r="G89" s="201" t="n">
        <v>3.62</v>
      </c>
      <c r="H89" s="201" t="n">
        <v>1156.55</v>
      </c>
      <c r="I89" s="219" t="n"/>
      <c r="J89" s="207" t="n"/>
    </row>
    <row r="90">
      <c r="A90" s="197" t="n">
        <v>75</v>
      </c>
      <c r="B90" s="361" t="n"/>
      <c r="C90" s="194" t="inlineStr">
        <is>
          <t>01.2.03.03-0013</t>
        </is>
      </c>
      <c r="D90" s="195" t="inlineStr">
        <is>
          <t>Мастика битумная кровельная горячая</t>
        </is>
      </c>
      <c r="E90" s="393" t="inlineStr">
        <is>
          <t>т</t>
        </is>
      </c>
      <c r="F90" s="393" t="n">
        <v>0.3197</v>
      </c>
      <c r="G90" s="201" t="n">
        <v>3390</v>
      </c>
      <c r="H90" s="201" t="n">
        <v>1083.78</v>
      </c>
      <c r="I90" s="219" t="n"/>
      <c r="J90" s="207" t="n"/>
    </row>
    <row r="91" ht="25.5" customHeight="1" s="326">
      <c r="A91" s="197" t="n">
        <v>76</v>
      </c>
      <c r="B91" s="361" t="n"/>
      <c r="C91" s="194" t="inlineStr">
        <is>
          <t>08.3.05.02-0101</t>
        </is>
      </c>
      <c r="D91" s="195" t="inlineStr">
        <is>
          <t>Сталь листовая углеродистая обыкновенного качества марки ВСт3пс5 толщиной: 4-6 мм</t>
        </is>
      </c>
      <c r="E91" s="393" t="inlineStr">
        <is>
          <t>т</t>
        </is>
      </c>
      <c r="F91" s="393" t="n">
        <v>0.1844</v>
      </c>
      <c r="G91" s="201" t="n">
        <v>5763</v>
      </c>
      <c r="H91" s="201" t="n">
        <v>1062.7</v>
      </c>
      <c r="I91" s="219" t="n"/>
      <c r="J91" s="207" t="n"/>
    </row>
    <row r="92">
      <c r="A92" s="197" t="n">
        <v>77</v>
      </c>
      <c r="B92" s="361" t="n"/>
      <c r="C92" s="194" t="inlineStr">
        <is>
          <t>07.2.07.13-0081</t>
        </is>
      </c>
      <c r="D92" s="195" t="inlineStr">
        <is>
          <t>Конструкции стальные приспособлений: для монтажа</t>
        </is>
      </c>
      <c r="E92" s="393" t="inlineStr">
        <is>
          <t>т</t>
        </is>
      </c>
      <c r="F92" s="393" t="n">
        <v>0.137</v>
      </c>
      <c r="G92" s="201" t="n">
        <v>7441</v>
      </c>
      <c r="H92" s="201" t="n">
        <v>1019.42</v>
      </c>
      <c r="I92" s="219" t="n"/>
      <c r="J92" s="207" t="n"/>
    </row>
    <row r="93">
      <c r="A93" s="197" t="n">
        <v>78</v>
      </c>
      <c r="B93" s="361" t="n"/>
      <c r="C93" s="194" t="inlineStr">
        <is>
          <t>04.3.01.09-0023</t>
        </is>
      </c>
      <c r="D93" s="195" t="inlineStr">
        <is>
          <t>Раствор готовый отделочный тяжелый,: цементный 1:3</t>
        </is>
      </c>
      <c r="E93" s="393" t="inlineStr">
        <is>
          <t>м3</t>
        </is>
      </c>
      <c r="F93" s="393" t="n">
        <v>1.51</v>
      </c>
      <c r="G93" s="201" t="n">
        <v>497</v>
      </c>
      <c r="H93" s="201" t="n">
        <v>750.47</v>
      </c>
      <c r="I93" s="219" t="n"/>
      <c r="J93" s="207" t="n"/>
    </row>
    <row r="94">
      <c r="A94" s="197" t="n">
        <v>79</v>
      </c>
      <c r="B94" s="361" t="n"/>
      <c r="C94" s="194" t="inlineStr">
        <is>
          <t>04.1.02.05-0010</t>
        </is>
      </c>
      <c r="D94" s="195" t="inlineStr">
        <is>
          <t>Бетон тяжелый, класс: В27,5 (М350)</t>
        </is>
      </c>
      <c r="E94" s="393" t="inlineStr">
        <is>
          <t>м3</t>
        </is>
      </c>
      <c r="F94" s="393" t="n">
        <v>0.8741</v>
      </c>
      <c r="G94" s="201" t="n">
        <v>730</v>
      </c>
      <c r="H94" s="201" t="n">
        <v>638.09</v>
      </c>
      <c r="I94" s="219" t="n"/>
      <c r="J94" s="207" t="n"/>
    </row>
    <row r="95" ht="38.25" customHeight="1" s="326">
      <c r="A95" s="197" t="n">
        <v>80</v>
      </c>
      <c r="B95" s="361" t="n"/>
      <c r="C95" s="194" t="inlineStr">
        <is>
          <t>23.3.03.02-0077</t>
        </is>
      </c>
      <c r="D95" s="195" t="inlineStr">
        <is>
          <t>Трубы стальные бесшовные, горячедеформированные со снятой фаской из стали марок 15, 20, 25, наружным диаметром: 108 мм, толщина стенки 5 мм</t>
        </is>
      </c>
      <c r="E95" s="393" t="inlineStr">
        <is>
          <t>м</t>
        </is>
      </c>
      <c r="F95" s="393" t="n">
        <v>4.6</v>
      </c>
      <c r="G95" s="201" t="n">
        <v>111.05</v>
      </c>
      <c r="H95" s="201" t="n">
        <v>510.83</v>
      </c>
      <c r="I95" s="219" t="n"/>
      <c r="J95" s="207" t="n"/>
    </row>
    <row r="96">
      <c r="A96" s="197" t="n">
        <v>81</v>
      </c>
      <c r="B96" s="361" t="n"/>
      <c r="C96" s="194" t="inlineStr">
        <is>
          <t>01.7.11.07-0032</t>
        </is>
      </c>
      <c r="D96" s="195" t="inlineStr">
        <is>
          <t>Электроды диаметром: 4 мм Э42</t>
        </is>
      </c>
      <c r="E96" s="393" t="inlineStr">
        <is>
          <t>т</t>
        </is>
      </c>
      <c r="F96" s="393" t="n">
        <v>0.0493</v>
      </c>
      <c r="G96" s="201" t="n">
        <v>10315.01</v>
      </c>
      <c r="H96" s="201" t="n">
        <v>508.53</v>
      </c>
      <c r="I96" s="219" t="n"/>
      <c r="J96" s="207" t="n"/>
    </row>
    <row r="97" ht="25.5" customHeight="1" s="326">
      <c r="A97" s="197" t="n">
        <v>82</v>
      </c>
      <c r="B97" s="361" t="n"/>
      <c r="C97" s="194" t="inlineStr">
        <is>
          <t>02.2.01.02-0013</t>
        </is>
      </c>
      <c r="D97" s="195" t="inlineStr">
        <is>
          <t>Гравий для строительных работ марка 400, фракция 20-40 мм</t>
        </is>
      </c>
      <c r="E97" s="393" t="inlineStr">
        <is>
          <t>м3</t>
        </is>
      </c>
      <c r="F97" s="393" t="n">
        <v>3.91</v>
      </c>
      <c r="G97" s="201" t="n">
        <v>110.77</v>
      </c>
      <c r="H97" s="201" t="n">
        <v>433.11</v>
      </c>
      <c r="I97" s="219" t="n"/>
      <c r="J97" s="207" t="n"/>
    </row>
    <row r="98">
      <c r="A98" s="197" t="n">
        <v>83</v>
      </c>
      <c r="B98" s="361" t="n"/>
      <c r="C98" s="194" t="inlineStr">
        <is>
          <t>01.7.11.07-0035</t>
        </is>
      </c>
      <c r="D98" s="195" t="inlineStr">
        <is>
          <t>Электроды диаметром: 4 мм Э46</t>
        </is>
      </c>
      <c r="E98" s="393" t="inlineStr">
        <is>
          <t>т</t>
        </is>
      </c>
      <c r="F98" s="393" t="n">
        <v>0.0349</v>
      </c>
      <c r="G98" s="201" t="n">
        <v>10749</v>
      </c>
      <c r="H98" s="201" t="n">
        <v>375.14</v>
      </c>
      <c r="I98" s="219" t="n"/>
      <c r="J98" s="207" t="n"/>
    </row>
    <row r="99">
      <c r="A99" s="197" t="n">
        <v>84</v>
      </c>
      <c r="B99" s="361" t="n"/>
      <c r="C99" s="194" t="inlineStr">
        <is>
          <t>11.2.13.04-0011</t>
        </is>
      </c>
      <c r="D99" s="195" t="inlineStr">
        <is>
          <t>Щиты: из досок толщиной 25 мм</t>
        </is>
      </c>
      <c r="E99" s="393" t="inlineStr">
        <is>
          <t>м2</t>
        </is>
      </c>
      <c r="F99" s="393" t="n">
        <v>9.742000000000001</v>
      </c>
      <c r="G99" s="201" t="n">
        <v>35.53</v>
      </c>
      <c r="H99" s="201" t="n">
        <v>346.13</v>
      </c>
      <c r="I99" s="219" t="n"/>
      <c r="J99" s="207" t="n"/>
    </row>
    <row r="100">
      <c r="A100" s="197" t="n">
        <v>85</v>
      </c>
      <c r="B100" s="361" t="n"/>
      <c r="C100" s="194" t="inlineStr">
        <is>
          <t>01.7.11.07-0044</t>
        </is>
      </c>
      <c r="D100" s="195" t="inlineStr">
        <is>
          <t>Электроды диаметром: 5 мм Э42</t>
        </is>
      </c>
      <c r="E100" s="393" t="inlineStr">
        <is>
          <t>т</t>
        </is>
      </c>
      <c r="F100" s="393" t="n">
        <v>0.0242</v>
      </c>
      <c r="G100" s="201" t="n">
        <v>9765</v>
      </c>
      <c r="H100" s="201" t="n">
        <v>236.31</v>
      </c>
      <c r="I100" s="219" t="n"/>
      <c r="J100" s="207" t="n"/>
    </row>
    <row r="101" ht="25.5" customHeight="1" s="326">
      <c r="A101" s="197" t="n">
        <v>86</v>
      </c>
      <c r="B101" s="361" t="n"/>
      <c r="C101" s="194" t="inlineStr">
        <is>
          <t>999-9950</t>
        </is>
      </c>
      <c r="D101" s="195" t="inlineStr">
        <is>
          <t>Вспомогательные ненормируемые ресурсы (2% от Оплаты труда рабочих)</t>
        </is>
      </c>
      <c r="E101" s="393" t="inlineStr">
        <is>
          <t>руб.</t>
        </is>
      </c>
      <c r="F101" s="393" t="n">
        <v>123.62</v>
      </c>
      <c r="G101" s="201" t="n">
        <v>1</v>
      </c>
      <c r="H101" s="201" t="n">
        <v>123.62</v>
      </c>
      <c r="I101" s="219" t="n"/>
      <c r="J101" s="207" t="n"/>
    </row>
    <row r="102">
      <c r="A102" s="197" t="n">
        <v>87</v>
      </c>
      <c r="B102" s="361" t="n"/>
      <c r="C102" s="194" t="inlineStr">
        <is>
          <t>01.3.02.08-0001</t>
        </is>
      </c>
      <c r="D102" s="195" t="inlineStr">
        <is>
          <t>Кислород технический: газообразный</t>
        </is>
      </c>
      <c r="E102" s="393" t="inlineStr">
        <is>
          <t>м3</t>
        </is>
      </c>
      <c r="F102" s="393" t="n">
        <v>14.7754</v>
      </c>
      <c r="G102" s="201" t="n">
        <v>6.22</v>
      </c>
      <c r="H102" s="201" t="n">
        <v>91.90000000000001</v>
      </c>
      <c r="I102" s="219" t="n"/>
      <c r="J102" s="207" t="n"/>
    </row>
    <row r="103">
      <c r="A103" s="197" t="n">
        <v>88</v>
      </c>
      <c r="B103" s="361" t="n"/>
      <c r="C103" s="194" t="inlineStr">
        <is>
          <t>01.3.01.03-0002</t>
        </is>
      </c>
      <c r="D103" s="195" t="inlineStr">
        <is>
          <t>Керосин для технических целей марок КТ-1, КТ-2</t>
        </is>
      </c>
      <c r="E103" s="393" t="inlineStr">
        <is>
          <t>т</t>
        </is>
      </c>
      <c r="F103" s="393" t="n">
        <v>0.032</v>
      </c>
      <c r="G103" s="201" t="n">
        <v>2606.9</v>
      </c>
      <c r="H103" s="201" t="n">
        <v>83.42</v>
      </c>
      <c r="I103" s="219" t="n"/>
      <c r="J103" s="207" t="n"/>
    </row>
    <row r="104">
      <c r="A104" s="197" t="n">
        <v>89</v>
      </c>
      <c r="B104" s="361" t="n"/>
      <c r="C104" s="194" t="inlineStr">
        <is>
          <t>01.3.02.03-0001</t>
        </is>
      </c>
      <c r="D104" s="195" t="inlineStr">
        <is>
          <t>Ацетилен газообразный технический</t>
        </is>
      </c>
      <c r="E104" s="393" t="inlineStr">
        <is>
          <t>м3</t>
        </is>
      </c>
      <c r="F104" s="393" t="n">
        <v>1.9293</v>
      </c>
      <c r="G104" s="201" t="n">
        <v>38.51</v>
      </c>
      <c r="H104" s="201" t="n">
        <v>74.3</v>
      </c>
      <c r="I104" s="219" t="n"/>
      <c r="J104" s="207" t="n"/>
    </row>
    <row r="105">
      <c r="A105" s="197" t="n">
        <v>90</v>
      </c>
      <c r="B105" s="361" t="n"/>
      <c r="C105" s="194" t="inlineStr">
        <is>
          <t>01.7.11.07-0040</t>
        </is>
      </c>
      <c r="D105" s="195" t="inlineStr">
        <is>
          <t>Электроды диаметром: 4 мм Э50А</t>
        </is>
      </c>
      <c r="E105" s="393" t="inlineStr">
        <is>
          <t>т</t>
        </is>
      </c>
      <c r="F105" s="393" t="n">
        <v>0.0043</v>
      </c>
      <c r="G105" s="201" t="n">
        <v>11524</v>
      </c>
      <c r="H105" s="201" t="n">
        <v>49.55</v>
      </c>
      <c r="I105" s="219" t="n"/>
      <c r="J105" s="207" t="n"/>
    </row>
    <row r="106" ht="51" customHeight="1" s="326">
      <c r="A106" s="197" t="n">
        <v>91</v>
      </c>
      <c r="B106" s="361" t="n"/>
      <c r="C106" s="194" t="inlineStr">
        <is>
          <t>07.2.07.12-0020</t>
        </is>
      </c>
      <c r="D106" s="195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E106" s="393" t="inlineStr">
        <is>
          <t>т</t>
        </is>
      </c>
      <c r="F106" s="393" t="n">
        <v>0.0056</v>
      </c>
      <c r="G106" s="201" t="n">
        <v>7712</v>
      </c>
      <c r="H106" s="201" t="n">
        <v>43.19</v>
      </c>
      <c r="I106" s="219" t="n"/>
      <c r="J106" s="207" t="n"/>
    </row>
    <row r="107">
      <c r="A107" s="197" t="n">
        <v>92</v>
      </c>
      <c r="B107" s="361" t="n"/>
      <c r="C107" s="194" t="inlineStr">
        <is>
          <t>01.7.15.03-0041</t>
        </is>
      </c>
      <c r="D107" s="195" t="inlineStr">
        <is>
          <t>Болты с гайками и шайбами строительные</t>
        </is>
      </c>
      <c r="E107" s="393" t="inlineStr">
        <is>
          <t>т</t>
        </is>
      </c>
      <c r="F107" s="393" t="n">
        <v>0.0045</v>
      </c>
      <c r="G107" s="201" t="n">
        <v>9040.01</v>
      </c>
      <c r="H107" s="201" t="n">
        <v>40.68</v>
      </c>
      <c r="I107" s="219" t="n"/>
      <c r="J107" s="207" t="n"/>
    </row>
    <row r="108">
      <c r="A108" s="197" t="n">
        <v>93</v>
      </c>
      <c r="B108" s="361" t="n"/>
      <c r="C108" s="194" t="inlineStr">
        <is>
          <t>01.2.01.02-0054</t>
        </is>
      </c>
      <c r="D108" s="195" t="inlineStr">
        <is>
          <t>Битумы нефтяные строительные марки: БН-90/10</t>
        </is>
      </c>
      <c r="E108" s="393" t="inlineStr">
        <is>
          <t>т</t>
        </is>
      </c>
      <c r="F108" s="393" t="n">
        <v>0.0213</v>
      </c>
      <c r="G108" s="201" t="n">
        <v>1383.1</v>
      </c>
      <c r="H108" s="201" t="n">
        <v>29.46</v>
      </c>
      <c r="I108" s="219" t="n"/>
      <c r="J108" s="207" t="n"/>
    </row>
    <row r="109">
      <c r="A109" s="197" t="n">
        <v>94</v>
      </c>
      <c r="B109" s="361" t="n"/>
      <c r="C109" s="194" t="inlineStr">
        <is>
          <t>01.7.03.01-0001</t>
        </is>
      </c>
      <c r="D109" s="195" t="inlineStr">
        <is>
          <t>Вода</t>
        </is>
      </c>
      <c r="E109" s="393" t="inlineStr">
        <is>
          <t>м3</t>
        </is>
      </c>
      <c r="F109" s="393" t="n">
        <v>8.715999999999999</v>
      </c>
      <c r="G109" s="201" t="n">
        <v>2.44</v>
      </c>
      <c r="H109" s="201" t="n">
        <v>21.27</v>
      </c>
      <c r="I109" s="219" t="n"/>
      <c r="J109" s="207" t="n"/>
    </row>
    <row r="110" ht="25.5" customHeight="1" s="326">
      <c r="A110" s="197" t="n">
        <v>95</v>
      </c>
      <c r="B110" s="361" t="n"/>
      <c r="C110" s="194" t="inlineStr">
        <is>
          <t>11.1.03.01-0079</t>
        </is>
      </c>
      <c r="D110" s="195" t="inlineStr">
        <is>
          <t>Бруски обрезные хвойных пород длиной: 4-6,5 м, шириной 75-150 мм, толщиной 40-75 мм, III сорта</t>
        </is>
      </c>
      <c r="E110" s="393" t="inlineStr">
        <is>
          <t>м3</t>
        </is>
      </c>
      <c r="F110" s="393" t="n">
        <v>0.0157</v>
      </c>
      <c r="G110" s="201" t="n">
        <v>1287</v>
      </c>
      <c r="H110" s="201" t="n">
        <v>20.21</v>
      </c>
      <c r="I110" s="219" t="n"/>
      <c r="J110" s="207" t="n"/>
    </row>
    <row r="111">
      <c r="A111" s="197" t="n">
        <v>96</v>
      </c>
      <c r="B111" s="361" t="n"/>
      <c r="C111" s="194" t="inlineStr">
        <is>
          <t>08.1.02.11-0001</t>
        </is>
      </c>
      <c r="D111" s="195" t="inlineStr">
        <is>
          <t>Поковки из квадратных заготовок, масса: 1,8 кг</t>
        </is>
      </c>
      <c r="E111" s="393" t="inlineStr">
        <is>
          <t>т</t>
        </is>
      </c>
      <c r="F111" s="393" t="n">
        <v>0.0029</v>
      </c>
      <c r="G111" s="201" t="n">
        <v>5989</v>
      </c>
      <c r="H111" s="201" t="n">
        <v>17.37</v>
      </c>
      <c r="I111" s="219" t="n"/>
      <c r="J111" s="207" t="n"/>
    </row>
    <row r="112">
      <c r="A112" s="197" t="n">
        <v>97</v>
      </c>
      <c r="B112" s="361" t="n"/>
      <c r="C112" s="194" t="inlineStr">
        <is>
          <t>14.4.04.09-0022</t>
        </is>
      </c>
      <c r="D112" s="195" t="inlineStr">
        <is>
          <t>Эмаль ХВ-785 белая</t>
        </is>
      </c>
      <c r="E112" s="393" t="inlineStr">
        <is>
          <t>т</t>
        </is>
      </c>
      <c r="F112" s="393" t="n">
        <v>0.0005</v>
      </c>
      <c r="G112" s="201" t="n">
        <v>24119</v>
      </c>
      <c r="H112" s="201" t="n">
        <v>12.06</v>
      </c>
      <c r="I112" s="219" t="n"/>
      <c r="J112" s="207" t="n"/>
    </row>
    <row r="113">
      <c r="A113" s="197" t="n">
        <v>98</v>
      </c>
      <c r="B113" s="361" t="n"/>
      <c r="C113" s="194" t="inlineStr">
        <is>
          <t>08.3.11.01-0091</t>
        </is>
      </c>
      <c r="D113" s="195" t="inlineStr">
        <is>
          <t>Швеллеры № 40 из стали марки: Ст0</t>
        </is>
      </c>
      <c r="E113" s="393" t="inlineStr">
        <is>
          <t>т</t>
        </is>
      </c>
      <c r="F113" s="393" t="n">
        <v>0.0022</v>
      </c>
      <c r="G113" s="201" t="n">
        <v>4920</v>
      </c>
      <c r="H113" s="201" t="n">
        <v>10.82</v>
      </c>
      <c r="I113" s="219" t="n"/>
      <c r="J113" s="207" t="n"/>
    </row>
    <row r="114">
      <c r="A114" s="197" t="n">
        <v>99</v>
      </c>
      <c r="B114" s="361" t="n"/>
      <c r="C114" s="194" t="inlineStr">
        <is>
          <t>14.5.09.07-0029</t>
        </is>
      </c>
      <c r="D114" s="195" t="inlineStr">
        <is>
          <t>Растворитель марки: Р-4</t>
        </is>
      </c>
      <c r="E114" s="393" t="inlineStr">
        <is>
          <t>т</t>
        </is>
      </c>
      <c r="F114" s="393" t="n">
        <v>0.0009</v>
      </c>
      <c r="G114" s="201" t="n">
        <v>9420</v>
      </c>
      <c r="H114" s="201" t="n">
        <v>8.48</v>
      </c>
      <c r="I114" s="219" t="n"/>
      <c r="J114" s="207" t="n"/>
    </row>
    <row r="115">
      <c r="A115" s="197" t="n">
        <v>100</v>
      </c>
      <c r="B115" s="361" t="n"/>
      <c r="C115" s="194" t="inlineStr">
        <is>
          <t>01.7.11.07-0054</t>
        </is>
      </c>
      <c r="D115" s="195" t="inlineStr">
        <is>
          <t>Электроды диаметром: 6 мм Э42</t>
        </is>
      </c>
      <c r="E115" s="393" t="inlineStr">
        <is>
          <t>т</t>
        </is>
      </c>
      <c r="F115" s="393" t="n">
        <v>0.0008</v>
      </c>
      <c r="G115" s="201" t="n">
        <v>9424</v>
      </c>
      <c r="H115" s="201" t="n">
        <v>7.54</v>
      </c>
      <c r="I115" s="219" t="n"/>
      <c r="J115" s="207" t="n"/>
    </row>
    <row r="116">
      <c r="A116" s="197" t="n">
        <v>101</v>
      </c>
      <c r="B116" s="361" t="n"/>
      <c r="C116" s="194" t="inlineStr">
        <is>
          <t>01.3.02.09-0022</t>
        </is>
      </c>
      <c r="D116" s="195" t="inlineStr">
        <is>
          <t>Пропан-бутан, смесь техническая</t>
        </is>
      </c>
      <c r="E116" s="393" t="inlineStr">
        <is>
          <t>кг</t>
        </is>
      </c>
      <c r="F116" s="393" t="n">
        <v>1.2287</v>
      </c>
      <c r="G116" s="201" t="n">
        <v>6.09</v>
      </c>
      <c r="H116" s="201" t="n">
        <v>7.48</v>
      </c>
      <c r="I116" s="219" t="n"/>
      <c r="J116" s="207" t="n"/>
    </row>
    <row r="117">
      <c r="A117" s="197" t="n">
        <v>102</v>
      </c>
      <c r="B117" s="361" t="n"/>
      <c r="C117" s="194" t="inlineStr">
        <is>
          <t>03.1.02.03-0011</t>
        </is>
      </c>
      <c r="D117" s="195" t="inlineStr">
        <is>
          <t>Известь строительная: негашеная комовая, сорт I</t>
        </is>
      </c>
      <c r="E117" s="393" t="inlineStr">
        <is>
          <t>т</t>
        </is>
      </c>
      <c r="F117" s="393" t="n">
        <v>0.0091</v>
      </c>
      <c r="G117" s="201" t="n">
        <v>734.5</v>
      </c>
      <c r="H117" s="201" t="n">
        <v>6.68</v>
      </c>
      <c r="I117" s="219" t="n"/>
      <c r="J117" s="207" t="n"/>
    </row>
    <row r="118">
      <c r="A118" s="197" t="n">
        <v>103</v>
      </c>
      <c r="B118" s="361" t="n"/>
      <c r="C118" s="194" t="inlineStr">
        <is>
          <t>14.4.01.01-0003</t>
        </is>
      </c>
      <c r="D118" s="195" t="inlineStr">
        <is>
          <t>Грунтовка: ГФ-021 красно-коричневая</t>
        </is>
      </c>
      <c r="E118" s="393" t="inlineStr">
        <is>
          <t>т</t>
        </is>
      </c>
      <c r="F118" s="393" t="n">
        <v>0.0003</v>
      </c>
      <c r="G118" s="201" t="n">
        <v>15620</v>
      </c>
      <c r="H118" s="201" t="n">
        <v>4.69</v>
      </c>
      <c r="I118" s="219" t="n"/>
      <c r="J118" s="207" t="n"/>
    </row>
    <row r="119">
      <c r="A119" s="197" t="n">
        <v>104</v>
      </c>
      <c r="B119" s="361" t="n"/>
      <c r="C119" s="194" t="inlineStr">
        <is>
          <t>01.7.20.08-0071</t>
        </is>
      </c>
      <c r="D119" s="195" t="inlineStr">
        <is>
          <t>Канаты пеньковые пропитанные</t>
        </is>
      </c>
      <c r="E119" s="393" t="inlineStr">
        <is>
          <t>т</t>
        </is>
      </c>
      <c r="F119" s="393" t="n">
        <v>0.0001</v>
      </c>
      <c r="G119" s="201" t="n">
        <v>37900</v>
      </c>
      <c r="H119" s="201" t="n">
        <v>3.79</v>
      </c>
      <c r="I119" s="219" t="n"/>
      <c r="J119" s="207" t="n"/>
    </row>
    <row r="120" ht="25.5" customHeight="1" s="326">
      <c r="A120" s="197" t="n">
        <v>105</v>
      </c>
      <c r="B120" s="361" t="n"/>
      <c r="C120" s="194" t="inlineStr">
        <is>
          <t>11.1.03.01-0077</t>
        </is>
      </c>
      <c r="D120" s="195" t="inlineStr">
        <is>
          <t>Бруски обрезные хвойных пород длиной: 4-6,5 м, шириной 75-150 мм, толщиной 40-75 мм, I сорта</t>
        </is>
      </c>
      <c r="E120" s="393" t="inlineStr">
        <is>
          <t>м3</t>
        </is>
      </c>
      <c r="F120" s="393" t="n">
        <v>0.0012</v>
      </c>
      <c r="G120" s="201" t="n">
        <v>1700</v>
      </c>
      <c r="H120" s="201" t="n">
        <v>2.04</v>
      </c>
      <c r="I120" s="219" t="n"/>
      <c r="J120" s="207" t="n"/>
    </row>
    <row r="121" ht="51" customHeight="1" s="326">
      <c r="A121" s="197" t="n">
        <v>106</v>
      </c>
      <c r="B121" s="361" t="n"/>
      <c r="C121" s="194" t="inlineStr">
        <is>
          <t>08.2.02.11-0007</t>
        </is>
      </c>
      <c r="D121" s="195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E121" s="393" t="inlineStr">
        <is>
          <t>10 м</t>
        </is>
      </c>
      <c r="F121" s="393" t="n">
        <v>0.0211</v>
      </c>
      <c r="G121" s="201" t="n">
        <v>50.24</v>
      </c>
      <c r="H121" s="201" t="n">
        <v>1.06</v>
      </c>
      <c r="I121" s="219" t="n"/>
      <c r="J121" s="207" t="n"/>
    </row>
    <row r="122">
      <c r="A122" s="197" t="n">
        <v>107</v>
      </c>
      <c r="B122" s="361" t="n"/>
      <c r="C122" s="194" t="inlineStr">
        <is>
          <t>01.7.20.08-0051</t>
        </is>
      </c>
      <c r="D122" s="195" t="inlineStr">
        <is>
          <t>Ветошь</t>
        </is>
      </c>
      <c r="E122" s="393" t="inlineStr">
        <is>
          <t>кг</t>
        </is>
      </c>
      <c r="F122" s="393" t="n">
        <v>0.1332</v>
      </c>
      <c r="G122" s="201" t="n">
        <v>1.82</v>
      </c>
      <c r="H122" s="201" t="n">
        <v>0.24</v>
      </c>
      <c r="I122" s="219" t="n"/>
      <c r="J122" s="207" t="n"/>
    </row>
    <row r="125">
      <c r="B125" s="328" t="inlineStr">
        <is>
          <t>Составил ______________________     Д.Ю. Нефедова</t>
        </is>
      </c>
    </row>
    <row r="126">
      <c r="B126" s="309" t="inlineStr">
        <is>
          <t xml:space="preserve">                         (подпись, инициалы, фамилия)</t>
        </is>
      </c>
    </row>
    <row r="128">
      <c r="B128" s="328" t="inlineStr">
        <is>
          <t>Проверил ______________________        А.В. Костянецкая</t>
        </is>
      </c>
    </row>
    <row r="129">
      <c r="B129" s="309" t="inlineStr">
        <is>
          <t xml:space="preserve">                        (подпись, инициалы, фамилия)</t>
        </is>
      </c>
    </row>
  </sheetData>
  <mergeCells count="16">
    <mergeCell ref="A3:H3"/>
    <mergeCell ref="A59:E59"/>
    <mergeCell ref="A8:A9"/>
    <mergeCell ref="A26:E26"/>
    <mergeCell ref="C8:C9"/>
    <mergeCell ref="A24:E24"/>
    <mergeCell ref="F8:F9"/>
    <mergeCell ref="E8:E9"/>
    <mergeCell ref="A2:H2"/>
    <mergeCell ref="A11:E11"/>
    <mergeCell ref="D8:D9"/>
    <mergeCell ref="B8:B9"/>
    <mergeCell ref="C4:H4"/>
    <mergeCell ref="G8:H8"/>
    <mergeCell ref="A58:E58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4" workbookViewId="0">
      <selection activeCell="D43" sqref="D43"/>
    </sheetView>
  </sheetViews>
  <sheetFormatPr baseColWidth="8" defaultRowHeight="15"/>
  <cols>
    <col width="4.140625" customWidth="1" style="326" min="1" max="1"/>
    <col width="36.28515625" customWidth="1" style="326" min="2" max="2"/>
    <col width="18.85546875" customWidth="1" style="326" min="3" max="3"/>
    <col width="18.28515625" customWidth="1" style="326" min="4" max="4"/>
    <col width="18.85546875" customWidth="1" style="326" min="5" max="5"/>
    <col width="11.42578125" customWidth="1" style="326" min="6" max="6"/>
    <col width="14.42578125" customWidth="1" style="326" min="7" max="7"/>
    <col width="9.140625" customWidth="1" style="326" min="8" max="11"/>
    <col width="13.5703125" customWidth="1" style="326" min="12" max="12"/>
    <col width="9.140625" customWidth="1" style="326" min="13" max="13"/>
  </cols>
  <sheetData>
    <row r="1">
      <c r="B1" s="297" t="n"/>
      <c r="C1" s="297" t="n"/>
      <c r="D1" s="297" t="n"/>
      <c r="E1" s="297" t="n"/>
    </row>
    <row r="2">
      <c r="B2" s="297" t="n"/>
      <c r="C2" s="297" t="n"/>
      <c r="D2" s="297" t="n"/>
      <c r="E2" s="388" t="inlineStr">
        <is>
          <t>Приложение № 4</t>
        </is>
      </c>
    </row>
    <row r="3">
      <c r="B3" s="297" t="n"/>
      <c r="C3" s="297" t="n"/>
      <c r="D3" s="297" t="n"/>
      <c r="E3" s="297" t="n"/>
    </row>
    <row r="4">
      <c r="B4" s="297" t="n"/>
      <c r="C4" s="297" t="n"/>
      <c r="D4" s="297" t="n"/>
      <c r="E4" s="297" t="n"/>
    </row>
    <row r="5">
      <c r="B5" s="342" t="inlineStr">
        <is>
          <t>Ресурсная модель</t>
        </is>
      </c>
    </row>
    <row r="6">
      <c r="B6" s="211" t="n"/>
      <c r="C6" s="297" t="n"/>
      <c r="D6" s="297" t="n"/>
      <c r="E6" s="297" t="n"/>
    </row>
    <row r="7" ht="38.25" customHeight="1" s="326">
      <c r="B7" s="351" t="inlineStr">
        <is>
          <t>Наименование разрабатываемого показателя УНЦ — Укрепление котлованов и траншей 330-500 кВ (Все регионы за исключением Москвы и Санкт-Петербурга)</t>
        </is>
      </c>
    </row>
    <row r="8">
      <c r="B8" s="368" t="inlineStr">
        <is>
          <t>Единица измерения  — 1 км.</t>
        </is>
      </c>
    </row>
    <row r="9">
      <c r="B9" s="211" t="n"/>
      <c r="C9" s="297" t="n"/>
      <c r="D9" s="297" t="n"/>
      <c r="E9" s="297" t="n"/>
    </row>
    <row r="10" ht="51" customHeight="1" s="326">
      <c r="B10" s="372" t="inlineStr">
        <is>
          <t>Наименование</t>
        </is>
      </c>
      <c r="C10" s="372" t="inlineStr">
        <is>
          <t>Сметная стоимость в ценах на 01.01.2023
 (руб.)</t>
        </is>
      </c>
      <c r="D10" s="372" t="inlineStr">
        <is>
          <t>Удельный вес, 
(в СМР)</t>
        </is>
      </c>
      <c r="E10" s="372" t="inlineStr">
        <is>
          <t>Удельный вес, % 
(от всего по РМ)</t>
        </is>
      </c>
    </row>
    <row r="11">
      <c r="B11" s="258" t="inlineStr">
        <is>
          <t>Оплата труда рабочих</t>
        </is>
      </c>
      <c r="C11" s="299">
        <f>'Прил.5 Расчет СМР и ОБ'!J15</f>
        <v/>
      </c>
      <c r="D11" s="215">
        <f>C11/$C$24</f>
        <v/>
      </c>
      <c r="E11" s="215">
        <f>C11/$C$40</f>
        <v/>
      </c>
    </row>
    <row r="12">
      <c r="B12" s="258" t="inlineStr">
        <is>
          <t>Эксплуатация машин основных</t>
        </is>
      </c>
      <c r="C12" s="299">
        <f>'Прил.5 Расчет СМР и ОБ'!J25</f>
        <v/>
      </c>
      <c r="D12" s="215">
        <f>C12/$C$24</f>
        <v/>
      </c>
      <c r="E12" s="215">
        <f>C12/$C$40</f>
        <v/>
      </c>
    </row>
    <row r="13">
      <c r="B13" s="258" t="inlineStr">
        <is>
          <t>Эксплуатация машин прочих</t>
        </is>
      </c>
      <c r="C13" s="299">
        <f>'Прил.5 Расчет СМР и ОБ'!J52</f>
        <v/>
      </c>
      <c r="D13" s="215">
        <f>C13/$C$24</f>
        <v/>
      </c>
      <c r="E13" s="215">
        <f>C13/$C$40</f>
        <v/>
      </c>
    </row>
    <row r="14">
      <c r="B14" s="258" t="inlineStr">
        <is>
          <t>ЭКСПЛУАТАЦИЯ МАШИН, ВСЕГО:</t>
        </is>
      </c>
      <c r="C14" s="299">
        <f>C13+C12</f>
        <v/>
      </c>
      <c r="D14" s="215">
        <f>C14/$C$24</f>
        <v/>
      </c>
      <c r="E14" s="215">
        <f>C14/$C$40</f>
        <v/>
      </c>
    </row>
    <row r="15">
      <c r="B15" s="258" t="inlineStr">
        <is>
          <t>в том числе зарплата машинистов</t>
        </is>
      </c>
      <c r="C15" s="299">
        <f>'Прил.5 Расчет СМР и ОБ'!J17</f>
        <v/>
      </c>
      <c r="D15" s="215">
        <f>C15/$C$24</f>
        <v/>
      </c>
      <c r="E15" s="215">
        <f>C15/$C$40</f>
        <v/>
      </c>
    </row>
    <row r="16">
      <c r="B16" s="258" t="inlineStr">
        <is>
          <t>Материалы основные</t>
        </is>
      </c>
      <c r="C16" s="299">
        <f>'Прил.5 Расчет СМР и ОБ'!J67</f>
        <v/>
      </c>
      <c r="D16" s="215">
        <f>C16/$C$24</f>
        <v/>
      </c>
      <c r="E16" s="215">
        <f>C16/$C$40</f>
        <v/>
      </c>
    </row>
    <row r="17">
      <c r="B17" s="258" t="inlineStr">
        <is>
          <t>Материалы прочие</t>
        </is>
      </c>
      <c r="C17" s="299">
        <f>'Прил.5 Расчет СМР и ОБ'!J126</f>
        <v/>
      </c>
      <c r="D17" s="215">
        <f>C17/$C$24</f>
        <v/>
      </c>
      <c r="E17" s="215">
        <f>C17/$C$40</f>
        <v/>
      </c>
      <c r="G17" s="457" t="n"/>
    </row>
    <row r="18">
      <c r="B18" s="258" t="inlineStr">
        <is>
          <t>МАТЕРИАЛЫ, ВСЕГО:</t>
        </is>
      </c>
      <c r="C18" s="299">
        <f>C17+C16</f>
        <v/>
      </c>
      <c r="D18" s="215">
        <f>C18/$C$24</f>
        <v/>
      </c>
      <c r="E18" s="215">
        <f>C18/$C$40</f>
        <v/>
      </c>
    </row>
    <row r="19">
      <c r="B19" s="258" t="inlineStr">
        <is>
          <t>ИТОГО</t>
        </is>
      </c>
      <c r="C19" s="299">
        <f>C18+C14+C11</f>
        <v/>
      </c>
      <c r="D19" s="215" t="n"/>
      <c r="E19" s="258" t="n"/>
    </row>
    <row r="20">
      <c r="B20" s="258" t="inlineStr">
        <is>
          <t>Сметная прибыль, руб.</t>
        </is>
      </c>
      <c r="C20" s="299">
        <f>ROUND(C21*(C11+C15),2)</f>
        <v/>
      </c>
      <c r="D20" s="215">
        <f>C20/$C$24</f>
        <v/>
      </c>
      <c r="E20" s="215">
        <f>C20/$C$40</f>
        <v/>
      </c>
    </row>
    <row r="21">
      <c r="B21" s="258" t="inlineStr">
        <is>
          <t>Сметная прибыль, %</t>
        </is>
      </c>
      <c r="C21" s="217">
        <f>'Прил.5 Расчет СМР и ОБ'!D130</f>
        <v/>
      </c>
      <c r="D21" s="215" t="n"/>
      <c r="E21" s="258" t="n"/>
    </row>
    <row r="22">
      <c r="B22" s="258" t="inlineStr">
        <is>
          <t>Накладные расходы, руб.</t>
        </is>
      </c>
      <c r="C22" s="299">
        <f>ROUND(C23*(C11+C15),2)</f>
        <v/>
      </c>
      <c r="D22" s="215">
        <f>C22/$C$24</f>
        <v/>
      </c>
      <c r="E22" s="215">
        <f>C22/$C$40</f>
        <v/>
      </c>
    </row>
    <row r="23">
      <c r="B23" s="258" t="inlineStr">
        <is>
          <t>Накладные расходы, %</t>
        </is>
      </c>
      <c r="C23" s="217">
        <f>'Прил.5 Расчет СМР и ОБ'!D129</f>
        <v/>
      </c>
      <c r="D23" s="215" t="n"/>
      <c r="E23" s="258" t="n"/>
    </row>
    <row r="24">
      <c r="B24" s="258" t="inlineStr">
        <is>
          <t>ВСЕГО СМР с НР и СП</t>
        </is>
      </c>
      <c r="C24" s="299">
        <f>C19+C20+C22</f>
        <v/>
      </c>
      <c r="D24" s="215">
        <f>C24/$C$24</f>
        <v/>
      </c>
      <c r="E24" s="215">
        <f>C24/$C$40</f>
        <v/>
      </c>
    </row>
    <row r="25" ht="25.5" customHeight="1" s="326">
      <c r="B25" s="258" t="inlineStr">
        <is>
          <t>ВСЕГО стоимость оборудования, в том числе</t>
        </is>
      </c>
      <c r="C25" s="299">
        <f>'Прил.5 Расчет СМР и ОБ'!J58</f>
        <v/>
      </c>
      <c r="D25" s="215" t="n"/>
      <c r="E25" s="215">
        <f>C25/$C$40</f>
        <v/>
      </c>
    </row>
    <row r="26" ht="25.5" customHeight="1" s="326">
      <c r="B26" s="258" t="inlineStr">
        <is>
          <t>стоимость оборудования технологического</t>
        </is>
      </c>
      <c r="C26" s="299">
        <f>'Прил.5 Расчет СМР и ОБ'!J59</f>
        <v/>
      </c>
      <c r="D26" s="215" t="n"/>
      <c r="E26" s="215">
        <f>C26/$C$40</f>
        <v/>
      </c>
    </row>
    <row r="27">
      <c r="B27" s="258" t="inlineStr">
        <is>
          <t>ИТОГО (СМР + ОБОРУДОВАНИЕ)</t>
        </is>
      </c>
      <c r="C27" s="170">
        <f>C24+C25</f>
        <v/>
      </c>
      <c r="D27" s="215" t="n"/>
      <c r="E27" s="215">
        <f>C27/$C$40</f>
        <v/>
      </c>
    </row>
    <row r="28" ht="33" customHeight="1" s="326">
      <c r="B28" s="258" t="inlineStr">
        <is>
          <t>ПРОЧ. ЗАТР., УЧТЕННЫЕ ПОКАЗАТЕЛЕМ,  в том числе</t>
        </is>
      </c>
      <c r="C28" s="258" t="n"/>
      <c r="D28" s="258" t="n"/>
      <c r="E28" s="258" t="n"/>
      <c r="F28" s="218" t="n"/>
    </row>
    <row r="29" ht="25.5" customHeight="1" s="326">
      <c r="B29" s="258" t="inlineStr">
        <is>
          <t>Временные здания и сооружения - 3,9%</t>
        </is>
      </c>
      <c r="C29" s="170">
        <f>ROUND(C24*3.9%,2)</f>
        <v/>
      </c>
      <c r="D29" s="258" t="n"/>
      <c r="E29" s="215">
        <f>C29/$C$40</f>
        <v/>
      </c>
    </row>
    <row r="30" ht="38.25" customHeight="1" s="326">
      <c r="B30" s="258" t="inlineStr">
        <is>
          <t>Дополнительные затраты при производстве строительно-монтажных работ в зимнее время - 2,1%</t>
        </is>
      </c>
      <c r="C30" s="170">
        <f>ROUND((C24+C29)*2.1%,2)</f>
        <v/>
      </c>
      <c r="D30" s="258" t="n"/>
      <c r="E30" s="215">
        <f>C30/$C$40</f>
        <v/>
      </c>
      <c r="F30" s="218" t="n"/>
    </row>
    <row r="31">
      <c r="B31" s="258" t="inlineStr">
        <is>
          <t>Пусконаладочные работы</t>
        </is>
      </c>
      <c r="C31" s="170" t="n">
        <v>0</v>
      </c>
      <c r="D31" s="258" t="n"/>
      <c r="E31" s="215">
        <f>C31/$C$40</f>
        <v/>
      </c>
    </row>
    <row r="32" ht="25.5" customHeight="1" s="326">
      <c r="B32" s="258" t="inlineStr">
        <is>
          <t>Затраты по перевозке работников к месту работы и обратно</t>
        </is>
      </c>
      <c r="C32" s="170">
        <f>ROUND(C27*0%,2)</f>
        <v/>
      </c>
      <c r="D32" s="258" t="n"/>
      <c r="E32" s="215">
        <f>C32/$C$40</f>
        <v/>
      </c>
    </row>
    <row r="33" ht="25.5" customHeight="1" s="326">
      <c r="B33" s="258" t="inlineStr">
        <is>
          <t>Затраты, связанные с осуществлением работ вахтовым методом</t>
        </is>
      </c>
      <c r="C33" s="170">
        <f>ROUND(C28*0%,2)</f>
        <v/>
      </c>
      <c r="D33" s="258" t="n"/>
      <c r="E33" s="215">
        <f>C33/$C$40</f>
        <v/>
      </c>
    </row>
    <row r="34" ht="51" customHeight="1" s="326">
      <c r="B34" s="258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70">
        <f>ROUND(C29*0%,2)</f>
        <v/>
      </c>
      <c r="D34" s="258" t="n"/>
      <c r="E34" s="215">
        <f>C34/$C$40</f>
        <v/>
      </c>
      <c r="H34" s="219" t="n"/>
    </row>
    <row r="35" ht="76.5" customHeight="1" s="326">
      <c r="B35" s="258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70">
        <f>ROUND(C30*0%,2)</f>
        <v/>
      </c>
      <c r="D35" s="258" t="n"/>
      <c r="E35" s="215">
        <f>C35/$C$40</f>
        <v/>
      </c>
    </row>
    <row r="36" ht="25.5" customHeight="1" s="326">
      <c r="B36" s="258" t="inlineStr">
        <is>
          <t>Строительный контроль и содержание службы заказчика - 2,14%</t>
        </is>
      </c>
      <c r="C36" s="170">
        <f>ROUND((C27+C32+C33+C34+C35+C29+C31+C30)*2.14%,2)</f>
        <v/>
      </c>
      <c r="D36" s="258" t="n"/>
      <c r="E36" s="215">
        <f>C36/$C$40</f>
        <v/>
      </c>
      <c r="L36" s="218" t="n"/>
    </row>
    <row r="37">
      <c r="B37" s="258" t="inlineStr">
        <is>
          <t>Авторский надзор - 0,2%</t>
        </is>
      </c>
      <c r="C37" s="170">
        <f>ROUND((C27+C32+C33+C34+C35+C29+C31+C30)*0.2%,2)</f>
        <v/>
      </c>
      <c r="D37" s="258" t="n"/>
      <c r="E37" s="215">
        <f>C37/$C$40</f>
        <v/>
      </c>
      <c r="L37" s="218" t="n"/>
    </row>
    <row r="38" ht="38.25" customHeight="1" s="326">
      <c r="B38" s="258" t="inlineStr">
        <is>
          <t>ИТОГО (СМР+ОБОРУДОВАНИЕ+ПРОЧ. ЗАТР., УЧТЕННЫЕ ПОКАЗАТЕЛЕМ)</t>
        </is>
      </c>
      <c r="C38" s="299">
        <f>C27+C32+C33+C34+C35+C29+C31+C30+C36+C37</f>
        <v/>
      </c>
      <c r="D38" s="258" t="n"/>
      <c r="E38" s="215">
        <f>C38/$C$40</f>
        <v/>
      </c>
    </row>
    <row r="39" ht="13.5" customHeight="1" s="326">
      <c r="B39" s="258" t="inlineStr">
        <is>
          <t>Непредвиденные расходы</t>
        </is>
      </c>
      <c r="C39" s="299">
        <f>ROUND(C38*3%,2)</f>
        <v/>
      </c>
      <c r="D39" s="258" t="n"/>
      <c r="E39" s="215">
        <f>C39/$C$38</f>
        <v/>
      </c>
    </row>
    <row r="40">
      <c r="B40" s="258" t="inlineStr">
        <is>
          <t>ВСЕГО:</t>
        </is>
      </c>
      <c r="C40" s="299">
        <f>C39+C38</f>
        <v/>
      </c>
      <c r="D40" s="258" t="n"/>
      <c r="E40" s="215">
        <f>C40/$C$40</f>
        <v/>
      </c>
    </row>
    <row r="41">
      <c r="B41" s="258" t="inlineStr">
        <is>
          <t>ИТОГО ПОКАЗАТЕЛЬ НА ЕД. ИЗМ.</t>
        </is>
      </c>
      <c r="C41" s="299">
        <f>C40/'Прил.5 Расчет СМР и ОБ'!E133</f>
        <v/>
      </c>
      <c r="D41" s="258" t="n"/>
      <c r="E41" s="258" t="n"/>
      <c r="G41" s="218" t="n"/>
    </row>
    <row r="42">
      <c r="B42" s="301" t="n"/>
      <c r="C42" s="297" t="n"/>
      <c r="D42" s="297" t="n"/>
      <c r="E42" s="297" t="n"/>
      <c r="G42" s="218" t="n"/>
    </row>
    <row r="43">
      <c r="B43" s="301" t="inlineStr">
        <is>
          <t>Составил ____________________________ Д.Ю. Нефедова</t>
        </is>
      </c>
      <c r="C43" s="297" t="n"/>
      <c r="D43" s="297" t="n"/>
      <c r="E43" s="297" t="n"/>
      <c r="G43" s="219" t="n"/>
    </row>
    <row r="44">
      <c r="B44" s="301" t="inlineStr">
        <is>
          <t xml:space="preserve">(должность, подпись, инициалы, фамилия) </t>
        </is>
      </c>
      <c r="C44" s="297" t="n"/>
      <c r="D44" s="297" t="n"/>
      <c r="E44" s="297" t="n"/>
    </row>
    <row r="45">
      <c r="B45" s="301" t="n"/>
      <c r="C45" s="297" t="n"/>
      <c r="D45" s="297" t="n"/>
      <c r="E45" s="297" t="n"/>
    </row>
    <row r="46">
      <c r="B46" s="301" t="inlineStr">
        <is>
          <t>Проверил ____________________________ А.В. Костянецкая</t>
        </is>
      </c>
      <c r="C46" s="297" t="n"/>
      <c r="D46" s="297" t="n"/>
      <c r="E46" s="297" t="n"/>
    </row>
    <row r="47">
      <c r="B47" s="368" t="inlineStr">
        <is>
          <t>(должность, подпись, инициалы, фамилия)</t>
        </is>
      </c>
      <c r="D47" s="297" t="n"/>
      <c r="E47" s="297" t="n"/>
    </row>
    <row r="49">
      <c r="B49" s="297" t="n"/>
      <c r="C49" s="297" t="n"/>
      <c r="D49" s="297" t="n"/>
      <c r="E49" s="297" t="n"/>
    </row>
    <row r="50">
      <c r="B50" s="297" t="n"/>
      <c r="C50" s="297" t="n"/>
      <c r="D50" s="297" t="n"/>
      <c r="E50" s="297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143"/>
  <sheetViews>
    <sheetView view="pageBreakPreview" topLeftCell="A126" workbookViewId="0">
      <selection activeCell="D136" sqref="D136"/>
    </sheetView>
  </sheetViews>
  <sheetFormatPr baseColWidth="8" defaultColWidth="9.140625" defaultRowHeight="15" outlineLevelRow="1"/>
  <cols>
    <col width="5.7109375" customWidth="1" style="307" min="1" max="1"/>
    <col width="22.5703125" customWidth="1" style="307" min="2" max="2"/>
    <col width="39.140625" customWidth="1" style="307" min="3" max="3"/>
    <col width="10.7109375" customWidth="1" style="307" min="4" max="4"/>
    <col width="12.7109375" customWidth="1" style="307" min="5" max="5"/>
    <col width="15" customWidth="1" style="307" min="6" max="6"/>
    <col width="13.42578125" customWidth="1" style="307" min="7" max="7"/>
    <col width="12.7109375" customWidth="1" style="307" min="8" max="8"/>
    <col width="13.85546875" customWidth="1" style="307" min="9" max="9"/>
    <col width="17.5703125" customWidth="1" style="307" min="10" max="10"/>
    <col width="14.5703125" customWidth="1" style="307" min="11" max="11"/>
    <col width="9.140625" customWidth="1" style="307" min="12" max="12"/>
    <col width="9.140625" customWidth="1" style="326" min="13" max="13"/>
    <col width="27.42578125" customWidth="1" style="326" min="14" max="14"/>
    <col width="9.140625" customWidth="1" style="326" min="15" max="15"/>
  </cols>
  <sheetData>
    <row r="1" s="326">
      <c r="A1" s="307" t="n"/>
      <c r="B1" s="307" t="n"/>
      <c r="C1" s="307" t="n"/>
      <c r="D1" s="307" t="n"/>
      <c r="E1" s="307" t="n"/>
      <c r="F1" s="307" t="n"/>
      <c r="G1" s="307" t="n"/>
      <c r="H1" s="307" t="n"/>
      <c r="I1" s="307" t="n"/>
      <c r="J1" s="307" t="n"/>
      <c r="K1" s="307" t="n"/>
      <c r="L1" s="307" t="n"/>
      <c r="M1" s="307" t="n"/>
      <c r="N1" s="307" t="n"/>
    </row>
    <row r="2" ht="15.75" customHeight="1" s="326">
      <c r="A2" s="307" t="n"/>
      <c r="B2" s="307" t="n"/>
      <c r="C2" s="307" t="n"/>
      <c r="D2" s="307" t="n"/>
      <c r="E2" s="307" t="n"/>
      <c r="F2" s="307" t="n"/>
      <c r="G2" s="307" t="n"/>
      <c r="H2" s="369" t="inlineStr">
        <is>
          <t>Приложение №5</t>
        </is>
      </c>
      <c r="K2" s="307" t="n"/>
      <c r="L2" s="307" t="n"/>
      <c r="M2" s="307" t="n"/>
      <c r="N2" s="307" t="n"/>
    </row>
    <row r="3" s="326">
      <c r="A3" s="307" t="n"/>
      <c r="B3" s="307" t="n"/>
      <c r="C3" s="307" t="n"/>
      <c r="D3" s="307" t="n"/>
      <c r="E3" s="307" t="n"/>
      <c r="F3" s="307" t="n"/>
      <c r="G3" s="307" t="n"/>
      <c r="H3" s="307" t="n"/>
      <c r="I3" s="307" t="n"/>
      <c r="J3" s="307" t="n"/>
      <c r="K3" s="307" t="n"/>
      <c r="L3" s="307" t="n"/>
      <c r="M3" s="307" t="n"/>
      <c r="N3" s="307" t="n"/>
    </row>
    <row r="4" ht="12.75" customFormat="1" customHeight="1" s="297">
      <c r="A4" s="342" t="inlineStr">
        <is>
          <t>Расчет стоимости СМР и оборудования</t>
        </is>
      </c>
    </row>
    <row r="5" ht="12.75" customFormat="1" customHeight="1" s="297">
      <c r="A5" s="342" t="n"/>
      <c r="B5" s="342" t="n"/>
      <c r="C5" s="395" t="n"/>
      <c r="D5" s="342" t="n"/>
      <c r="E5" s="342" t="n"/>
      <c r="F5" s="342" t="n"/>
      <c r="G5" s="342" t="n"/>
      <c r="H5" s="342" t="n"/>
      <c r="I5" s="342" t="n"/>
      <c r="J5" s="342" t="n"/>
    </row>
    <row r="6" ht="27.75" customFormat="1" customHeight="1" s="297">
      <c r="A6" s="225" t="inlineStr">
        <is>
          <t>Наименование разрабатываемого показателя УНЦ</t>
        </is>
      </c>
      <c r="B6" s="226" t="n"/>
      <c r="C6" s="226" t="n"/>
      <c r="D6" s="375" t="inlineStr">
        <is>
          <t>Укрепление котлованов и траншей 330-500 кВ (Все регионы за исключением Москвы и Санкт-Петербурга)</t>
        </is>
      </c>
    </row>
    <row r="7" ht="12.75" customFormat="1" customHeight="1" s="297">
      <c r="A7" s="345" t="inlineStr">
        <is>
          <t>Единица измерения  — 1 км.</t>
        </is>
      </c>
      <c r="I7" s="351" t="n"/>
      <c r="J7" s="351" t="n"/>
    </row>
    <row r="8" ht="13.5" customFormat="1" customHeight="1" s="297">
      <c r="A8" s="345" t="n"/>
    </row>
    <row r="9" ht="13.15" customFormat="1" customHeight="1" s="297"/>
    <row r="10" ht="27" customHeight="1" s="326">
      <c r="A10" s="372" t="inlineStr">
        <is>
          <t>№ пп.</t>
        </is>
      </c>
      <c r="B10" s="372" t="inlineStr">
        <is>
          <t>Код ресурса</t>
        </is>
      </c>
      <c r="C10" s="372" t="inlineStr">
        <is>
          <t>Наименование</t>
        </is>
      </c>
      <c r="D10" s="372" t="inlineStr">
        <is>
          <t>Ед. изм.</t>
        </is>
      </c>
      <c r="E10" s="372" t="inlineStr">
        <is>
          <t>Кол-во единиц по проектным данным</t>
        </is>
      </c>
      <c r="F10" s="372" t="inlineStr">
        <is>
          <t>Сметная стоимость в ценах на 01.01.2000 (руб.)</t>
        </is>
      </c>
      <c r="G10" s="447" t="n"/>
      <c r="H10" s="372" t="inlineStr">
        <is>
          <t>Удельный вес, %</t>
        </is>
      </c>
      <c r="I10" s="372" t="inlineStr">
        <is>
          <t>Сметная стоимость в ценах на 01.01.2023 (руб.)</t>
        </is>
      </c>
      <c r="J10" s="447" t="n"/>
      <c r="K10" s="307" t="n"/>
      <c r="L10" s="307" t="n"/>
      <c r="M10" s="307" t="n"/>
      <c r="N10" s="307" t="n"/>
    </row>
    <row r="11" ht="28.5" customHeight="1" s="326">
      <c r="A11" s="449" t="n"/>
      <c r="B11" s="449" t="n"/>
      <c r="C11" s="449" t="n"/>
      <c r="D11" s="449" t="n"/>
      <c r="E11" s="449" t="n"/>
      <c r="F11" s="372" t="inlineStr">
        <is>
          <t>на ед. изм.</t>
        </is>
      </c>
      <c r="G11" s="372" t="inlineStr">
        <is>
          <t>общая</t>
        </is>
      </c>
      <c r="H11" s="449" t="n"/>
      <c r="I11" s="372" t="inlineStr">
        <is>
          <t>на ед. изм.</t>
        </is>
      </c>
      <c r="J11" s="372" t="inlineStr">
        <is>
          <t>общая</t>
        </is>
      </c>
      <c r="K11" s="307" t="n"/>
      <c r="L11" s="307" t="n"/>
      <c r="M11" s="307" t="n"/>
      <c r="N11" s="307" t="n"/>
    </row>
    <row r="12" s="326">
      <c r="A12" s="372" t="n">
        <v>1</v>
      </c>
      <c r="B12" s="372" t="n">
        <v>2</v>
      </c>
      <c r="C12" s="372" t="n">
        <v>3</v>
      </c>
      <c r="D12" s="372" t="n">
        <v>4</v>
      </c>
      <c r="E12" s="372" t="n">
        <v>5</v>
      </c>
      <c r="F12" s="372" t="n">
        <v>6</v>
      </c>
      <c r="G12" s="372" t="n">
        <v>7</v>
      </c>
      <c r="H12" s="372" t="n">
        <v>8</v>
      </c>
      <c r="I12" s="373" t="n">
        <v>9</v>
      </c>
      <c r="J12" s="373" t="n">
        <v>10</v>
      </c>
      <c r="K12" s="307" t="n"/>
      <c r="L12" s="307" t="n"/>
      <c r="M12" s="307" t="n"/>
      <c r="N12" s="307" t="n"/>
    </row>
    <row r="13">
      <c r="A13" s="372" t="n"/>
      <c r="B13" s="359" t="inlineStr">
        <is>
          <t>Затраты труда рабочих-строителей</t>
        </is>
      </c>
      <c r="C13" s="446" t="n"/>
      <c r="D13" s="446" t="n"/>
      <c r="E13" s="446" t="n"/>
      <c r="F13" s="446" t="n"/>
      <c r="G13" s="446" t="n"/>
      <c r="H13" s="447" t="n"/>
      <c r="I13" s="240" t="n"/>
      <c r="J13" s="240" t="n"/>
    </row>
    <row r="14" ht="25.5" customHeight="1" s="326">
      <c r="A14" s="372" t="n">
        <v>1</v>
      </c>
      <c r="B14" s="234" t="inlineStr">
        <is>
          <t>1-3-1</t>
        </is>
      </c>
      <c r="C14" s="380" t="inlineStr">
        <is>
          <t>Затраты труда рабочих-строителей среднего разряда (3,1)</t>
        </is>
      </c>
      <c r="D14" s="372" t="inlineStr">
        <is>
          <t>чел.-ч.</t>
        </is>
      </c>
      <c r="E14" s="458">
        <f>G14/F14</f>
        <v/>
      </c>
      <c r="F14" s="274" t="n">
        <v>8.640000000000001</v>
      </c>
      <c r="G14" s="274">
        <f>'Прил. 3'!H11</f>
        <v/>
      </c>
      <c r="H14" s="238">
        <f>G14/G15</f>
        <v/>
      </c>
      <c r="I14" s="274">
        <f>ФОТр.тек.!E13</f>
        <v/>
      </c>
      <c r="J14" s="274">
        <f>ROUND(I14*E14,2)</f>
        <v/>
      </c>
      <c r="K14" s="459" t="n"/>
    </row>
    <row r="15" ht="25.5" customFormat="1" customHeight="1" s="307">
      <c r="A15" s="372" t="n"/>
      <c r="B15" s="372" t="n"/>
      <c r="C15" s="359" t="inlineStr">
        <is>
          <t>Итого по разделу "Затраты труда рабочих-строителей"</t>
        </is>
      </c>
      <c r="D15" s="372" t="inlineStr">
        <is>
          <t>чел.-ч.</t>
        </is>
      </c>
      <c r="E15" s="458">
        <f>SUM(E14)</f>
        <v/>
      </c>
      <c r="F15" s="274" t="n"/>
      <c r="G15" s="274">
        <f>SUM(G14:G14)</f>
        <v/>
      </c>
      <c r="H15" s="383" t="n">
        <v>1</v>
      </c>
      <c r="I15" s="240" t="n"/>
      <c r="J15" s="274">
        <f>SUM(J14:J14)</f>
        <v/>
      </c>
    </row>
    <row r="16" ht="14.25" customFormat="1" customHeight="1" s="307">
      <c r="A16" s="372" t="n"/>
      <c r="B16" s="380" t="inlineStr">
        <is>
          <t>Затраты труда машинистов</t>
        </is>
      </c>
      <c r="C16" s="446" t="n"/>
      <c r="D16" s="446" t="n"/>
      <c r="E16" s="446" t="n"/>
      <c r="F16" s="446" t="n"/>
      <c r="G16" s="446" t="n"/>
      <c r="H16" s="447" t="n"/>
      <c r="I16" s="240" t="n"/>
      <c r="J16" s="240" t="n"/>
    </row>
    <row r="17" ht="14.25" customFormat="1" customHeight="1" s="307">
      <c r="A17" s="372" t="n">
        <v>2</v>
      </c>
      <c r="B17" s="372" t="n">
        <v>2</v>
      </c>
      <c r="C17" s="380" t="inlineStr">
        <is>
          <t>Затраты труда машинистов</t>
        </is>
      </c>
      <c r="D17" s="372" t="inlineStr">
        <is>
          <t>чел.-ч.</t>
        </is>
      </c>
      <c r="E17" s="458" t="n">
        <v>1211.35</v>
      </c>
      <c r="F17" s="274">
        <f>G17/E17</f>
        <v/>
      </c>
      <c r="G17" s="274">
        <f>'Прил. 3'!H24</f>
        <v/>
      </c>
      <c r="H17" s="383" t="n">
        <v>1</v>
      </c>
      <c r="I17" s="274">
        <f>ROUND(F17*'Прил. 10'!D11,2)</f>
        <v/>
      </c>
      <c r="J17" s="274">
        <f>ROUND(I17*E17,2)</f>
        <v/>
      </c>
      <c r="K17" s="459" t="n"/>
    </row>
    <row r="18" ht="14.25" customFormat="1" customHeight="1" s="307">
      <c r="A18" s="372" t="n"/>
      <c r="B18" s="359" t="inlineStr">
        <is>
          <t>Машины и механизмы</t>
        </is>
      </c>
      <c r="C18" s="446" t="n"/>
      <c r="D18" s="446" t="n"/>
      <c r="E18" s="446" t="n"/>
      <c r="F18" s="446" t="n"/>
      <c r="G18" s="446" t="n"/>
      <c r="H18" s="447" t="n"/>
      <c r="I18" s="240" t="n"/>
      <c r="J18" s="240" t="n"/>
    </row>
    <row r="19" ht="14.25" customFormat="1" customHeight="1" s="307">
      <c r="A19" s="372" t="n"/>
      <c r="B19" s="380" t="inlineStr">
        <is>
          <t>Основные машины и механизмы</t>
        </is>
      </c>
      <c r="C19" s="446" t="n"/>
      <c r="D19" s="446" t="n"/>
      <c r="E19" s="446" t="n"/>
      <c r="F19" s="446" t="n"/>
      <c r="G19" s="446" t="n"/>
      <c r="H19" s="447" t="n"/>
      <c r="I19" s="240" t="n"/>
      <c r="J19" s="240" t="n"/>
    </row>
    <row r="20" ht="25.5" customFormat="1" customHeight="1" s="307">
      <c r="A20" s="372" t="n">
        <v>3</v>
      </c>
      <c r="B20" s="234" t="inlineStr">
        <is>
          <t>91.05.05-014</t>
        </is>
      </c>
      <c r="C20" s="380" t="inlineStr">
        <is>
          <t>Краны на автомобильном ходу, грузоподъемность 10 т</t>
        </is>
      </c>
      <c r="D20" s="372" t="inlineStr">
        <is>
          <t>маш.час</t>
        </is>
      </c>
      <c r="E20" s="458" t="n">
        <v>365.22</v>
      </c>
      <c r="F20" s="382" t="n">
        <v>111.99</v>
      </c>
      <c r="G20" s="274">
        <f>ROUND(E20*F20,2)</f>
        <v/>
      </c>
      <c r="H20" s="238">
        <f>G20/$G$53</f>
        <v/>
      </c>
      <c r="I20" s="274">
        <f>ROUND(F20*'Прил. 10'!$D$12,2)</f>
        <v/>
      </c>
      <c r="J20" s="274">
        <f>ROUND(I20*E20,2)</f>
        <v/>
      </c>
    </row>
    <row r="21" ht="25.5" customFormat="1" customHeight="1" s="307">
      <c r="A21" s="372" t="n">
        <v>4</v>
      </c>
      <c r="B21" s="234" t="inlineStr">
        <is>
          <t>91.14.02-001</t>
        </is>
      </c>
      <c r="C21" s="380" t="inlineStr">
        <is>
          <t>Автомобили бортовые, грузоподъемность: до 5 т</t>
        </is>
      </c>
      <c r="D21" s="372" t="inlineStr">
        <is>
          <t>маш.час</t>
        </is>
      </c>
      <c r="E21" s="458" t="n">
        <v>519.15</v>
      </c>
      <c r="F21" s="382" t="n">
        <v>65.70999999999999</v>
      </c>
      <c r="G21" s="274">
        <f>ROUND(E21*F21,2)</f>
        <v/>
      </c>
      <c r="H21" s="238">
        <f>G21/$G$53</f>
        <v/>
      </c>
      <c r="I21" s="274">
        <f>ROUND(F21*'Прил. 10'!$D$12,2)</f>
        <v/>
      </c>
      <c r="J21" s="274">
        <f>ROUND(I21*E21,2)</f>
        <v/>
      </c>
    </row>
    <row r="22" ht="51" customFormat="1" customHeight="1" s="307">
      <c r="A22" s="372" t="n">
        <v>5</v>
      </c>
      <c r="B22" s="234" t="inlineStr">
        <is>
          <t>91.04.01-078</t>
        </is>
      </c>
      <c r="C22" s="380" t="inlineStr">
        <is>
          <t>Установки и агрегаты буровые на базе автомобилей для роторного бурения скважин на воду глубина бурения: до 500 м, грузоподъемность 12,5 т</t>
        </is>
      </c>
      <c r="D22" s="372" t="inlineStr">
        <is>
          <t>маш.час</t>
        </is>
      </c>
      <c r="E22" s="458" t="n">
        <v>42.91</v>
      </c>
      <c r="F22" s="382" t="n">
        <v>340</v>
      </c>
      <c r="G22" s="274">
        <f>ROUND(E22*F22,2)</f>
        <v/>
      </c>
      <c r="H22" s="238">
        <f>G22/$G$53</f>
        <v/>
      </c>
      <c r="I22" s="274">
        <f>ROUND(F22*'Прил. 10'!$D$12,2)</f>
        <v/>
      </c>
      <c r="J22" s="274">
        <f>ROUND(I22*E22,2)</f>
        <v/>
      </c>
    </row>
    <row r="23" ht="25.5" customFormat="1" customHeight="1" s="307">
      <c r="A23" s="372" t="n">
        <v>6</v>
      </c>
      <c r="B23" s="234" t="inlineStr">
        <is>
          <t>91.10.05-005</t>
        </is>
      </c>
      <c r="C23" s="380" t="inlineStr">
        <is>
          <t>Трубоукладчики для труб диаметром: до 700 мм, грузоподъемность 12,5 т</t>
        </is>
      </c>
      <c r="D23" s="372" t="inlineStr">
        <is>
          <t>маш.час</t>
        </is>
      </c>
      <c r="E23" s="458" t="n">
        <v>71.94</v>
      </c>
      <c r="F23" s="382" t="n">
        <v>152.5</v>
      </c>
      <c r="G23" s="274">
        <f>ROUND(E23*F23,2)</f>
        <v/>
      </c>
      <c r="H23" s="238">
        <f>G23/$G$53</f>
        <v/>
      </c>
      <c r="I23" s="274">
        <f>ROUND(F23*'Прил. 10'!$D$12,2)</f>
        <v/>
      </c>
      <c r="J23" s="274">
        <f>ROUND(I23*E23,2)</f>
        <v/>
      </c>
    </row>
    <row r="24" ht="51" customFormat="1" customHeight="1" s="307">
      <c r="A24" s="372" t="n">
        <v>7</v>
      </c>
      <c r="B24" s="234" t="inlineStr">
        <is>
          <t>91.04.01-021</t>
        </is>
      </c>
      <c r="C24" s="380" t="inlineStr">
        <is>
          <t>Комплекты оборудования шнекового бурения на базе автомобиля глубина бурения до 50 м, грузоподъемность мачты 3,7 т</t>
        </is>
      </c>
      <c r="D24" s="372" t="inlineStr">
        <is>
          <t>маш.час</t>
        </is>
      </c>
      <c r="E24" s="458" t="n">
        <v>102.07</v>
      </c>
      <c r="F24" s="382" t="n">
        <v>87.59999999999999</v>
      </c>
      <c r="G24" s="274">
        <f>ROUND(E24*F24,2)</f>
        <v/>
      </c>
      <c r="H24" s="238">
        <f>G24/$G$53</f>
        <v/>
      </c>
      <c r="I24" s="274">
        <f>ROUND(F24*'Прил. 10'!$D$12,2)</f>
        <v/>
      </c>
      <c r="J24" s="274">
        <f>ROUND(I24*E24,2)</f>
        <v/>
      </c>
    </row>
    <row r="25" ht="14.25" customFormat="1" customHeight="1" s="307">
      <c r="A25" s="372" t="n"/>
      <c r="B25" s="372" t="n"/>
      <c r="C25" s="380" t="inlineStr">
        <is>
          <t>Итого основные машины и механизмы</t>
        </is>
      </c>
      <c r="D25" s="372" t="n"/>
      <c r="E25" s="458" t="n"/>
      <c r="F25" s="274" t="n"/>
      <c r="G25" s="274">
        <f>SUM(G20:G24)</f>
        <v/>
      </c>
      <c r="H25" s="383">
        <f>G25/G53</f>
        <v/>
      </c>
      <c r="I25" s="273" t="n"/>
      <c r="J25" s="274">
        <f>SUM(J20:J24)</f>
        <v/>
      </c>
    </row>
    <row r="26" hidden="1" outlineLevel="1" ht="14.25" customFormat="1" customHeight="1" s="307">
      <c r="A26" s="372" t="n">
        <v>8</v>
      </c>
      <c r="B26" s="234" t="inlineStr">
        <is>
          <t>91.08.11-011</t>
        </is>
      </c>
      <c r="C26" s="380" t="inlineStr">
        <is>
          <t>Заливщик швов на базе автомобиля</t>
        </is>
      </c>
      <c r="D26" s="372" t="inlineStr">
        <is>
          <t>маш.час</t>
        </is>
      </c>
      <c r="E26" s="458" t="n">
        <v>44.34</v>
      </c>
      <c r="F26" s="382" t="n">
        <v>175.25</v>
      </c>
      <c r="G26" s="274">
        <f>ROUND(E26*F26,2)</f>
        <v/>
      </c>
      <c r="H26" s="238">
        <f>G26/$G$53</f>
        <v/>
      </c>
      <c r="I26" s="274">
        <f>ROUND(F26*'Прил. 10'!$D$12,2)</f>
        <v/>
      </c>
      <c r="J26" s="274">
        <f>ROUND(I26*E26,2)</f>
        <v/>
      </c>
    </row>
    <row r="27" hidden="1" outlineLevel="1" ht="25.5" customFormat="1" customHeight="1" s="307">
      <c r="A27" s="372" t="n">
        <v>9</v>
      </c>
      <c r="B27" s="234" t="inlineStr">
        <is>
          <t>91.08.03-030</t>
        </is>
      </c>
      <c r="C27" s="380" t="inlineStr">
        <is>
          <t>Катки на пневмоколесном ходу, масса 30 т</t>
        </is>
      </c>
      <c r="D27" s="372" t="inlineStr">
        <is>
          <t>маш.час</t>
        </is>
      </c>
      <c r="E27" s="458" t="n">
        <v>11.16</v>
      </c>
      <c r="F27" s="382" t="n">
        <v>364.07</v>
      </c>
      <c r="G27" s="274">
        <f>ROUND(E27*F27,2)</f>
        <v/>
      </c>
      <c r="H27" s="238">
        <f>G27/$G$53</f>
        <v/>
      </c>
      <c r="I27" s="274">
        <f>ROUND(F27*'Прил. 10'!$D$12,2)</f>
        <v/>
      </c>
      <c r="J27" s="274">
        <f>ROUND(I27*E27,2)</f>
        <v/>
      </c>
    </row>
    <row r="28" hidden="1" outlineLevel="1" ht="14.25" customFormat="1" customHeight="1" s="307">
      <c r="A28" s="372" t="n">
        <v>10</v>
      </c>
      <c r="B28" s="234" t="inlineStr">
        <is>
          <t>91.05.01-017</t>
        </is>
      </c>
      <c r="C28" s="380" t="inlineStr">
        <is>
          <t>Краны башенные, грузоподъемность 8 т</t>
        </is>
      </c>
      <c r="D28" s="372" t="inlineStr">
        <is>
          <t>маш.час</t>
        </is>
      </c>
      <c r="E28" s="458" t="n">
        <v>22.86</v>
      </c>
      <c r="F28" s="382" t="n">
        <v>86.40000000000001</v>
      </c>
      <c r="G28" s="274">
        <f>ROUND(E28*F28,2)</f>
        <v/>
      </c>
      <c r="H28" s="238">
        <f>G28/$G$53</f>
        <v/>
      </c>
      <c r="I28" s="274">
        <f>ROUND(F28*'Прил. 10'!$D$12,2)</f>
        <v/>
      </c>
      <c r="J28" s="274">
        <f>ROUND(I28*E28,2)</f>
        <v/>
      </c>
    </row>
    <row r="29" hidden="1" outlineLevel="1" ht="14.25" customFormat="1" customHeight="1" s="307">
      <c r="A29" s="372" t="n">
        <v>11</v>
      </c>
      <c r="B29" s="234" t="inlineStr">
        <is>
          <t>91.06.05-011</t>
        </is>
      </c>
      <c r="C29" s="380" t="inlineStr">
        <is>
          <t>Погрузчик, грузоподъемность 5 т</t>
        </is>
      </c>
      <c r="D29" s="372" t="inlineStr">
        <is>
          <t>маш.час</t>
        </is>
      </c>
      <c r="E29" s="458" t="n">
        <v>6.98</v>
      </c>
      <c r="F29" s="382" t="n">
        <v>89.98999999999999</v>
      </c>
      <c r="G29" s="274">
        <f>ROUND(E29*F29,2)</f>
        <v/>
      </c>
      <c r="H29" s="238">
        <f>G29/$G$53</f>
        <v/>
      </c>
      <c r="I29" s="274">
        <f>ROUND(F29*'Прил. 10'!$D$12,2)</f>
        <v/>
      </c>
      <c r="J29" s="274">
        <f>ROUND(I29*E29,2)</f>
        <v/>
      </c>
    </row>
    <row r="30" hidden="1" outlineLevel="1" ht="25.5" customFormat="1" customHeight="1" s="307">
      <c r="A30" s="372" t="n">
        <v>12</v>
      </c>
      <c r="B30" s="234" t="inlineStr">
        <is>
          <t>91.05.06-012</t>
        </is>
      </c>
      <c r="C30" s="380" t="inlineStr">
        <is>
          <t>Краны на гусеничном ходу, грузоподъемность до 16 т</t>
        </is>
      </c>
      <c r="D30" s="372" t="inlineStr">
        <is>
          <t>маш.час</t>
        </is>
      </c>
      <c r="E30" s="458" t="n">
        <v>4.52</v>
      </c>
      <c r="F30" s="382" t="n">
        <v>96.89</v>
      </c>
      <c r="G30" s="274">
        <f>ROUND(E30*F30,2)</f>
        <v/>
      </c>
      <c r="H30" s="238">
        <f>G30/$G$53</f>
        <v/>
      </c>
      <c r="I30" s="274">
        <f>ROUND(F30*'Прил. 10'!$D$12,2)</f>
        <v/>
      </c>
      <c r="J30" s="274">
        <f>ROUND(I30*E30,2)</f>
        <v/>
      </c>
    </row>
    <row r="31" hidden="1" outlineLevel="1" ht="38.25" customFormat="1" customHeight="1" s="307">
      <c r="A31" s="372" t="n">
        <v>13</v>
      </c>
      <c r="B31" s="234" t="inlineStr">
        <is>
          <t>91.17.04-036</t>
        </is>
      </c>
      <c r="C31" s="380" t="inlineStr">
        <is>
          <t>Агрегаты сварочные передвижные номинальным сварочным током 250-400 А: с дизельным двигателем</t>
        </is>
      </c>
      <c r="D31" s="372" t="inlineStr">
        <is>
          <t>маш.час</t>
        </is>
      </c>
      <c r="E31" s="458" t="n">
        <v>28.67</v>
      </c>
      <c r="F31" s="382" t="n">
        <v>14</v>
      </c>
      <c r="G31" s="274">
        <f>ROUND(E31*F31,2)</f>
        <v/>
      </c>
      <c r="H31" s="238">
        <f>G31/$G$53</f>
        <v/>
      </c>
      <c r="I31" s="274">
        <f>ROUND(F31*'Прил. 10'!$D$12,2)</f>
        <v/>
      </c>
      <c r="J31" s="274">
        <f>ROUND(I31*E31,2)</f>
        <v/>
      </c>
    </row>
    <row r="32" hidden="1" outlineLevel="1" ht="25.5" customFormat="1" customHeight="1" s="307">
      <c r="A32" s="372" t="n">
        <v>14</v>
      </c>
      <c r="B32" s="234" t="inlineStr">
        <is>
          <t>91.05.06-007</t>
        </is>
      </c>
      <c r="C32" s="380" t="inlineStr">
        <is>
          <t>Краны на гусеничном ходу, грузоподъемность 25 т</t>
        </is>
      </c>
      <c r="D32" s="372" t="inlineStr">
        <is>
          <t>маш.час</t>
        </is>
      </c>
      <c r="E32" s="458" t="n">
        <v>3.29</v>
      </c>
      <c r="F32" s="382" t="n">
        <v>120.04</v>
      </c>
      <c r="G32" s="274">
        <f>ROUND(E32*F32,2)</f>
        <v/>
      </c>
      <c r="H32" s="238">
        <f>G32/$G$53</f>
        <v/>
      </c>
      <c r="I32" s="274">
        <f>ROUND(F32*'Прил. 10'!$D$12,2)</f>
        <v/>
      </c>
      <c r="J32" s="274">
        <f>ROUND(I32*E32,2)</f>
        <v/>
      </c>
    </row>
    <row r="33" hidden="1" outlineLevel="1" ht="25.5" customFormat="1" customHeight="1" s="307">
      <c r="A33" s="372" t="n">
        <v>15</v>
      </c>
      <c r="B33" s="234" t="inlineStr">
        <is>
          <t>91.05.04-006</t>
        </is>
      </c>
      <c r="C33" s="380" t="inlineStr">
        <is>
          <t>Краны мостовые электрические, грузоподъемность 10 т</t>
        </is>
      </c>
      <c r="D33" s="372" t="inlineStr">
        <is>
          <t>маш.час</t>
        </is>
      </c>
      <c r="E33" s="458" t="n">
        <v>5.28</v>
      </c>
      <c r="F33" s="382" t="n">
        <v>73.12</v>
      </c>
      <c r="G33" s="274">
        <f>ROUND(E33*F33,2)</f>
        <v/>
      </c>
      <c r="H33" s="238">
        <f>G33/$G$53</f>
        <v/>
      </c>
      <c r="I33" s="274">
        <f>ROUND(F33*'Прил. 10'!$D$12,2)</f>
        <v/>
      </c>
      <c r="J33" s="274">
        <f>ROUND(I33*E33,2)</f>
        <v/>
      </c>
    </row>
    <row r="34" hidden="1" outlineLevel="1" ht="25.5" customFormat="1" customHeight="1" s="307">
      <c r="A34" s="372" t="n">
        <v>16</v>
      </c>
      <c r="B34" s="234" t="inlineStr">
        <is>
          <t>91.17.04-233</t>
        </is>
      </c>
      <c r="C34" s="380" t="inlineStr">
        <is>
          <t>Установки для сварки: ручной дуговой (постоянного тока)</t>
        </is>
      </c>
      <c r="D34" s="372" t="inlineStr">
        <is>
          <t>маш.час</t>
        </is>
      </c>
      <c r="E34" s="458" t="n">
        <v>42.94</v>
      </c>
      <c r="F34" s="382" t="n">
        <v>8.1</v>
      </c>
      <c r="G34" s="274">
        <f>ROUND(E34*F34,2)</f>
        <v/>
      </c>
      <c r="H34" s="238">
        <f>G34/$G$53</f>
        <v/>
      </c>
      <c r="I34" s="274">
        <f>ROUND(F34*'Прил. 10'!$D$12,2)</f>
        <v/>
      </c>
      <c r="J34" s="274">
        <f>ROUND(I34*E34,2)</f>
        <v/>
      </c>
    </row>
    <row r="35" hidden="1" outlineLevel="1" ht="25.5" customFormat="1" customHeight="1" s="307">
      <c r="A35" s="372" t="n">
        <v>17</v>
      </c>
      <c r="B35" s="234" t="inlineStr">
        <is>
          <t>91.01.02-004</t>
        </is>
      </c>
      <c r="C35" s="380" t="inlineStr">
        <is>
          <t>Автогрейдеры: среднего типа, мощность 99 кВт (135 л.с.)</t>
        </is>
      </c>
      <c r="D35" s="372" t="inlineStr">
        <is>
          <t>маш.час</t>
        </is>
      </c>
      <c r="E35" s="458" t="n">
        <v>2.79</v>
      </c>
      <c r="F35" s="382" t="n">
        <v>123</v>
      </c>
      <c r="G35" s="274">
        <f>ROUND(E35*F35,2)</f>
        <v/>
      </c>
      <c r="H35" s="238">
        <f>G35/$G$53</f>
        <v/>
      </c>
      <c r="I35" s="274">
        <f>ROUND(F35*'Прил. 10'!$D$12,2)</f>
        <v/>
      </c>
      <c r="J35" s="274">
        <f>ROUND(I35*E35,2)</f>
        <v/>
      </c>
    </row>
    <row r="36" hidden="1" outlineLevel="1" ht="25.5" customFormat="1" customHeight="1" s="307">
      <c r="A36" s="372" t="n">
        <v>18</v>
      </c>
      <c r="B36" s="234" t="inlineStr">
        <is>
          <t>91.05.05-015</t>
        </is>
      </c>
      <c r="C36" s="380" t="inlineStr">
        <is>
          <t>Краны на автомобильном ходу, грузоподъемность 16 т</t>
        </is>
      </c>
      <c r="D36" s="372" t="inlineStr">
        <is>
          <t>маш.час</t>
        </is>
      </c>
      <c r="E36" s="458" t="n">
        <v>2.48</v>
      </c>
      <c r="F36" s="382" t="n">
        <v>115.4</v>
      </c>
      <c r="G36" s="274">
        <f>ROUND(E36*F36,2)</f>
        <v/>
      </c>
      <c r="H36" s="238">
        <f>G36/$G$53</f>
        <v/>
      </c>
      <c r="I36" s="274">
        <f>ROUND(F36*'Прил. 10'!$D$12,2)</f>
        <v/>
      </c>
      <c r="J36" s="274">
        <f>ROUND(I36*E36,2)</f>
        <v/>
      </c>
    </row>
    <row r="37" hidden="1" outlineLevel="1" ht="25.5" customFormat="1" customHeight="1" s="307">
      <c r="A37" s="372" t="n">
        <v>19</v>
      </c>
      <c r="B37" s="234" t="inlineStr">
        <is>
          <t>91.14.02-003</t>
        </is>
      </c>
      <c r="C37" s="380" t="inlineStr">
        <is>
          <t>Автомобили бортовые, грузоподъемность: до 10 т</t>
        </is>
      </c>
      <c r="D37" s="372" t="inlineStr">
        <is>
          <t>маш.час</t>
        </is>
      </c>
      <c r="E37" s="458" t="n">
        <v>2.65</v>
      </c>
      <c r="F37" s="382" t="n">
        <v>80.44</v>
      </c>
      <c r="G37" s="274">
        <f>ROUND(E37*F37,2)</f>
        <v/>
      </c>
      <c r="H37" s="238">
        <f>G37/$G$53</f>
        <v/>
      </c>
      <c r="I37" s="274">
        <f>ROUND(F37*'Прил. 10'!$D$12,2)</f>
        <v/>
      </c>
      <c r="J37" s="274">
        <f>ROUND(I37*E37,2)</f>
        <v/>
      </c>
    </row>
    <row r="38" hidden="1" outlineLevel="1" ht="14.25" customFormat="1" customHeight="1" s="307">
      <c r="A38" s="372" t="n">
        <v>20</v>
      </c>
      <c r="B38" s="234" t="inlineStr">
        <is>
          <t>91.08.04-021</t>
        </is>
      </c>
      <c r="C38" s="380" t="inlineStr">
        <is>
          <t>Котлы битумные: передвижные 400 л</t>
        </is>
      </c>
      <c r="D38" s="372" t="inlineStr">
        <is>
          <t>маш.час</t>
        </is>
      </c>
      <c r="E38" s="458" t="n">
        <v>6.02</v>
      </c>
      <c r="F38" s="382" t="n">
        <v>30</v>
      </c>
      <c r="G38" s="274">
        <f>ROUND(E38*F38,2)</f>
        <v/>
      </c>
      <c r="H38" s="238">
        <f>G38/$G$53</f>
        <v/>
      </c>
      <c r="I38" s="274">
        <f>ROUND(F38*'Прил. 10'!$D$12,2)</f>
        <v/>
      </c>
      <c r="J38" s="274">
        <f>ROUND(I38*E38,2)</f>
        <v/>
      </c>
    </row>
    <row r="39" hidden="1" outlineLevel="1" ht="14.25" customFormat="1" customHeight="1" s="307">
      <c r="A39" s="372" t="n">
        <v>21</v>
      </c>
      <c r="B39" s="234" t="inlineStr">
        <is>
          <t>91.13.01-038</t>
        </is>
      </c>
      <c r="C39" s="380" t="inlineStr">
        <is>
          <t>Машины поливомоечные 6000 л</t>
        </is>
      </c>
      <c r="D39" s="372" t="inlineStr">
        <is>
          <t>маш.час</t>
        </is>
      </c>
      <c r="E39" s="458" t="n">
        <v>1.17</v>
      </c>
      <c r="F39" s="382" t="n">
        <v>110</v>
      </c>
      <c r="G39" s="274">
        <f>ROUND(E39*F39,2)</f>
        <v/>
      </c>
      <c r="H39" s="238">
        <f>G39/$G$53</f>
        <v/>
      </c>
      <c r="I39" s="274">
        <f>ROUND(F39*'Прил. 10'!$D$12,2)</f>
        <v/>
      </c>
      <c r="J39" s="274">
        <f>ROUND(I39*E39,2)</f>
        <v/>
      </c>
    </row>
    <row r="40" hidden="1" outlineLevel="1" ht="14.25" customFormat="1" customHeight="1" s="307">
      <c r="A40" s="372" t="n">
        <v>22</v>
      </c>
      <c r="B40" s="234" t="inlineStr">
        <is>
          <t>91.14.04-001</t>
        </is>
      </c>
      <c r="C40" s="380" t="inlineStr">
        <is>
          <t>Тягачи седельные, грузоподъемность: 12 т</t>
        </is>
      </c>
      <c r="D40" s="372" t="inlineStr">
        <is>
          <t>маш.час</t>
        </is>
      </c>
      <c r="E40" s="458" t="n">
        <v>0.92</v>
      </c>
      <c r="F40" s="382" t="n">
        <v>102.84</v>
      </c>
      <c r="G40" s="274">
        <f>ROUND(E40*F40,2)</f>
        <v/>
      </c>
      <c r="H40" s="238">
        <f>G40/$G$53</f>
        <v/>
      </c>
      <c r="I40" s="274">
        <f>ROUND(F40*'Прил. 10'!$D$12,2)</f>
        <v/>
      </c>
      <c r="J40" s="274">
        <f>ROUND(I40*E40,2)</f>
        <v/>
      </c>
    </row>
    <row r="41" hidden="1" outlineLevel="1" ht="25.5" customFormat="1" customHeight="1" s="307">
      <c r="A41" s="372" t="n">
        <v>23</v>
      </c>
      <c r="B41" s="234" t="inlineStr">
        <is>
          <t>91.17.04-171</t>
        </is>
      </c>
      <c r="C41" s="380" t="inlineStr">
        <is>
          <t>Преобразователи сварочные номинальным сварочным током 315-500 А</t>
        </is>
      </c>
      <c r="D41" s="372" t="inlineStr">
        <is>
          <t>маш.час</t>
        </is>
      </c>
      <c r="E41" s="458" t="n">
        <v>5.61</v>
      </c>
      <c r="F41" s="382" t="n">
        <v>12.31</v>
      </c>
      <c r="G41" s="274">
        <f>ROUND(E41*F41,2)</f>
        <v/>
      </c>
      <c r="H41" s="238">
        <f>G41/$G$53</f>
        <v/>
      </c>
      <c r="I41" s="274">
        <f>ROUND(F41*'Прил. 10'!$D$12,2)</f>
        <v/>
      </c>
      <c r="J41" s="274">
        <f>ROUND(I41*E41,2)</f>
        <v/>
      </c>
    </row>
    <row r="42" hidden="1" outlineLevel="1" ht="25.5" customFormat="1" customHeight="1" s="307">
      <c r="A42" s="372" t="n">
        <v>24</v>
      </c>
      <c r="B42" s="234" t="inlineStr">
        <is>
          <t>91.14.02-002</t>
        </is>
      </c>
      <c r="C42" s="380" t="inlineStr">
        <is>
          <t>Автомобили бортовые, грузоподъемность: до 8 т</t>
        </is>
      </c>
      <c r="D42" s="372" t="inlineStr">
        <is>
          <t>маш.час</t>
        </is>
      </c>
      <c r="E42" s="458" t="n">
        <v>0.5600000000000001</v>
      </c>
      <c r="F42" s="382" t="n">
        <v>85.84</v>
      </c>
      <c r="G42" s="274">
        <f>ROUND(E42*F42,2)</f>
        <v/>
      </c>
      <c r="H42" s="238">
        <f>G42/$G$53</f>
        <v/>
      </c>
      <c r="I42" s="274">
        <f>ROUND(F42*'Прил. 10'!$D$12,2)</f>
        <v/>
      </c>
      <c r="J42" s="274">
        <f>ROUND(I42*E42,2)</f>
        <v/>
      </c>
    </row>
    <row r="43" hidden="1" outlineLevel="1" ht="25.5" customFormat="1" customHeight="1" s="307">
      <c r="A43" s="372" t="n">
        <v>25</v>
      </c>
      <c r="B43" s="234" t="inlineStr">
        <is>
          <t>91.06.01-003</t>
        </is>
      </c>
      <c r="C43" s="380" t="inlineStr">
        <is>
          <t>Домкраты гидравлические, грузоподъемность 63-100 т</t>
        </is>
      </c>
      <c r="D43" s="372" t="inlineStr">
        <is>
          <t>маш.час</t>
        </is>
      </c>
      <c r="E43" s="458" t="n">
        <v>35.71</v>
      </c>
      <c r="F43" s="382" t="n">
        <v>0.9</v>
      </c>
      <c r="G43" s="274">
        <f>ROUND(E43*F43,2)</f>
        <v/>
      </c>
      <c r="H43" s="238">
        <f>G43/$G$53</f>
        <v/>
      </c>
      <c r="I43" s="274">
        <f>ROUND(F43*'Прил. 10'!$D$12,2)</f>
        <v/>
      </c>
      <c r="J43" s="274">
        <f>ROUND(I43*E43,2)</f>
        <v/>
      </c>
    </row>
    <row r="44" hidden="1" outlineLevel="1" ht="14.25" customFormat="1" customHeight="1" s="307">
      <c r="A44" s="372" t="n">
        <v>26</v>
      </c>
      <c r="B44" s="234" t="inlineStr">
        <is>
          <t>91.07.04-002</t>
        </is>
      </c>
      <c r="C44" s="380" t="inlineStr">
        <is>
          <t>Вибратор поверхностный</t>
        </is>
      </c>
      <c r="D44" s="372" t="inlineStr">
        <is>
          <t>маш.час</t>
        </is>
      </c>
      <c r="E44" s="458" t="n">
        <v>61.07</v>
      </c>
      <c r="F44" s="382" t="n">
        <v>0.5</v>
      </c>
      <c r="G44" s="274">
        <f>ROUND(E44*F44,2)</f>
        <v/>
      </c>
      <c r="H44" s="238">
        <f>G44/$G$53</f>
        <v/>
      </c>
      <c r="I44" s="274">
        <f>ROUND(F44*'Прил. 10'!$D$12,2)</f>
        <v/>
      </c>
      <c r="J44" s="274">
        <f>ROUND(I44*E44,2)</f>
        <v/>
      </c>
    </row>
    <row r="45" hidden="1" outlineLevel="1" ht="14.25" customFormat="1" customHeight="1" s="307">
      <c r="A45" s="372" t="n">
        <v>27</v>
      </c>
      <c r="B45" s="234" t="inlineStr">
        <is>
          <t>91.17.04-042</t>
        </is>
      </c>
      <c r="C45" s="380" t="inlineStr">
        <is>
          <t>Аппарат для газовой сварки и резки</t>
        </is>
      </c>
      <c r="D45" s="372" t="inlineStr">
        <is>
          <t>маш.час</t>
        </is>
      </c>
      <c r="E45" s="458" t="n">
        <v>14.86</v>
      </c>
      <c r="F45" s="382" t="n">
        <v>1.2</v>
      </c>
      <c r="G45" s="274">
        <f>ROUND(E45*F45,2)</f>
        <v/>
      </c>
      <c r="H45" s="238">
        <f>G45/$G$53</f>
        <v/>
      </c>
      <c r="I45" s="274">
        <f>ROUND(F45*'Прил. 10'!$D$12,2)</f>
        <v/>
      </c>
      <c r="J45" s="274">
        <f>ROUND(I45*E45,2)</f>
        <v/>
      </c>
    </row>
    <row r="46" hidden="1" outlineLevel="1" ht="14.25" customFormat="1" customHeight="1" s="307">
      <c r="A46" s="372" t="n">
        <v>28</v>
      </c>
      <c r="B46" s="234" t="inlineStr">
        <is>
          <t>91.21.16-001</t>
        </is>
      </c>
      <c r="C46" s="380" t="inlineStr">
        <is>
          <t>Пресс-ножницы комбинированные</t>
        </is>
      </c>
      <c r="D46" s="372" t="inlineStr">
        <is>
          <t>маш.час</t>
        </is>
      </c>
      <c r="E46" s="458" t="n">
        <v>0.95</v>
      </c>
      <c r="F46" s="382" t="n">
        <v>15.4</v>
      </c>
      <c r="G46" s="274">
        <f>ROUND(E46*F46,2)</f>
        <v/>
      </c>
      <c r="H46" s="238">
        <f>G46/$G$53</f>
        <v/>
      </c>
      <c r="I46" s="274">
        <f>ROUND(F46*'Прил. 10'!$D$12,2)</f>
        <v/>
      </c>
      <c r="J46" s="274">
        <f>ROUND(I46*E46,2)</f>
        <v/>
      </c>
    </row>
    <row r="47" hidden="1" outlineLevel="1" ht="14.25" customFormat="1" customHeight="1" s="307">
      <c r="A47" s="372" t="n">
        <v>29</v>
      </c>
      <c r="B47" s="234" t="inlineStr">
        <is>
          <t>91.05.02-005</t>
        </is>
      </c>
      <c r="C47" s="380" t="inlineStr">
        <is>
          <t>Краны козловые, грузоподъемность 32 т</t>
        </is>
      </c>
      <c r="D47" s="372" t="inlineStr">
        <is>
          <t>маш.час</t>
        </is>
      </c>
      <c r="E47" s="458" t="n">
        <v>0.11</v>
      </c>
      <c r="F47" s="382" t="n">
        <v>120.24</v>
      </c>
      <c r="G47" s="274">
        <f>ROUND(E47*F47,2)</f>
        <v/>
      </c>
      <c r="H47" s="238">
        <f>G47/$G$53</f>
        <v/>
      </c>
      <c r="I47" s="274">
        <f>ROUND(F47*'Прил. 10'!$D$12,2)</f>
        <v/>
      </c>
      <c r="J47" s="274">
        <f>ROUND(I47*E47,2)</f>
        <v/>
      </c>
    </row>
    <row r="48" hidden="1" outlineLevel="1" ht="25.5" customFormat="1" customHeight="1" s="307">
      <c r="A48" s="372" t="n">
        <v>30</v>
      </c>
      <c r="B48" s="234" t="inlineStr">
        <is>
          <t>91.14.05-011</t>
        </is>
      </c>
      <c r="C48" s="380" t="inlineStr">
        <is>
          <t>Полуприцепы общего назначения, грузоподъемность: 12 т</t>
        </is>
      </c>
      <c r="D48" s="372" t="inlineStr">
        <is>
          <t>маш.час</t>
        </is>
      </c>
      <c r="E48" s="458" t="n">
        <v>0.92</v>
      </c>
      <c r="F48" s="382" t="n">
        <v>12</v>
      </c>
      <c r="G48" s="274">
        <f>ROUND(E48*F48,2)</f>
        <v/>
      </c>
      <c r="H48" s="238">
        <f>G48/$G$53</f>
        <v/>
      </c>
      <c r="I48" s="274">
        <f>ROUND(F48*'Прил. 10'!$D$12,2)</f>
        <v/>
      </c>
      <c r="J48" s="274">
        <f>ROUND(I48*E48,2)</f>
        <v/>
      </c>
    </row>
    <row r="49" hidden="1" outlineLevel="1" ht="25.5" customFormat="1" customHeight="1" s="307">
      <c r="A49" s="372" t="n">
        <v>31</v>
      </c>
      <c r="B49" s="234" t="inlineStr">
        <is>
          <t>91.06.03-062</t>
        </is>
      </c>
      <c r="C49" s="380" t="inlineStr">
        <is>
          <t>Лебедки электрические тяговым усилием: до 31,39 кН (3,2 т)</t>
        </is>
      </c>
      <c r="D49" s="372" t="inlineStr">
        <is>
          <t>маш.час</t>
        </is>
      </c>
      <c r="E49" s="458" t="n">
        <v>1.08</v>
      </c>
      <c r="F49" s="382" t="n">
        <v>6.9</v>
      </c>
      <c r="G49" s="274">
        <f>ROUND(E49*F49,2)</f>
        <v/>
      </c>
      <c r="H49" s="238">
        <f>G49/$G$53</f>
        <v/>
      </c>
      <c r="I49" s="274">
        <f>ROUND(F49*'Прил. 10'!$D$12,2)</f>
        <v/>
      </c>
      <c r="J49" s="274">
        <f>ROUND(I49*E49,2)</f>
        <v/>
      </c>
    </row>
    <row r="50" hidden="1" outlineLevel="1" ht="14.25" customFormat="1" customHeight="1" s="307">
      <c r="A50" s="372" t="n">
        <v>32</v>
      </c>
      <c r="B50" s="234" t="inlineStr">
        <is>
          <t>91.07.04-001</t>
        </is>
      </c>
      <c r="C50" s="380" t="inlineStr">
        <is>
          <t>Вибратор глубинный</t>
        </is>
      </c>
      <c r="D50" s="372" t="inlineStr">
        <is>
          <t>маш.час</t>
        </is>
      </c>
      <c r="E50" s="458" t="n">
        <v>3.75</v>
      </c>
      <c r="F50" s="382" t="n">
        <v>1.9</v>
      </c>
      <c r="G50" s="274">
        <f>ROUND(E50*F50,2)</f>
        <v/>
      </c>
      <c r="H50" s="238">
        <f>G50/$G$53</f>
        <v/>
      </c>
      <c r="I50" s="274">
        <f>ROUND(F50*'Прил. 10'!$D$12,2)</f>
        <v/>
      </c>
      <c r="J50" s="274">
        <f>ROUND(I50*E50,2)</f>
        <v/>
      </c>
    </row>
    <row r="51" hidden="1" outlineLevel="1" ht="38.25" customFormat="1" customHeight="1" s="307">
      <c r="A51" s="372" t="n">
        <v>33</v>
      </c>
      <c r="B51" s="234" t="inlineStr">
        <is>
          <t>91.21.01-012</t>
        </is>
      </c>
      <c r="C51" s="380" t="inlineStr">
        <is>
          <t>Агрегаты окрасочные высокого давления для окраски поверхностей конструкций, мощность 1 кВт</t>
        </is>
      </c>
      <c r="D51" s="372" t="inlineStr">
        <is>
          <t>маш.час</t>
        </is>
      </c>
      <c r="E51" s="458" t="n">
        <v>0.02</v>
      </c>
      <c r="F51" s="382" t="n">
        <v>6.82</v>
      </c>
      <c r="G51" s="274">
        <f>ROUND(E51*F51,2)</f>
        <v/>
      </c>
      <c r="H51" s="238">
        <f>G51/$G$53</f>
        <v/>
      </c>
      <c r="I51" s="274">
        <f>ROUND(F51*'Прил. 10'!$D$12,2)</f>
        <v/>
      </c>
      <c r="J51" s="274">
        <f>ROUND(I51*E51,2)</f>
        <v/>
      </c>
    </row>
    <row r="52" collapsed="1" ht="14.25" customFormat="1" customHeight="1" s="307">
      <c r="A52" s="372" t="n"/>
      <c r="B52" s="372" t="n"/>
      <c r="C52" s="380" t="inlineStr">
        <is>
          <t>Итого прочие машины и механизмы</t>
        </is>
      </c>
      <c r="D52" s="372" t="n"/>
      <c r="E52" s="381" t="n"/>
      <c r="F52" s="274" t="n"/>
      <c r="G52" s="273">
        <f>SUM(G26:G51)</f>
        <v/>
      </c>
      <c r="H52" s="238">
        <f>G52/G53</f>
        <v/>
      </c>
      <c r="I52" s="274" t="n"/>
      <c r="J52" s="273">
        <f>SUM(J26:J51)</f>
        <v/>
      </c>
    </row>
    <row r="53" ht="25.5" customFormat="1" customHeight="1" s="307">
      <c r="A53" s="372" t="n"/>
      <c r="B53" s="372" t="n"/>
      <c r="C53" s="359" t="inlineStr">
        <is>
          <t>Итого по разделу «Машины и механизмы»</t>
        </is>
      </c>
      <c r="D53" s="372" t="n"/>
      <c r="E53" s="381" t="n"/>
      <c r="F53" s="274" t="n"/>
      <c r="G53" s="274">
        <f>G52+G25</f>
        <v/>
      </c>
      <c r="H53" s="275" t="n">
        <v>1</v>
      </c>
      <c r="I53" s="276" t="n"/>
      <c r="J53" s="277">
        <f>J52+J25</f>
        <v/>
      </c>
      <c r="K53" s="459" t="n"/>
    </row>
    <row r="54" ht="14.25" customFormat="1" customHeight="1" s="307">
      <c r="A54" s="372" t="n"/>
      <c r="B54" s="359" t="inlineStr">
        <is>
          <t>Оборудование</t>
        </is>
      </c>
      <c r="C54" s="446" t="n"/>
      <c r="D54" s="446" t="n"/>
      <c r="E54" s="446" t="n"/>
      <c r="F54" s="446" t="n"/>
      <c r="G54" s="446" t="n"/>
      <c r="H54" s="447" t="n"/>
      <c r="I54" s="240" t="n"/>
      <c r="J54" s="240" t="n"/>
    </row>
    <row r="55">
      <c r="A55" s="372" t="n"/>
      <c r="B55" s="380" t="inlineStr">
        <is>
          <t>Основное оборудование</t>
        </is>
      </c>
      <c r="C55" s="446" t="n"/>
      <c r="D55" s="446" t="n"/>
      <c r="E55" s="446" t="n"/>
      <c r="F55" s="446" t="n"/>
      <c r="G55" s="446" t="n"/>
      <c r="H55" s="447" t="n"/>
      <c r="I55" s="240" t="n"/>
      <c r="J55" s="240" t="n"/>
      <c r="K55" s="307" t="n"/>
      <c r="L55" s="307" t="n"/>
    </row>
    <row r="56">
      <c r="A56" s="372" t="n"/>
      <c r="B56" s="372" t="n"/>
      <c r="C56" s="380" t="inlineStr">
        <is>
          <t>Итого основное оборудование</t>
        </is>
      </c>
      <c r="D56" s="372" t="n"/>
      <c r="E56" s="460" t="n"/>
      <c r="F56" s="382" t="n"/>
      <c r="G56" s="274" t="n">
        <v>0</v>
      </c>
      <c r="H56" s="238" t="n">
        <v>0</v>
      </c>
      <c r="I56" s="273" t="n"/>
      <c r="J56" s="274" t="n">
        <v>0</v>
      </c>
      <c r="K56" s="307" t="n"/>
      <c r="L56" s="307" t="n"/>
    </row>
    <row r="57">
      <c r="A57" s="372" t="n"/>
      <c r="B57" s="372" t="n"/>
      <c r="C57" s="380" t="inlineStr">
        <is>
          <t>Итого прочее оборудование</t>
        </is>
      </c>
      <c r="D57" s="372" t="n"/>
      <c r="E57" s="458" t="n"/>
      <c r="F57" s="382" t="n"/>
      <c r="G57" s="274" t="n">
        <v>0</v>
      </c>
      <c r="H57" s="238" t="n">
        <v>0</v>
      </c>
      <c r="I57" s="273" t="n"/>
      <c r="J57" s="274" t="n">
        <v>0</v>
      </c>
      <c r="K57" s="307" t="n"/>
      <c r="L57" s="307" t="n"/>
    </row>
    <row r="58">
      <c r="A58" s="372" t="n"/>
      <c r="B58" s="372" t="n"/>
      <c r="C58" s="359" t="inlineStr">
        <is>
          <t>Итого по разделу «Оборудование»</t>
        </is>
      </c>
      <c r="D58" s="372" t="n"/>
      <c r="E58" s="381" t="n"/>
      <c r="F58" s="382" t="n"/>
      <c r="G58" s="274">
        <f>G56+G57</f>
        <v/>
      </c>
      <c r="H58" s="238" t="n">
        <v>0</v>
      </c>
      <c r="I58" s="273" t="n"/>
      <c r="J58" s="274">
        <f>J57+J56</f>
        <v/>
      </c>
      <c r="K58" s="307" t="n"/>
      <c r="L58" s="307" t="n"/>
    </row>
    <row r="59" ht="25.5" customHeight="1" s="326">
      <c r="A59" s="372" t="n"/>
      <c r="B59" s="372" t="n"/>
      <c r="C59" s="380" t="inlineStr">
        <is>
          <t>в том числе технологическое оборудование</t>
        </is>
      </c>
      <c r="D59" s="372" t="n"/>
      <c r="E59" s="460" t="n"/>
      <c r="F59" s="382" t="n"/>
      <c r="G59" s="274">
        <f>'Прил.6 Расчет ОБ'!G12</f>
        <v/>
      </c>
      <c r="H59" s="383" t="n"/>
      <c r="I59" s="273" t="n"/>
      <c r="J59" s="274">
        <f>J58</f>
        <v/>
      </c>
      <c r="K59" s="307" t="n"/>
      <c r="L59" s="307" t="n"/>
    </row>
    <row r="60" ht="14.25" customFormat="1" customHeight="1" s="307">
      <c r="A60" s="372" t="n"/>
      <c r="B60" s="359" t="inlineStr">
        <is>
          <t>Материалы</t>
        </is>
      </c>
      <c r="C60" s="446" t="n"/>
      <c r="D60" s="446" t="n"/>
      <c r="E60" s="446" t="n"/>
      <c r="F60" s="446" t="n"/>
      <c r="G60" s="446" t="n"/>
      <c r="H60" s="447" t="n"/>
      <c r="I60" s="240" t="n"/>
      <c r="J60" s="240" t="n"/>
    </row>
    <row r="61" ht="14.25" customFormat="1" customHeight="1" s="307">
      <c r="A61" s="373" t="n"/>
      <c r="B61" s="376" t="inlineStr">
        <is>
          <t>Основные материалы</t>
        </is>
      </c>
      <c r="C61" s="461" t="n"/>
      <c r="D61" s="461" t="n"/>
      <c r="E61" s="461" t="n"/>
      <c r="F61" s="461" t="n"/>
      <c r="G61" s="461" t="n"/>
      <c r="H61" s="462" t="n"/>
      <c r="I61" s="251" t="n"/>
      <c r="J61" s="251" t="n"/>
    </row>
    <row r="62" ht="14.25" customFormat="1" customHeight="1" s="307">
      <c r="A62" s="372" t="n">
        <v>34</v>
      </c>
      <c r="B62" s="372" t="inlineStr">
        <is>
          <t>11.2.13.04-0013</t>
        </is>
      </c>
      <c r="C62" s="380" t="inlineStr">
        <is>
          <t>Щиты: из досок толщиной 50 мм</t>
        </is>
      </c>
      <c r="D62" s="372" t="inlineStr">
        <is>
          <t>м2</t>
        </is>
      </c>
      <c r="E62" s="460" t="n">
        <v>18374</v>
      </c>
      <c r="F62" s="382" t="n">
        <v>57.63</v>
      </c>
      <c r="G62" s="274">
        <f>ROUND(E62*F62,2)</f>
        <v/>
      </c>
      <c r="H62" s="238">
        <f>G62/$G$127</f>
        <v/>
      </c>
      <c r="I62" s="274">
        <f>ROUND(F62*'Прил. 10'!$D$13,2)</f>
        <v/>
      </c>
      <c r="J62" s="274">
        <f>ROUND(I62*E62,2)</f>
        <v/>
      </c>
    </row>
    <row r="63" ht="38.25" customFormat="1" customHeight="1" s="307">
      <c r="A63" s="372" t="n">
        <v>35</v>
      </c>
      <c r="B63" s="372" t="inlineStr">
        <is>
          <t>24.3.05.07-0563</t>
        </is>
      </c>
      <c r="C63" s="380" t="inlineStr">
        <is>
          <t>Муфта термоусаживающаяся полиэтиленовая для стыков, номинальный наружный диаметр 560 мм, длина 700 мм</t>
        </is>
      </c>
      <c r="D63" s="372" t="inlineStr">
        <is>
          <t>шт.</t>
        </is>
      </c>
      <c r="E63" s="460" t="n">
        <v>872</v>
      </c>
      <c r="F63" s="382" t="n">
        <v>709.37</v>
      </c>
      <c r="G63" s="274">
        <f>ROUND(E63*F63,2)</f>
        <v/>
      </c>
      <c r="H63" s="238">
        <f>G63/$G$127</f>
        <v/>
      </c>
      <c r="I63" s="274">
        <f>ROUND(F63*'Прил. 10'!$D$13,2)</f>
        <v/>
      </c>
      <c r="J63" s="274">
        <f>ROUND(I63*E63,2)</f>
        <v/>
      </c>
    </row>
    <row r="64" ht="25.5" customFormat="1" customHeight="1" s="307">
      <c r="A64" s="372" t="n">
        <v>36</v>
      </c>
      <c r="B64" s="372" t="inlineStr">
        <is>
          <t>05.1.08.06-0071</t>
        </is>
      </c>
      <c r="C64" s="380" t="inlineStr">
        <is>
          <t>Плиты железобетонные для покрытий автомобильных дорог</t>
        </is>
      </c>
      <c r="D64" s="372" t="inlineStr">
        <is>
          <t>м3</t>
        </is>
      </c>
      <c r="E64" s="460" t="n">
        <v>264.888</v>
      </c>
      <c r="F64" s="382" t="n">
        <v>964</v>
      </c>
      <c r="G64" s="274">
        <f>ROUND(E64*F64,2)</f>
        <v/>
      </c>
      <c r="H64" s="238">
        <f>G64/$G$127</f>
        <v/>
      </c>
      <c r="I64" s="274">
        <f>ROUND(F64*'Прил. 10'!$D$13,2)</f>
        <v/>
      </c>
      <c r="J64" s="274">
        <f>ROUND(I64*E64,2)</f>
        <v/>
      </c>
    </row>
    <row r="65" ht="25.5" customFormat="1" customHeight="1" s="307">
      <c r="A65" s="372" t="n">
        <v>37</v>
      </c>
      <c r="B65" s="372" t="inlineStr">
        <is>
          <t>20.2.02.07-0011</t>
        </is>
      </c>
      <c r="C65" s="380" t="inlineStr">
        <is>
          <t>Капа кабельная марки 102L055-R05/S, диаметром 65-95 мм</t>
        </is>
      </c>
      <c r="D65" s="372" t="inlineStr">
        <is>
          <t>100 шт.</t>
        </is>
      </c>
      <c r="E65" s="460" t="n">
        <v>8.720000000000001</v>
      </c>
      <c r="F65" s="382" t="n">
        <v>12790</v>
      </c>
      <c r="G65" s="274">
        <f>ROUND(E65*F65,2)</f>
        <v/>
      </c>
      <c r="H65" s="238">
        <f>G65/$G$127</f>
        <v/>
      </c>
      <c r="I65" s="274">
        <f>ROUND(F65*'Прил. 10'!$D$13,2)</f>
        <v/>
      </c>
      <c r="J65" s="274">
        <f>ROUND(I65*E65,2)</f>
        <v/>
      </c>
    </row>
    <row r="66" ht="38.25" customFormat="1" customHeight="1" s="307">
      <c r="A66" s="372" t="n">
        <v>38</v>
      </c>
      <c r="B66" s="372" t="inlineStr">
        <is>
          <t>04.3.02.04-0155</t>
        </is>
      </c>
      <c r="C66" s="380" t="inlineStr">
        <is>
          <t>Смеси бетонные, БСГ, тяжелого бетона на гранитном щебне, фракция 5-20 мм, класс: В30 (М400), П3, F200, W8</t>
        </is>
      </c>
      <c r="D66" s="372" t="inlineStr">
        <is>
          <t>м3</t>
        </is>
      </c>
      <c r="E66" s="460" t="n">
        <v>126.2352</v>
      </c>
      <c r="F66" s="382" t="n">
        <v>787.34</v>
      </c>
      <c r="G66" s="274">
        <f>ROUND(E66*F66,2)</f>
        <v/>
      </c>
      <c r="H66" s="238">
        <f>G66/$G$127</f>
        <v/>
      </c>
      <c r="I66" s="274">
        <f>ROUND(F66*'Прил. 10'!$D$13,2)</f>
        <v/>
      </c>
      <c r="J66" s="274">
        <f>ROUND(I66*E66,2)</f>
        <v/>
      </c>
    </row>
    <row r="67" ht="14.25" customFormat="1" customHeight="1" s="307">
      <c r="A67" s="374" t="n"/>
      <c r="B67" s="164" t="n"/>
      <c r="C67" s="165" t="inlineStr">
        <is>
          <t>Итого основные материалы</t>
        </is>
      </c>
      <c r="D67" s="374" t="n"/>
      <c r="E67" s="463" t="n"/>
      <c r="F67" s="277" t="n"/>
      <c r="G67" s="277">
        <f>SUM(G62:G66)</f>
        <v/>
      </c>
      <c r="H67" s="238">
        <f>G67/$G$127</f>
        <v/>
      </c>
      <c r="I67" s="274" t="n"/>
      <c r="J67" s="277">
        <f>SUM(J62:J66)</f>
        <v/>
      </c>
    </row>
    <row r="68" hidden="1" outlineLevel="1" ht="25.5" customFormat="1" customHeight="1" s="307">
      <c r="A68" s="372" t="n">
        <v>39</v>
      </c>
      <c r="B68" s="372" t="inlineStr">
        <is>
          <t>01.7.14.01-0002</t>
        </is>
      </c>
      <c r="C68" s="380" t="inlineStr">
        <is>
          <t>Пенополиуретан (ППУ) полимер Вилан-405 (баллон 1л)</t>
        </is>
      </c>
      <c r="D68" s="372" t="inlineStr">
        <is>
          <t>шт</t>
        </is>
      </c>
      <c r="E68" s="460" t="n">
        <v>1744</v>
      </c>
      <c r="F68" s="382" t="n">
        <v>45.15</v>
      </c>
      <c r="G68" s="274">
        <f>ROUND(E68*F68,2)</f>
        <v/>
      </c>
      <c r="H68" s="238">
        <f>G68/$G$127</f>
        <v/>
      </c>
      <c r="I68" s="274">
        <f>ROUND(F68*'Прил. 10'!$D$13,2)</f>
        <v/>
      </c>
      <c r="J68" s="274">
        <f>ROUND(I68*E68,2)</f>
        <v/>
      </c>
    </row>
    <row r="69" hidden="1" outlineLevel="1" ht="51" customFormat="1" customHeight="1" s="307">
      <c r="A69" s="372" t="n">
        <v>40</v>
      </c>
      <c r="B69" s="372" t="inlineStr">
        <is>
          <t>07.2.07.12-0021</t>
        </is>
      </c>
      <c r="C69" s="380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0,5 до 1 т</t>
        </is>
      </c>
      <c r="D69" s="372" t="inlineStr">
        <is>
          <t>т</t>
        </is>
      </c>
      <c r="E69" s="460" t="n">
        <v>9.186999999999999</v>
      </c>
      <c r="F69" s="382" t="n">
        <v>7008.5</v>
      </c>
      <c r="G69" s="274">
        <f>ROUND(E69*F69,2)</f>
        <v/>
      </c>
      <c r="H69" s="238">
        <f>G69/$G$127</f>
        <v/>
      </c>
      <c r="I69" s="274">
        <f>ROUND(F69*'Прил. 10'!$D$13,2)</f>
        <v/>
      </c>
      <c r="J69" s="274">
        <f>ROUND(I69*E69,2)</f>
        <v/>
      </c>
    </row>
    <row r="70" hidden="1" outlineLevel="1" ht="38.25" customFormat="1" customHeight="1" s="307">
      <c r="A70" s="372" t="n">
        <v>41</v>
      </c>
      <c r="B70" s="372" t="inlineStr">
        <is>
          <t>11.1.03.06-0087</t>
        </is>
      </c>
      <c r="C70" s="380" t="inlineStr">
        <is>
          <t>Доски обрезные хвойных пород длиной: 4-6,5 м, шириной 75-150 мм, толщиной 25 мм, III сорта</t>
        </is>
      </c>
      <c r="D70" s="372" t="inlineStr">
        <is>
          <t>м3</t>
        </is>
      </c>
      <c r="E70" s="460" t="n">
        <v>53.0137</v>
      </c>
      <c r="F70" s="382" t="n">
        <v>1100</v>
      </c>
      <c r="G70" s="274">
        <f>ROUND(E70*F70,2)</f>
        <v/>
      </c>
      <c r="H70" s="238">
        <f>G70/$G$127</f>
        <v/>
      </c>
      <c r="I70" s="274">
        <f>ROUND(F70*'Прил. 10'!$D$13,2)</f>
        <v/>
      </c>
      <c r="J70" s="274">
        <f>ROUND(I70*E70,2)</f>
        <v/>
      </c>
    </row>
    <row r="71" hidden="1" outlineLevel="1" ht="38.25" customFormat="1" customHeight="1" s="307">
      <c r="A71" s="372" t="n">
        <v>42</v>
      </c>
      <c r="B71" s="372" t="inlineStr">
        <is>
          <t>04.3.02.04-0154</t>
        </is>
      </c>
      <c r="C71" s="380" t="inlineStr">
        <is>
          <t>Смеси бетонные, БСГ, тяжелого бетона на гранитном щебне, фракция 5-20 мм, класс: В25 (М350), П3, F150, W6</t>
        </is>
      </c>
      <c r="D71" s="372" t="inlineStr">
        <is>
          <t>м3</t>
        </is>
      </c>
      <c r="E71" s="460" t="n">
        <v>19.9752</v>
      </c>
      <c r="F71" s="382" t="n">
        <v>745.24</v>
      </c>
      <c r="G71" s="274">
        <f>ROUND(E71*F71,2)</f>
        <v/>
      </c>
      <c r="H71" s="238">
        <f>G71/$G$127</f>
        <v/>
      </c>
      <c r="I71" s="274">
        <f>ROUND(F71*'Прил. 10'!$D$13,2)</f>
        <v/>
      </c>
      <c r="J71" s="274">
        <f>ROUND(I71*E71,2)</f>
        <v/>
      </c>
    </row>
    <row r="72" hidden="1" outlineLevel="1" ht="38.25" customFormat="1" customHeight="1" s="307">
      <c r="A72" s="372" t="n">
        <v>43</v>
      </c>
      <c r="B72" s="372" t="inlineStr">
        <is>
          <t>11.1.02.04-0031</t>
        </is>
      </c>
      <c r="C72" s="380" t="inlineStr">
        <is>
          <t>Лесоматериалы круглые хвойных пород для строительства диаметром 14-24 см, длиной 3-6,5 м</t>
        </is>
      </c>
      <c r="D72" s="372" t="inlineStr">
        <is>
          <t>м3</t>
        </is>
      </c>
      <c r="E72" s="460" t="n">
        <v>23.6758</v>
      </c>
      <c r="F72" s="382" t="n">
        <v>558.33</v>
      </c>
      <c r="G72" s="274">
        <f>ROUND(E72*F72,2)</f>
        <v/>
      </c>
      <c r="H72" s="238">
        <f>G72/$G$127</f>
        <v/>
      </c>
      <c r="I72" s="274">
        <f>ROUND(F72*'Прил. 10'!$D$13,2)</f>
        <v/>
      </c>
      <c r="J72" s="274">
        <f>ROUND(I72*E72,2)</f>
        <v/>
      </c>
    </row>
    <row r="73" hidden="1" outlineLevel="1" ht="38.25" customFormat="1" customHeight="1" s="307">
      <c r="A73" s="372" t="n">
        <v>44</v>
      </c>
      <c r="B73" s="372" t="inlineStr">
        <is>
          <t>24.3.05.02-0125</t>
        </is>
      </c>
      <c r="C73" s="380" t="inlineStr">
        <is>
          <t>Заглушка полиэтиленовая с удлиненным хвостовиком SDR 11, диаметр: 225 мм (ТУ2248-001-18425183-01)</t>
        </is>
      </c>
      <c r="D73" s="372" t="inlineStr">
        <is>
          <t>шт.</t>
        </is>
      </c>
      <c r="E73" s="460" t="n">
        <v>24</v>
      </c>
      <c r="F73" s="382" t="n">
        <v>427.5</v>
      </c>
      <c r="G73" s="274">
        <f>ROUND(E73*F73,2)</f>
        <v/>
      </c>
      <c r="H73" s="238">
        <f>G73/$G$127</f>
        <v/>
      </c>
      <c r="I73" s="274">
        <f>ROUND(F73*'Прил. 10'!$D$13,2)</f>
        <v/>
      </c>
      <c r="J73" s="274">
        <f>ROUND(I73*E73,2)</f>
        <v/>
      </c>
    </row>
    <row r="74" hidden="1" outlineLevel="1" ht="25.5" customFormat="1" customHeight="1" s="307">
      <c r="A74" s="372" t="n">
        <v>45</v>
      </c>
      <c r="B74" s="372" t="inlineStr">
        <is>
          <t>02.3.01.02-0003</t>
        </is>
      </c>
      <c r="C74" s="380" t="inlineStr">
        <is>
          <t>Песок для строительных работ природный 50%; обогащенный 50%</t>
        </is>
      </c>
      <c r="D74" s="372" t="inlineStr">
        <is>
          <t>м3</t>
        </is>
      </c>
      <c r="E74" s="460" t="n">
        <v>173.448</v>
      </c>
      <c r="F74" s="382" t="n">
        <v>54.95</v>
      </c>
      <c r="G74" s="274">
        <f>ROUND(E74*F74,2)</f>
        <v/>
      </c>
      <c r="H74" s="238">
        <f>G74/$G$127</f>
        <v/>
      </c>
      <c r="I74" s="274">
        <f>ROUND(F74*'Прил. 10'!$D$13,2)</f>
        <v/>
      </c>
      <c r="J74" s="274">
        <f>ROUND(I74*E74,2)</f>
        <v/>
      </c>
    </row>
    <row r="75" hidden="1" outlineLevel="1" ht="63.75" customFormat="1" customHeight="1" s="307">
      <c r="A75" s="372" t="n">
        <v>46</v>
      </c>
      <c r="B75" s="372" t="inlineStr">
        <is>
          <t>07.2.07.12-0011</t>
        </is>
      </c>
      <c r="C75" s="380" t="inlineStr">
        <is>
          <t>Отдельные конструктивные элементы зданий и сооружений с преобладанием: гнутосварных профилей и круглых труб, средняя масса сборочной единицы до 0,1 т</t>
        </is>
      </c>
      <c r="D75" s="372" t="inlineStr">
        <is>
          <t>т</t>
        </is>
      </c>
      <c r="E75" s="460" t="n">
        <v>0.828788</v>
      </c>
      <c r="F75" s="382" t="n">
        <v>11255</v>
      </c>
      <c r="G75" s="274">
        <f>ROUND(E75*F75,2)</f>
        <v/>
      </c>
      <c r="H75" s="238">
        <f>G75/$G$127</f>
        <v/>
      </c>
      <c r="I75" s="274">
        <f>ROUND(F75*'Прил. 10'!$D$13,2)</f>
        <v/>
      </c>
      <c r="J75" s="274">
        <f>ROUND(I75*E75,2)</f>
        <v/>
      </c>
    </row>
    <row r="76" hidden="1" outlineLevel="1" ht="38.25" customFormat="1" customHeight="1" s="307">
      <c r="A76" s="372" t="n">
        <v>47</v>
      </c>
      <c r="B76" s="372" t="inlineStr">
        <is>
          <t>11.1.03.06-0095</t>
        </is>
      </c>
      <c r="C76" s="380" t="inlineStr">
        <is>
          <t>Доски обрезные хвойных пород длиной: 4-6,5 м, шириной 75-150 мм, толщиной 44 мм и более, III сорта</t>
        </is>
      </c>
      <c r="D76" s="372" t="inlineStr">
        <is>
          <t>м3</t>
        </is>
      </c>
      <c r="E76" s="460" t="n">
        <v>8.0251</v>
      </c>
      <c r="F76" s="382" t="n">
        <v>1056</v>
      </c>
      <c r="G76" s="274">
        <f>ROUND(E76*F76,2)</f>
        <v/>
      </c>
      <c r="H76" s="238">
        <f>G76/$G$127</f>
        <v/>
      </c>
      <c r="I76" s="274">
        <f>ROUND(F76*'Прил. 10'!$D$13,2)</f>
        <v/>
      </c>
      <c r="J76" s="274">
        <f>ROUND(I76*E76,2)</f>
        <v/>
      </c>
    </row>
    <row r="77" hidden="1" outlineLevel="1" ht="25.5" customFormat="1" customHeight="1" s="307">
      <c r="A77" s="372" t="n">
        <v>48</v>
      </c>
      <c r="B77" s="372" t="inlineStr">
        <is>
          <t>08.3.03.06-0002</t>
        </is>
      </c>
      <c r="C77" s="380" t="inlineStr">
        <is>
          <t>Проволока горячекатаная в мотках, диаметром 6,3-6,5 мм</t>
        </is>
      </c>
      <c r="D77" s="372" t="inlineStr">
        <is>
          <t>т</t>
        </is>
      </c>
      <c r="E77" s="460" t="n">
        <v>1.7079</v>
      </c>
      <c r="F77" s="382" t="n">
        <v>4455.2</v>
      </c>
      <c r="G77" s="274">
        <f>ROUND(E77*F77,2)</f>
        <v/>
      </c>
      <c r="H77" s="238">
        <f>G77/$G$127</f>
        <v/>
      </c>
      <c r="I77" s="274">
        <f>ROUND(F77*'Прил. 10'!$D$13,2)</f>
        <v/>
      </c>
      <c r="J77" s="274">
        <f>ROUND(I77*E77,2)</f>
        <v/>
      </c>
    </row>
    <row r="78" hidden="1" outlineLevel="1" ht="25.5" customFormat="1" customHeight="1" s="307">
      <c r="A78" s="372" t="n">
        <v>49</v>
      </c>
      <c r="B78" s="372" t="inlineStr">
        <is>
          <t>08.3.08.02-0052</t>
        </is>
      </c>
      <c r="C78" s="380" t="inlineStr">
        <is>
          <t>Сталь угловая равнополочная, марка стали: ВСт3кп2, размером 50x50x5 мм</t>
        </is>
      </c>
      <c r="D78" s="372" t="inlineStr">
        <is>
          <t>т</t>
        </is>
      </c>
      <c r="E78" s="460" t="n">
        <v>0.8857</v>
      </c>
      <c r="F78" s="382" t="n">
        <v>5763</v>
      </c>
      <c r="G78" s="274">
        <f>ROUND(E78*F78,2)</f>
        <v/>
      </c>
      <c r="H78" s="238">
        <f>G78/$G$127</f>
        <v/>
      </c>
      <c r="I78" s="274">
        <f>ROUND(F78*'Прил. 10'!$D$13,2)</f>
        <v/>
      </c>
      <c r="J78" s="274">
        <f>ROUND(I78*E78,2)</f>
        <v/>
      </c>
    </row>
    <row r="79" hidden="1" outlineLevel="1" ht="63.75" customFormat="1" customHeight="1" s="307">
      <c r="A79" s="372" t="n">
        <v>50</v>
      </c>
      <c r="B79" s="372" t="inlineStr">
        <is>
          <t>23.3.03.02-0159</t>
        </is>
      </c>
      <c r="C79" s="380" t="inlineStr">
        <is>
          <t>Трубы стальные бесшовные, горячедеформированные со снятой фаской из стали марок 15, 20, 25, наружным диаметром: 219 мм, толщина стенки 8 мм</t>
        </is>
      </c>
      <c r="D79" s="372" t="inlineStr">
        <is>
          <t>м</t>
        </is>
      </c>
      <c r="E79" s="460" t="n">
        <v>13.2192</v>
      </c>
      <c r="F79" s="382" t="n">
        <v>355.02</v>
      </c>
      <c r="G79" s="274">
        <f>ROUND(E79*F79,2)</f>
        <v/>
      </c>
      <c r="H79" s="238">
        <f>G79/$G$127</f>
        <v/>
      </c>
      <c r="I79" s="274">
        <f>ROUND(F79*'Прил. 10'!$D$13,2)</f>
        <v/>
      </c>
      <c r="J79" s="274">
        <f>ROUND(I79*E79,2)</f>
        <v/>
      </c>
    </row>
    <row r="80" hidden="1" outlineLevel="1" ht="38.25" customFormat="1" customHeight="1" s="307">
      <c r="A80" s="372" t="n">
        <v>51</v>
      </c>
      <c r="B80" s="372" t="inlineStr">
        <is>
          <t>08.4.02.05-0001</t>
        </is>
      </c>
      <c r="C80" s="380" t="inlineStr">
        <is>
          <t>Сетка сварная с ячейкой 10 из арматурной стали: А-I и А-II преобладающим диаметром до 14 мм</t>
        </is>
      </c>
      <c r="D80" s="372" t="inlineStr">
        <is>
          <t>т</t>
        </is>
      </c>
      <c r="E80" s="460" t="n">
        <v>0.7776</v>
      </c>
      <c r="F80" s="382" t="n">
        <v>5830</v>
      </c>
      <c r="G80" s="274">
        <f>ROUND(E80*F80,2)</f>
        <v/>
      </c>
      <c r="H80" s="238">
        <f>G80/$G$127</f>
        <v/>
      </c>
      <c r="I80" s="274">
        <f>ROUND(F80*'Прил. 10'!$D$13,2)</f>
        <v/>
      </c>
      <c r="J80" s="274">
        <f>ROUND(I80*E80,2)</f>
        <v/>
      </c>
    </row>
    <row r="81" hidden="1" outlineLevel="1" ht="14.25" customFormat="1" customHeight="1" s="307">
      <c r="A81" s="372" t="n">
        <v>52</v>
      </c>
      <c r="B81" s="372" t="inlineStr">
        <is>
          <t>01.7.15.06-0111</t>
        </is>
      </c>
      <c r="C81" s="380" t="inlineStr">
        <is>
          <t>Гвозди строительные</t>
        </is>
      </c>
      <c r="D81" s="372" t="inlineStr">
        <is>
          <t>т</t>
        </is>
      </c>
      <c r="E81" s="460" t="n">
        <v>0.3114</v>
      </c>
      <c r="F81" s="382" t="n">
        <v>11978</v>
      </c>
      <c r="G81" s="274">
        <f>ROUND(E81*F81,2)</f>
        <v/>
      </c>
      <c r="H81" s="238">
        <f>G81/$G$127</f>
        <v/>
      </c>
      <c r="I81" s="274">
        <f>ROUND(F81*'Прил. 10'!$D$13,2)</f>
        <v/>
      </c>
      <c r="J81" s="274">
        <f>ROUND(I81*E81,2)</f>
        <v/>
      </c>
    </row>
    <row r="82" hidden="1" outlineLevel="1" ht="25.5" customFormat="1" customHeight="1" s="307">
      <c r="A82" s="372" t="n">
        <v>53</v>
      </c>
      <c r="B82" s="372" t="inlineStr">
        <is>
          <t>11.1.03.01-0075</t>
        </is>
      </c>
      <c r="C82" s="380" t="inlineStr">
        <is>
          <t>Бруски обрезные хвойных пород длиной: 2-6,5 м, толщиной 40-60 мм, II сорта</t>
        </is>
      </c>
      <c r="D82" s="372" t="inlineStr">
        <is>
          <t>м3</t>
        </is>
      </c>
      <c r="E82" s="460" t="n">
        <v>2.551</v>
      </c>
      <c r="F82" s="382" t="n">
        <v>1250</v>
      </c>
      <c r="G82" s="274">
        <f>ROUND(E82*F82,2)</f>
        <v/>
      </c>
      <c r="H82" s="238">
        <f>G82/$G$127</f>
        <v/>
      </c>
      <c r="I82" s="274">
        <f>ROUND(F82*'Прил. 10'!$D$13,2)</f>
        <v/>
      </c>
      <c r="J82" s="274">
        <f>ROUND(I82*E82,2)</f>
        <v/>
      </c>
    </row>
    <row r="83" hidden="1" outlineLevel="1" ht="14.25" customFormat="1" customHeight="1" s="307">
      <c r="A83" s="372" t="n">
        <v>54</v>
      </c>
      <c r="B83" s="372" t="inlineStr">
        <is>
          <t>08.4.01.02-0001</t>
        </is>
      </c>
      <c r="C83" s="380" t="inlineStr">
        <is>
          <t>Детали закладные весом до 1 килограмма</t>
        </is>
      </c>
      <c r="D83" s="372" t="inlineStr">
        <is>
          <t>т</t>
        </is>
      </c>
      <c r="E83" s="460" t="n">
        <v>0.2246</v>
      </c>
      <c r="F83" s="382" t="n">
        <v>11684</v>
      </c>
      <c r="G83" s="274">
        <f>ROUND(E83*F83,2)</f>
        <v/>
      </c>
      <c r="H83" s="238">
        <f>G83/$G$127</f>
        <v/>
      </c>
      <c r="I83" s="274">
        <f>ROUND(F83*'Прил. 10'!$D$13,2)</f>
        <v/>
      </c>
      <c r="J83" s="274">
        <f>ROUND(I83*E83,2)</f>
        <v/>
      </c>
    </row>
    <row r="84" hidden="1" outlineLevel="1" ht="14.25" customFormat="1" customHeight="1" s="307">
      <c r="A84" s="372" t="n">
        <v>55</v>
      </c>
      <c r="B84" s="372" t="inlineStr">
        <is>
          <t>Прайс из СД ОП</t>
        </is>
      </c>
      <c r="C84" s="380" t="inlineStr">
        <is>
          <t>Транспортные услуги</t>
        </is>
      </c>
      <c r="D84" s="372" t="inlineStr">
        <is>
          <t>шт.</t>
        </is>
      </c>
      <c r="E84" s="460" t="n">
        <v>1</v>
      </c>
      <c r="F84" s="382" t="n">
        <v>2262.07</v>
      </c>
      <c r="G84" s="274">
        <f>ROUND(E84*F84,2)</f>
        <v/>
      </c>
      <c r="H84" s="238">
        <f>G84/$G$127</f>
        <v/>
      </c>
      <c r="I84" s="274">
        <f>ROUND(F84*'Прил. 10'!$D$13,2)</f>
        <v/>
      </c>
      <c r="J84" s="274">
        <f>ROUND(I84*E84,2)</f>
        <v/>
      </c>
    </row>
    <row r="85" hidden="1" outlineLevel="1" ht="63.75" customFormat="1" customHeight="1" s="307">
      <c r="A85" s="372" t="n">
        <v>56</v>
      </c>
      <c r="B85" s="372" t="inlineStr">
        <is>
          <t>07.2.07.12-0001</t>
        </is>
      </c>
      <c r="C85" s="380" t="inlineStr">
        <is>
          <t>Конструктивные элементы вспомогательного назначения: массой не более 50 кг с преобладанием толстолистовой стали без отверстий и сборосварочных операций</t>
        </is>
      </c>
      <c r="D85" s="372" t="inlineStr">
        <is>
          <t>т</t>
        </is>
      </c>
      <c r="E85" s="460" t="n">
        <v>0.334591</v>
      </c>
      <c r="F85" s="382" t="n">
        <v>6550</v>
      </c>
      <c r="G85" s="274">
        <f>ROUND(E85*F85,2)</f>
        <v/>
      </c>
      <c r="H85" s="238">
        <f>G85/$G$127</f>
        <v/>
      </c>
      <c r="I85" s="274">
        <f>ROUND(F85*'Прил. 10'!$D$13,2)</f>
        <v/>
      </c>
      <c r="J85" s="274">
        <f>ROUND(I85*E85,2)</f>
        <v/>
      </c>
    </row>
    <row r="86" hidden="1" outlineLevel="1" ht="38.25" customFormat="1" customHeight="1" s="307">
      <c r="A86" s="372" t="n">
        <v>57</v>
      </c>
      <c r="B86" s="372" t="inlineStr">
        <is>
          <t>04.3.02.04-0143</t>
        </is>
      </c>
      <c r="C86" s="380" t="inlineStr">
        <is>
          <t>Смеси бетонные, БСГ, тяжелого бетона на гранитном щебне, фракция 5-20 мм, класс: В7,5 (М100), П3</t>
        </is>
      </c>
      <c r="D86" s="372" t="inlineStr">
        <is>
          <t>м3</t>
        </is>
      </c>
      <c r="E86" s="460" t="n">
        <v>3.672</v>
      </c>
      <c r="F86" s="382" t="n">
        <v>517.14</v>
      </c>
      <c r="G86" s="274">
        <f>ROUND(E86*F86,2)</f>
        <v/>
      </c>
      <c r="H86" s="238">
        <f>G86/$G$127</f>
        <v/>
      </c>
      <c r="I86" s="274">
        <f>ROUND(F86*'Прил. 10'!$D$13,2)</f>
        <v/>
      </c>
      <c r="J86" s="274">
        <f>ROUND(I86*E86,2)</f>
        <v/>
      </c>
    </row>
    <row r="87" hidden="1" outlineLevel="1" ht="14.25" customFormat="1" customHeight="1" s="307">
      <c r="A87" s="372" t="n">
        <v>58</v>
      </c>
      <c r="B87" s="372" t="inlineStr">
        <is>
          <t>01.7.06.12-0004</t>
        </is>
      </c>
      <c r="C87" s="380" t="inlineStr">
        <is>
          <t>Лента киперная, ширина 40 мм</t>
        </is>
      </c>
      <c r="D87" s="372" t="inlineStr">
        <is>
          <t>100 м</t>
        </is>
      </c>
      <c r="E87" s="460" t="n">
        <v>17.44</v>
      </c>
      <c r="F87" s="382" t="n">
        <v>94</v>
      </c>
      <c r="G87" s="274">
        <f>ROUND(E87*F87,2)</f>
        <v/>
      </c>
      <c r="H87" s="238">
        <f>G87/$G$127</f>
        <v/>
      </c>
      <c r="I87" s="274">
        <f>ROUND(F87*'Прил. 10'!$D$13,2)</f>
        <v/>
      </c>
      <c r="J87" s="274">
        <f>ROUND(I87*E87,2)</f>
        <v/>
      </c>
    </row>
    <row r="88" hidden="1" outlineLevel="1" ht="14.25" customFormat="1" customHeight="1" s="307">
      <c r="A88" s="372" t="n">
        <v>59</v>
      </c>
      <c r="B88" s="372" t="inlineStr">
        <is>
          <t>01.2.03.03-0045</t>
        </is>
      </c>
      <c r="C88" s="380" t="inlineStr">
        <is>
          <t>Мастика битумно-полимерная</t>
        </is>
      </c>
      <c r="D88" s="372" t="inlineStr">
        <is>
          <t>т</t>
        </is>
      </c>
      <c r="E88" s="460" t="n">
        <v>0.9536</v>
      </c>
      <c r="F88" s="382" t="n">
        <v>1500</v>
      </c>
      <c r="G88" s="274">
        <f>ROUND(E88*F88,2)</f>
        <v/>
      </c>
      <c r="H88" s="238">
        <f>G88/$G$127</f>
        <v/>
      </c>
      <c r="I88" s="274">
        <f>ROUND(F88*'Прил. 10'!$D$13,2)</f>
        <v/>
      </c>
      <c r="J88" s="274">
        <f>ROUND(I88*E88,2)</f>
        <v/>
      </c>
    </row>
    <row r="89" hidden="1" outlineLevel="1" ht="25.5" customFormat="1" customHeight="1" s="307">
      <c r="A89" s="372" t="n">
        <v>60</v>
      </c>
      <c r="B89" s="372" t="inlineStr">
        <is>
          <t>01.2.03.03-0107</t>
        </is>
      </c>
      <c r="C89" s="380" t="inlineStr">
        <is>
          <t>Мастика клеящая морозостойкая битумно-масляная МБ-50</t>
        </is>
      </c>
      <c r="D89" s="372" t="inlineStr">
        <is>
          <t>т</t>
        </is>
      </c>
      <c r="E89" s="460" t="n">
        <v>0.31968</v>
      </c>
      <c r="F89" s="382" t="n">
        <v>3960</v>
      </c>
      <c r="G89" s="274">
        <f>ROUND(E89*F89,2)</f>
        <v/>
      </c>
      <c r="H89" s="238">
        <f>G89/$G$127</f>
        <v/>
      </c>
      <c r="I89" s="274">
        <f>ROUND(F89*'Прил. 10'!$D$13,2)</f>
        <v/>
      </c>
      <c r="J89" s="274">
        <f>ROUND(I89*E89,2)</f>
        <v/>
      </c>
    </row>
    <row r="90" hidden="1" outlineLevel="1" ht="25.5" customFormat="1" customHeight="1" s="307">
      <c r="A90" s="372" t="n">
        <v>61</v>
      </c>
      <c r="B90" s="372" t="inlineStr">
        <is>
          <t>14.4.04.11-0010</t>
        </is>
      </c>
      <c r="C90" s="380" t="inlineStr">
        <is>
          <t>Эмаль ХС-720 серебристая антикоррозийная</t>
        </is>
      </c>
      <c r="D90" s="372" t="inlineStr">
        <is>
          <t>т</t>
        </is>
      </c>
      <c r="E90" s="460" t="n">
        <v>0.0348</v>
      </c>
      <c r="F90" s="382" t="n">
        <v>35001</v>
      </c>
      <c r="G90" s="274">
        <f>ROUND(E90*F90,2)</f>
        <v/>
      </c>
      <c r="H90" s="238">
        <f>G90/$G$127</f>
        <v/>
      </c>
      <c r="I90" s="274">
        <f>ROUND(F90*'Прил. 10'!$D$13,2)</f>
        <v/>
      </c>
      <c r="J90" s="274">
        <f>ROUND(I90*E90,2)</f>
        <v/>
      </c>
    </row>
    <row r="91" hidden="1" outlineLevel="1" ht="51" customFormat="1" customHeight="1" s="307">
      <c r="A91" s="372" t="n">
        <v>62</v>
      </c>
      <c r="B91" s="372" t="inlineStr">
        <is>
          <t>08.4.02.03-0021</t>
        </is>
      </c>
      <c r="C91" s="380" t="inlineStr">
        <is>
          <t>Каркасы и сетки арматурные плоские, собранные и сваренные (связанные) в арматурные изделия, класс BP-I, диаметр 4 мм</t>
        </is>
      </c>
      <c r="D91" s="372" t="inlineStr">
        <is>
          <t>т</t>
        </is>
      </c>
      <c r="E91" s="460" t="n">
        <v>0.1332</v>
      </c>
      <c r="F91" s="382" t="n">
        <v>8817.17</v>
      </c>
      <c r="G91" s="274">
        <f>ROUND(E91*F91,2)</f>
        <v/>
      </c>
      <c r="H91" s="238">
        <f>G91/$G$127</f>
        <v/>
      </c>
      <c r="I91" s="274">
        <f>ROUND(F91*'Прил. 10'!$D$13,2)</f>
        <v/>
      </c>
      <c r="J91" s="274">
        <f>ROUND(I91*E91,2)</f>
        <v/>
      </c>
    </row>
    <row r="92" hidden="1" outlineLevel="1" ht="25.5" customFormat="1" customHeight="1" s="307">
      <c r="A92" s="372" t="n">
        <v>63</v>
      </c>
      <c r="B92" s="372" t="inlineStr">
        <is>
          <t>01.7.07.12-0024</t>
        </is>
      </c>
      <c r="C92" s="380" t="inlineStr">
        <is>
          <t>Пленка полиэтиленовая толщиной: 0,15 мм</t>
        </is>
      </c>
      <c r="D92" s="372" t="inlineStr">
        <is>
          <t>м2</t>
        </is>
      </c>
      <c r="E92" s="460" t="n">
        <v>319.488</v>
      </c>
      <c r="F92" s="382" t="n">
        <v>3.62</v>
      </c>
      <c r="G92" s="274">
        <f>ROUND(E92*F92,2)</f>
        <v/>
      </c>
      <c r="H92" s="238">
        <f>G92/$G$127</f>
        <v/>
      </c>
      <c r="I92" s="274">
        <f>ROUND(F92*'Прил. 10'!$D$13,2)</f>
        <v/>
      </c>
      <c r="J92" s="274">
        <f>ROUND(I92*E92,2)</f>
        <v/>
      </c>
    </row>
    <row r="93" hidden="1" outlineLevel="1" ht="14.25" customFormat="1" customHeight="1" s="307">
      <c r="A93" s="372" t="n">
        <v>64</v>
      </c>
      <c r="B93" s="372" t="inlineStr">
        <is>
          <t>01.2.03.03-0013</t>
        </is>
      </c>
      <c r="C93" s="380" t="inlineStr">
        <is>
          <t>Мастика битумная кровельная горячая</t>
        </is>
      </c>
      <c r="D93" s="372" t="inlineStr">
        <is>
          <t>т</t>
        </is>
      </c>
      <c r="E93" s="460" t="n">
        <v>0.3197</v>
      </c>
      <c r="F93" s="382" t="n">
        <v>3390</v>
      </c>
      <c r="G93" s="274">
        <f>ROUND(E93*F93,2)</f>
        <v/>
      </c>
      <c r="H93" s="238">
        <f>G93/$G$127</f>
        <v/>
      </c>
      <c r="I93" s="274">
        <f>ROUND(F93*'Прил. 10'!$D$13,2)</f>
        <v/>
      </c>
      <c r="J93" s="274">
        <f>ROUND(I93*E93,2)</f>
        <v/>
      </c>
    </row>
    <row r="94" hidden="1" outlineLevel="1" ht="38.25" customFormat="1" customHeight="1" s="307">
      <c r="A94" s="372" t="n">
        <v>65</v>
      </c>
      <c r="B94" s="372" t="inlineStr">
        <is>
          <t>08.3.05.02-0101</t>
        </is>
      </c>
      <c r="C94" s="380" t="inlineStr">
        <is>
          <t>Сталь листовая углеродистая обыкновенного качества марки ВСт3пс5 толщиной: 4-6 мм</t>
        </is>
      </c>
      <c r="D94" s="372" t="inlineStr">
        <is>
          <t>т</t>
        </is>
      </c>
      <c r="E94" s="460" t="n">
        <v>0.1844</v>
      </c>
      <c r="F94" s="382" t="n">
        <v>5763</v>
      </c>
      <c r="G94" s="274">
        <f>ROUND(E94*F94,2)</f>
        <v/>
      </c>
      <c r="H94" s="238">
        <f>G94/$G$127</f>
        <v/>
      </c>
      <c r="I94" s="274">
        <f>ROUND(F94*'Прил. 10'!$D$13,2)</f>
        <v/>
      </c>
      <c r="J94" s="274">
        <f>ROUND(I94*E94,2)</f>
        <v/>
      </c>
    </row>
    <row r="95" hidden="1" outlineLevel="1" ht="25.5" customFormat="1" customHeight="1" s="307">
      <c r="A95" s="372" t="n">
        <v>66</v>
      </c>
      <c r="B95" s="372" t="inlineStr">
        <is>
          <t>07.2.07.13-0081</t>
        </is>
      </c>
      <c r="C95" s="380" t="inlineStr">
        <is>
          <t>Конструкции стальные приспособлений: для монтажа</t>
        </is>
      </c>
      <c r="D95" s="372" t="inlineStr">
        <is>
          <t>т</t>
        </is>
      </c>
      <c r="E95" s="460" t="n">
        <v>0.137</v>
      </c>
      <c r="F95" s="382" t="n">
        <v>7441</v>
      </c>
      <c r="G95" s="274">
        <f>ROUND(E95*F95,2)</f>
        <v/>
      </c>
      <c r="H95" s="238">
        <f>G95/$G$127</f>
        <v/>
      </c>
      <c r="I95" s="274">
        <f>ROUND(F95*'Прил. 10'!$D$13,2)</f>
        <v/>
      </c>
      <c r="J95" s="274">
        <f>ROUND(I95*E95,2)</f>
        <v/>
      </c>
    </row>
    <row r="96" hidden="1" outlineLevel="1" ht="25.5" customFormat="1" customHeight="1" s="307">
      <c r="A96" s="372" t="n">
        <v>67</v>
      </c>
      <c r="B96" s="372" t="inlineStr">
        <is>
          <t>04.3.01.09-0023</t>
        </is>
      </c>
      <c r="C96" s="380" t="inlineStr">
        <is>
          <t>Раствор готовый отделочный тяжелый,: цементный 1:3</t>
        </is>
      </c>
      <c r="D96" s="372" t="inlineStr">
        <is>
          <t>м3</t>
        </is>
      </c>
      <c r="E96" s="460" t="n">
        <v>1.51</v>
      </c>
      <c r="F96" s="382" t="n">
        <v>497</v>
      </c>
      <c r="G96" s="274">
        <f>ROUND(E96*F96,2)</f>
        <v/>
      </c>
      <c r="H96" s="238">
        <f>G96/$G$127</f>
        <v/>
      </c>
      <c r="I96" s="274">
        <f>ROUND(F96*'Прил. 10'!$D$13,2)</f>
        <v/>
      </c>
      <c r="J96" s="274">
        <f>ROUND(I96*E96,2)</f>
        <v/>
      </c>
    </row>
    <row r="97" hidden="1" outlineLevel="1" ht="14.25" customFormat="1" customHeight="1" s="307">
      <c r="A97" s="372" t="n">
        <v>68</v>
      </c>
      <c r="B97" s="372" t="inlineStr">
        <is>
          <t>04.1.02.05-0010</t>
        </is>
      </c>
      <c r="C97" s="380" t="inlineStr">
        <is>
          <t>Бетон тяжелый, класс: В27,5 (М350)</t>
        </is>
      </c>
      <c r="D97" s="372" t="inlineStr">
        <is>
          <t>м3</t>
        </is>
      </c>
      <c r="E97" s="460" t="n">
        <v>0.8741</v>
      </c>
      <c r="F97" s="382" t="n">
        <v>730</v>
      </c>
      <c r="G97" s="274">
        <f>ROUND(E97*F97,2)</f>
        <v/>
      </c>
      <c r="H97" s="238">
        <f>G97/$G$127</f>
        <v/>
      </c>
      <c r="I97" s="274">
        <f>ROUND(F97*'Прил. 10'!$D$13,2)</f>
        <v/>
      </c>
      <c r="J97" s="274">
        <f>ROUND(I97*E97,2)</f>
        <v/>
      </c>
    </row>
    <row r="98" hidden="1" outlineLevel="1" ht="63.75" customFormat="1" customHeight="1" s="307">
      <c r="A98" s="372" t="n">
        <v>69</v>
      </c>
      <c r="B98" s="372" t="inlineStr">
        <is>
          <t>23.3.03.02-0077</t>
        </is>
      </c>
      <c r="C98" s="380" t="inlineStr">
        <is>
          <t>Трубы стальные бесшовные, горячедеформированные со снятой фаской из стали марок 15, 20, 25, наружным диаметром: 108 мм, толщина стенки 5 мм</t>
        </is>
      </c>
      <c r="D98" s="372" t="inlineStr">
        <is>
          <t>м</t>
        </is>
      </c>
      <c r="E98" s="460" t="n">
        <v>4.6</v>
      </c>
      <c r="F98" s="382" t="n">
        <v>111.05</v>
      </c>
      <c r="G98" s="274">
        <f>ROUND(E98*F98,2)</f>
        <v/>
      </c>
      <c r="H98" s="238">
        <f>G98/$G$127</f>
        <v/>
      </c>
      <c r="I98" s="274">
        <f>ROUND(F98*'Прил. 10'!$D$13,2)</f>
        <v/>
      </c>
      <c r="J98" s="274">
        <f>ROUND(I98*E98,2)</f>
        <v/>
      </c>
    </row>
    <row r="99" hidden="1" outlineLevel="1" ht="14.25" customFormat="1" customHeight="1" s="307">
      <c r="A99" s="372" t="n">
        <v>70</v>
      </c>
      <c r="B99" s="372" t="inlineStr">
        <is>
          <t>01.7.11.07-0032</t>
        </is>
      </c>
      <c r="C99" s="380" t="inlineStr">
        <is>
          <t>Электроды диаметром: 4 мм Э42</t>
        </is>
      </c>
      <c r="D99" s="372" t="inlineStr">
        <is>
          <t>т</t>
        </is>
      </c>
      <c r="E99" s="460" t="n">
        <v>0.0493</v>
      </c>
      <c r="F99" s="382" t="n">
        <v>10315.01</v>
      </c>
      <c r="G99" s="274">
        <f>ROUND(E99*F99,2)</f>
        <v/>
      </c>
      <c r="H99" s="238">
        <f>G99/$G$127</f>
        <v/>
      </c>
      <c r="I99" s="274">
        <f>ROUND(F99*'Прил. 10'!$D$13,2)</f>
        <v/>
      </c>
      <c r="J99" s="274">
        <f>ROUND(I99*E99,2)</f>
        <v/>
      </c>
    </row>
    <row r="100" hidden="1" outlineLevel="1" ht="25.5" customFormat="1" customHeight="1" s="307">
      <c r="A100" s="372" t="n">
        <v>71</v>
      </c>
      <c r="B100" s="372" t="inlineStr">
        <is>
          <t>02.2.01.02-0013</t>
        </is>
      </c>
      <c r="C100" s="380" t="inlineStr">
        <is>
          <t>Гравий для строительных работ марка 400, фракция 20-40 мм</t>
        </is>
      </c>
      <c r="D100" s="372" t="inlineStr">
        <is>
          <t>м3</t>
        </is>
      </c>
      <c r="E100" s="460" t="n">
        <v>3.91</v>
      </c>
      <c r="F100" s="382" t="n">
        <v>110.77</v>
      </c>
      <c r="G100" s="274">
        <f>ROUND(E100*F100,2)</f>
        <v/>
      </c>
      <c r="H100" s="238">
        <f>G100/$G$127</f>
        <v/>
      </c>
      <c r="I100" s="274">
        <f>ROUND(F100*'Прил. 10'!$D$13,2)</f>
        <v/>
      </c>
      <c r="J100" s="274">
        <f>ROUND(I100*E100,2)</f>
        <v/>
      </c>
    </row>
    <row r="101" hidden="1" outlineLevel="1" ht="14.25" customFormat="1" customHeight="1" s="307">
      <c r="A101" s="372" t="n">
        <v>72</v>
      </c>
      <c r="B101" s="372" t="inlineStr">
        <is>
          <t>01.7.11.07-0035</t>
        </is>
      </c>
      <c r="C101" s="380" t="inlineStr">
        <is>
          <t>Электроды диаметром: 4 мм Э46</t>
        </is>
      </c>
      <c r="D101" s="372" t="inlineStr">
        <is>
          <t>т</t>
        </is>
      </c>
      <c r="E101" s="460" t="n">
        <v>0.0349</v>
      </c>
      <c r="F101" s="382" t="n">
        <v>10749</v>
      </c>
      <c r="G101" s="274">
        <f>ROUND(E101*F101,2)</f>
        <v/>
      </c>
      <c r="H101" s="238">
        <f>G101/$G$127</f>
        <v/>
      </c>
      <c r="I101" s="274">
        <f>ROUND(F101*'Прил. 10'!$D$13,2)</f>
        <v/>
      </c>
      <c r="J101" s="274">
        <f>ROUND(I101*E101,2)</f>
        <v/>
      </c>
    </row>
    <row r="102" hidden="1" outlineLevel="1" ht="14.25" customFormat="1" customHeight="1" s="307">
      <c r="A102" s="372" t="n">
        <v>73</v>
      </c>
      <c r="B102" s="372" t="inlineStr">
        <is>
          <t>11.2.13.04-0011</t>
        </is>
      </c>
      <c r="C102" s="380" t="inlineStr">
        <is>
          <t>Щиты: из досок толщиной 25 мм</t>
        </is>
      </c>
      <c r="D102" s="372" t="inlineStr">
        <is>
          <t>м2</t>
        </is>
      </c>
      <c r="E102" s="460" t="n">
        <v>9.742000000000001</v>
      </c>
      <c r="F102" s="382" t="n">
        <v>35.53</v>
      </c>
      <c r="G102" s="274">
        <f>ROUND(E102*F102,2)</f>
        <v/>
      </c>
      <c r="H102" s="238">
        <f>G102/$G$127</f>
        <v/>
      </c>
      <c r="I102" s="274">
        <f>ROUND(F102*'Прил. 10'!$D$13,2)</f>
        <v/>
      </c>
      <c r="J102" s="274">
        <f>ROUND(I102*E102,2)</f>
        <v/>
      </c>
    </row>
    <row r="103" hidden="1" outlineLevel="1" ht="14.25" customFormat="1" customHeight="1" s="307">
      <c r="A103" s="372" t="n">
        <v>74</v>
      </c>
      <c r="B103" s="372" t="inlineStr">
        <is>
          <t>01.7.11.07-0044</t>
        </is>
      </c>
      <c r="C103" s="380" t="inlineStr">
        <is>
          <t>Электроды диаметром: 5 мм Э42</t>
        </is>
      </c>
      <c r="D103" s="372" t="inlineStr">
        <is>
          <t>т</t>
        </is>
      </c>
      <c r="E103" s="460" t="n">
        <v>0.0242</v>
      </c>
      <c r="F103" s="382" t="n">
        <v>9765</v>
      </c>
      <c r="G103" s="274">
        <f>ROUND(E103*F103,2)</f>
        <v/>
      </c>
      <c r="H103" s="238">
        <f>G103/$G$127</f>
        <v/>
      </c>
      <c r="I103" s="274">
        <f>ROUND(F103*'Прил. 10'!$D$13,2)</f>
        <v/>
      </c>
      <c r="J103" s="274">
        <f>ROUND(I103*E103,2)</f>
        <v/>
      </c>
    </row>
    <row r="104" hidden="1" outlineLevel="1" ht="25.5" customFormat="1" customHeight="1" s="307">
      <c r="A104" s="372" t="n">
        <v>75</v>
      </c>
      <c r="B104" s="372" t="inlineStr">
        <is>
          <t>999-9950</t>
        </is>
      </c>
      <c r="C104" s="380" t="inlineStr">
        <is>
          <t>Вспомогательные ненормируемые ресурсы (2% от Оплаты труда рабочих)</t>
        </is>
      </c>
      <c r="D104" s="372" t="inlineStr">
        <is>
          <t>руб.</t>
        </is>
      </c>
      <c r="E104" s="460" t="n">
        <v>123.62</v>
      </c>
      <c r="F104" s="382" t="n">
        <v>1</v>
      </c>
      <c r="G104" s="274">
        <f>ROUND(E104*F104,2)</f>
        <v/>
      </c>
      <c r="H104" s="238">
        <f>G104/$G$127</f>
        <v/>
      </c>
      <c r="I104" s="274">
        <f>ROUND(F104*'Прил. 10'!$D$13,2)</f>
        <v/>
      </c>
      <c r="J104" s="274">
        <f>ROUND(I104*E104,2)</f>
        <v/>
      </c>
    </row>
    <row r="105" hidden="1" outlineLevel="1" ht="14.25" customFormat="1" customHeight="1" s="307">
      <c r="A105" s="372" t="n">
        <v>76</v>
      </c>
      <c r="B105" s="372" t="inlineStr">
        <is>
          <t>01.3.02.08-0001</t>
        </is>
      </c>
      <c r="C105" s="380" t="inlineStr">
        <is>
          <t>Кислород технический: газообразный</t>
        </is>
      </c>
      <c r="D105" s="372" t="inlineStr">
        <is>
          <t>м3</t>
        </is>
      </c>
      <c r="E105" s="460" t="n">
        <v>14.7754</v>
      </c>
      <c r="F105" s="382" t="n">
        <v>6.22</v>
      </c>
      <c r="G105" s="274">
        <f>ROUND(E105*F105,2)</f>
        <v/>
      </c>
      <c r="H105" s="238">
        <f>G105/$G$127</f>
        <v/>
      </c>
      <c r="I105" s="274">
        <f>ROUND(F105*'Прил. 10'!$D$13,2)</f>
        <v/>
      </c>
      <c r="J105" s="274">
        <f>ROUND(I105*E105,2)</f>
        <v/>
      </c>
    </row>
    <row r="106" hidden="1" outlineLevel="1" ht="25.5" customFormat="1" customHeight="1" s="307">
      <c r="A106" s="372" t="n">
        <v>77</v>
      </c>
      <c r="B106" s="372" t="inlineStr">
        <is>
          <t>01.3.01.03-0002</t>
        </is>
      </c>
      <c r="C106" s="380" t="inlineStr">
        <is>
          <t>Керосин для технических целей марок КТ-1, КТ-2</t>
        </is>
      </c>
      <c r="D106" s="372" t="inlineStr">
        <is>
          <t>т</t>
        </is>
      </c>
      <c r="E106" s="460" t="n">
        <v>0.032</v>
      </c>
      <c r="F106" s="382" t="n">
        <v>2606.9</v>
      </c>
      <c r="G106" s="274">
        <f>ROUND(E106*F106,2)</f>
        <v/>
      </c>
      <c r="H106" s="238">
        <f>G106/$G$127</f>
        <v/>
      </c>
      <c r="I106" s="274">
        <f>ROUND(F106*'Прил. 10'!$D$13,2)</f>
        <v/>
      </c>
      <c r="J106" s="274">
        <f>ROUND(I106*E106,2)</f>
        <v/>
      </c>
    </row>
    <row r="107" hidden="1" outlineLevel="1" ht="14.25" customFormat="1" customHeight="1" s="307">
      <c r="A107" s="372" t="n">
        <v>78</v>
      </c>
      <c r="B107" s="372" t="inlineStr">
        <is>
          <t>01.3.02.03-0001</t>
        </is>
      </c>
      <c r="C107" s="380" t="inlineStr">
        <is>
          <t>Ацетилен газообразный технический</t>
        </is>
      </c>
      <c r="D107" s="372" t="inlineStr">
        <is>
          <t>м3</t>
        </is>
      </c>
      <c r="E107" s="460" t="n">
        <v>1.9293</v>
      </c>
      <c r="F107" s="382" t="n">
        <v>38.51</v>
      </c>
      <c r="G107" s="274">
        <f>ROUND(E107*F107,2)</f>
        <v/>
      </c>
      <c r="H107" s="238">
        <f>G107/$G$127</f>
        <v/>
      </c>
      <c r="I107" s="274">
        <f>ROUND(F107*'Прил. 10'!$D$13,2)</f>
        <v/>
      </c>
      <c r="J107" s="274">
        <f>ROUND(I107*E107,2)</f>
        <v/>
      </c>
    </row>
    <row r="108" hidden="1" outlineLevel="1" ht="14.25" customFormat="1" customHeight="1" s="307">
      <c r="A108" s="372" t="n">
        <v>79</v>
      </c>
      <c r="B108" s="372" t="inlineStr">
        <is>
          <t>01.7.11.07-0040</t>
        </is>
      </c>
      <c r="C108" s="380" t="inlineStr">
        <is>
          <t>Электроды диаметром: 4 мм Э50А</t>
        </is>
      </c>
      <c r="D108" s="372" t="inlineStr">
        <is>
          <t>т</t>
        </is>
      </c>
      <c r="E108" s="460" t="n">
        <v>0.0043</v>
      </c>
      <c r="F108" s="382" t="n">
        <v>11524</v>
      </c>
      <c r="G108" s="274">
        <f>ROUND(E108*F108,2)</f>
        <v/>
      </c>
      <c r="H108" s="238">
        <f>G108/$G$127</f>
        <v/>
      </c>
      <c r="I108" s="274">
        <f>ROUND(F108*'Прил. 10'!$D$13,2)</f>
        <v/>
      </c>
      <c r="J108" s="274">
        <f>ROUND(I108*E108,2)</f>
        <v/>
      </c>
    </row>
    <row r="109" hidden="1" outlineLevel="1" ht="51" customFormat="1" customHeight="1" s="307">
      <c r="A109" s="372" t="n">
        <v>80</v>
      </c>
      <c r="B109" s="372" t="inlineStr">
        <is>
          <t>07.2.07.12-0020</t>
        </is>
      </c>
      <c r="C109" s="380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D109" s="372" t="inlineStr">
        <is>
          <t>т</t>
        </is>
      </c>
      <c r="E109" s="460" t="n">
        <v>0.0056</v>
      </c>
      <c r="F109" s="382" t="n">
        <v>7712</v>
      </c>
      <c r="G109" s="274">
        <f>ROUND(E109*F109,2)</f>
        <v/>
      </c>
      <c r="H109" s="238">
        <f>G109/$G$127</f>
        <v/>
      </c>
      <c r="I109" s="274">
        <f>ROUND(F109*'Прил. 10'!$D$13,2)</f>
        <v/>
      </c>
      <c r="J109" s="274">
        <f>ROUND(I109*E109,2)</f>
        <v/>
      </c>
    </row>
    <row r="110" hidden="1" outlineLevel="1" ht="14.25" customFormat="1" customHeight="1" s="307">
      <c r="A110" s="372" t="n">
        <v>81</v>
      </c>
      <c r="B110" s="372" t="inlineStr">
        <is>
          <t>01.7.15.03-0041</t>
        </is>
      </c>
      <c r="C110" s="380" t="inlineStr">
        <is>
          <t>Болты с гайками и шайбами строительные</t>
        </is>
      </c>
      <c r="D110" s="372" t="inlineStr">
        <is>
          <t>т</t>
        </is>
      </c>
      <c r="E110" s="460" t="n">
        <v>0.0045</v>
      </c>
      <c r="F110" s="382" t="n">
        <v>9040.01</v>
      </c>
      <c r="G110" s="274">
        <f>ROUND(E110*F110,2)</f>
        <v/>
      </c>
      <c r="H110" s="238">
        <f>G110/$G$127</f>
        <v/>
      </c>
      <c r="I110" s="274">
        <f>ROUND(F110*'Прил. 10'!$D$13,2)</f>
        <v/>
      </c>
      <c r="J110" s="274">
        <f>ROUND(I110*E110,2)</f>
        <v/>
      </c>
    </row>
    <row r="111" hidden="1" outlineLevel="1" ht="25.5" customFormat="1" customHeight="1" s="307">
      <c r="A111" s="372" t="n">
        <v>82</v>
      </c>
      <c r="B111" s="372" t="inlineStr">
        <is>
          <t>01.2.01.02-0054</t>
        </is>
      </c>
      <c r="C111" s="380" t="inlineStr">
        <is>
          <t>Битумы нефтяные строительные марки: БН-90/10</t>
        </is>
      </c>
      <c r="D111" s="372" t="inlineStr">
        <is>
          <t>т</t>
        </is>
      </c>
      <c r="E111" s="460" t="n">
        <v>0.0213</v>
      </c>
      <c r="F111" s="382" t="n">
        <v>1383.1</v>
      </c>
      <c r="G111" s="274">
        <f>ROUND(E111*F111,2)</f>
        <v/>
      </c>
      <c r="H111" s="238">
        <f>G111/$G$127</f>
        <v/>
      </c>
      <c r="I111" s="274">
        <f>ROUND(F111*'Прил. 10'!$D$13,2)</f>
        <v/>
      </c>
      <c r="J111" s="274">
        <f>ROUND(I111*E111,2)</f>
        <v/>
      </c>
    </row>
    <row r="112" hidden="1" outlineLevel="1" ht="14.25" customFormat="1" customHeight="1" s="307">
      <c r="A112" s="372" t="n">
        <v>83</v>
      </c>
      <c r="B112" s="372" t="inlineStr">
        <is>
          <t>01.7.03.01-0001</t>
        </is>
      </c>
      <c r="C112" s="380" t="inlineStr">
        <is>
          <t>Вода</t>
        </is>
      </c>
      <c r="D112" s="372" t="inlineStr">
        <is>
          <t>м3</t>
        </is>
      </c>
      <c r="E112" s="460" t="n">
        <v>8.715999999999999</v>
      </c>
      <c r="F112" s="382" t="n">
        <v>2.44</v>
      </c>
      <c r="G112" s="274">
        <f>ROUND(E112*F112,2)</f>
        <v/>
      </c>
      <c r="H112" s="238">
        <f>G112/$G$127</f>
        <v/>
      </c>
      <c r="I112" s="274">
        <f>ROUND(F112*'Прил. 10'!$D$13,2)</f>
        <v/>
      </c>
      <c r="J112" s="274">
        <f>ROUND(I112*E112,2)</f>
        <v/>
      </c>
    </row>
    <row r="113" hidden="1" outlineLevel="1" ht="38.25" customFormat="1" customHeight="1" s="307">
      <c r="A113" s="372" t="n">
        <v>84</v>
      </c>
      <c r="B113" s="372" t="inlineStr">
        <is>
          <t>11.1.03.01-0079</t>
        </is>
      </c>
      <c r="C113" s="380" t="inlineStr">
        <is>
          <t>Бруски обрезные хвойных пород длиной: 4-6,5 м, шириной 75-150 мм, толщиной 40-75 мм, III сорта</t>
        </is>
      </c>
      <c r="D113" s="372" t="inlineStr">
        <is>
          <t>м3</t>
        </is>
      </c>
      <c r="E113" s="460" t="n">
        <v>0.0157</v>
      </c>
      <c r="F113" s="382" t="n">
        <v>1287</v>
      </c>
      <c r="G113" s="274">
        <f>ROUND(E113*F113,2)</f>
        <v/>
      </c>
      <c r="H113" s="238">
        <f>G113/$G$127</f>
        <v/>
      </c>
      <c r="I113" s="274">
        <f>ROUND(F113*'Прил. 10'!$D$13,2)</f>
        <v/>
      </c>
      <c r="J113" s="274">
        <f>ROUND(I113*E113,2)</f>
        <v/>
      </c>
    </row>
    <row r="114" hidden="1" outlineLevel="1" ht="25.5" customFormat="1" customHeight="1" s="307">
      <c r="A114" s="372" t="n">
        <v>85</v>
      </c>
      <c r="B114" s="372" t="inlineStr">
        <is>
          <t>08.1.02.11-0001</t>
        </is>
      </c>
      <c r="C114" s="380" t="inlineStr">
        <is>
          <t>Поковки из квадратных заготовок, масса: 1,8 кг</t>
        </is>
      </c>
      <c r="D114" s="372" t="inlineStr">
        <is>
          <t>т</t>
        </is>
      </c>
      <c r="E114" s="460" t="n">
        <v>0.0029</v>
      </c>
      <c r="F114" s="382" t="n">
        <v>5989</v>
      </c>
      <c r="G114" s="274">
        <f>ROUND(E114*F114,2)</f>
        <v/>
      </c>
      <c r="H114" s="238">
        <f>G114/$G$127</f>
        <v/>
      </c>
      <c r="I114" s="274">
        <f>ROUND(F114*'Прил. 10'!$D$13,2)</f>
        <v/>
      </c>
      <c r="J114" s="274">
        <f>ROUND(I114*E114,2)</f>
        <v/>
      </c>
    </row>
    <row r="115" hidden="1" outlineLevel="1" ht="14.25" customFormat="1" customHeight="1" s="307">
      <c r="A115" s="372" t="n">
        <v>86</v>
      </c>
      <c r="B115" s="372" t="inlineStr">
        <is>
          <t>14.4.04.09-0022</t>
        </is>
      </c>
      <c r="C115" s="380" t="inlineStr">
        <is>
          <t>Эмаль ХВ-785 белая</t>
        </is>
      </c>
      <c r="D115" s="372" t="inlineStr">
        <is>
          <t>т</t>
        </is>
      </c>
      <c r="E115" s="460" t="n">
        <v>0.0005</v>
      </c>
      <c r="F115" s="382" t="n">
        <v>24119</v>
      </c>
      <c r="G115" s="274">
        <f>ROUND(E115*F115,2)</f>
        <v/>
      </c>
      <c r="H115" s="238">
        <f>G115/$G$127</f>
        <v/>
      </c>
      <c r="I115" s="274">
        <f>ROUND(F115*'Прил. 10'!$D$13,2)</f>
        <v/>
      </c>
      <c r="J115" s="274">
        <f>ROUND(I115*E115,2)</f>
        <v/>
      </c>
    </row>
    <row r="116" hidden="1" outlineLevel="1" ht="14.25" customFormat="1" customHeight="1" s="307">
      <c r="A116" s="372" t="n">
        <v>87</v>
      </c>
      <c r="B116" s="372" t="inlineStr">
        <is>
          <t>08.3.11.01-0091</t>
        </is>
      </c>
      <c r="C116" s="380" t="inlineStr">
        <is>
          <t>Швеллеры № 40 из стали марки: Ст0</t>
        </is>
      </c>
      <c r="D116" s="372" t="inlineStr">
        <is>
          <t>т</t>
        </is>
      </c>
      <c r="E116" s="460" t="n">
        <v>0.0022</v>
      </c>
      <c r="F116" s="382" t="n">
        <v>4920</v>
      </c>
      <c r="G116" s="274">
        <f>ROUND(E116*F116,2)</f>
        <v/>
      </c>
      <c r="H116" s="238">
        <f>G116/$G$127</f>
        <v/>
      </c>
      <c r="I116" s="274">
        <f>ROUND(F116*'Прил. 10'!$D$13,2)</f>
        <v/>
      </c>
      <c r="J116" s="274">
        <f>ROUND(I116*E116,2)</f>
        <v/>
      </c>
    </row>
    <row r="117" hidden="1" outlineLevel="1" ht="14.25" customFormat="1" customHeight="1" s="307">
      <c r="A117" s="372" t="n">
        <v>88</v>
      </c>
      <c r="B117" s="372" t="inlineStr">
        <is>
          <t>14.5.09.07-0029</t>
        </is>
      </c>
      <c r="C117" s="380" t="inlineStr">
        <is>
          <t>Растворитель марки: Р-4</t>
        </is>
      </c>
      <c r="D117" s="372" t="inlineStr">
        <is>
          <t>т</t>
        </is>
      </c>
      <c r="E117" s="460" t="n">
        <v>0.0009</v>
      </c>
      <c r="F117" s="382" t="n">
        <v>9420</v>
      </c>
      <c r="G117" s="274">
        <f>ROUND(E117*F117,2)</f>
        <v/>
      </c>
      <c r="H117" s="238">
        <f>G117/$G$127</f>
        <v/>
      </c>
      <c r="I117" s="274">
        <f>ROUND(F117*'Прил. 10'!$D$13,2)</f>
        <v/>
      </c>
      <c r="J117" s="274">
        <f>ROUND(I117*E117,2)</f>
        <v/>
      </c>
    </row>
    <row r="118" hidden="1" outlineLevel="1" ht="14.25" customFormat="1" customHeight="1" s="307">
      <c r="A118" s="372" t="n">
        <v>89</v>
      </c>
      <c r="B118" s="372" t="inlineStr">
        <is>
          <t>01.7.11.07-0054</t>
        </is>
      </c>
      <c r="C118" s="380" t="inlineStr">
        <is>
          <t>Электроды диаметром: 6 мм Э42</t>
        </is>
      </c>
      <c r="D118" s="372" t="inlineStr">
        <is>
          <t>т</t>
        </is>
      </c>
      <c r="E118" s="460" t="n">
        <v>0.0008</v>
      </c>
      <c r="F118" s="382" t="n">
        <v>9424</v>
      </c>
      <c r="G118" s="274">
        <f>ROUND(E118*F118,2)</f>
        <v/>
      </c>
      <c r="H118" s="238">
        <f>G118/$G$127</f>
        <v/>
      </c>
      <c r="I118" s="274">
        <f>ROUND(F118*'Прил. 10'!$D$13,2)</f>
        <v/>
      </c>
      <c r="J118" s="274">
        <f>ROUND(I118*E118,2)</f>
        <v/>
      </c>
    </row>
    <row r="119" hidden="1" outlineLevel="1" ht="14.25" customFormat="1" customHeight="1" s="307">
      <c r="A119" s="372" t="n">
        <v>90</v>
      </c>
      <c r="B119" s="372" t="inlineStr">
        <is>
          <t>01.3.02.09-0022</t>
        </is>
      </c>
      <c r="C119" s="380" t="inlineStr">
        <is>
          <t>Пропан-бутан, смесь техническая</t>
        </is>
      </c>
      <c r="D119" s="372" t="inlineStr">
        <is>
          <t>кг</t>
        </is>
      </c>
      <c r="E119" s="460" t="n">
        <v>1.2287</v>
      </c>
      <c r="F119" s="382" t="n">
        <v>6.09</v>
      </c>
      <c r="G119" s="274">
        <f>ROUND(E119*F119,2)</f>
        <v/>
      </c>
      <c r="H119" s="238">
        <f>G119/$G$127</f>
        <v/>
      </c>
      <c r="I119" s="274">
        <f>ROUND(F119*'Прил. 10'!$D$13,2)</f>
        <v/>
      </c>
      <c r="J119" s="274">
        <f>ROUND(I119*E119,2)</f>
        <v/>
      </c>
    </row>
    <row r="120" hidden="1" outlineLevel="1" ht="25.5" customFormat="1" customHeight="1" s="307">
      <c r="A120" s="372" t="n">
        <v>91</v>
      </c>
      <c r="B120" s="372" t="inlineStr">
        <is>
          <t>03.1.02.03-0011</t>
        </is>
      </c>
      <c r="C120" s="380" t="inlineStr">
        <is>
          <t>Известь строительная: негашеная комовая, сорт I</t>
        </is>
      </c>
      <c r="D120" s="372" t="inlineStr">
        <is>
          <t>т</t>
        </is>
      </c>
      <c r="E120" s="460" t="n">
        <v>0.0091</v>
      </c>
      <c r="F120" s="382" t="n">
        <v>734.5</v>
      </c>
      <c r="G120" s="274">
        <f>ROUND(E120*F120,2)</f>
        <v/>
      </c>
      <c r="H120" s="238">
        <f>G120/$G$127</f>
        <v/>
      </c>
      <c r="I120" s="274">
        <f>ROUND(F120*'Прил. 10'!$D$13,2)</f>
        <v/>
      </c>
      <c r="J120" s="274">
        <f>ROUND(I120*E120,2)</f>
        <v/>
      </c>
    </row>
    <row r="121" hidden="1" outlineLevel="1" ht="14.25" customFormat="1" customHeight="1" s="307">
      <c r="A121" s="372" t="n">
        <v>92</v>
      </c>
      <c r="B121" s="372" t="inlineStr">
        <is>
          <t>14.4.01.01-0003</t>
        </is>
      </c>
      <c r="C121" s="380" t="inlineStr">
        <is>
          <t>Грунтовка: ГФ-021 красно-коричневая</t>
        </is>
      </c>
      <c r="D121" s="372" t="inlineStr">
        <is>
          <t>т</t>
        </is>
      </c>
      <c r="E121" s="460" t="n">
        <v>0.0003</v>
      </c>
      <c r="F121" s="382" t="n">
        <v>15620</v>
      </c>
      <c r="G121" s="274">
        <f>ROUND(E121*F121,2)</f>
        <v/>
      </c>
      <c r="H121" s="238">
        <f>G121/$G$127</f>
        <v/>
      </c>
      <c r="I121" s="274">
        <f>ROUND(F121*'Прил. 10'!$D$13,2)</f>
        <v/>
      </c>
      <c r="J121" s="274">
        <f>ROUND(I121*E121,2)</f>
        <v/>
      </c>
    </row>
    <row r="122" hidden="1" outlineLevel="1" ht="14.25" customFormat="1" customHeight="1" s="307">
      <c r="A122" s="372" t="n">
        <v>93</v>
      </c>
      <c r="B122" s="372" t="inlineStr">
        <is>
          <t>01.7.20.08-0071</t>
        </is>
      </c>
      <c r="C122" s="380" t="inlineStr">
        <is>
          <t>Канаты пеньковые пропитанные</t>
        </is>
      </c>
      <c r="D122" s="372" t="inlineStr">
        <is>
          <t>т</t>
        </is>
      </c>
      <c r="E122" s="460" t="n">
        <v>0.0001</v>
      </c>
      <c r="F122" s="382" t="n">
        <v>37900</v>
      </c>
      <c r="G122" s="274">
        <f>ROUND(E122*F122,2)</f>
        <v/>
      </c>
      <c r="H122" s="238">
        <f>G122/$G$127</f>
        <v/>
      </c>
      <c r="I122" s="274">
        <f>ROUND(F122*'Прил. 10'!$D$13,2)</f>
        <v/>
      </c>
      <c r="J122" s="274">
        <f>ROUND(I122*E122,2)</f>
        <v/>
      </c>
    </row>
    <row r="123" hidden="1" outlineLevel="1" ht="38.25" customFormat="1" customHeight="1" s="307">
      <c r="A123" s="372" t="n">
        <v>94</v>
      </c>
      <c r="B123" s="372" t="inlineStr">
        <is>
          <t>11.1.03.01-0077</t>
        </is>
      </c>
      <c r="C123" s="380" t="inlineStr">
        <is>
          <t>Бруски обрезные хвойных пород длиной: 4-6,5 м, шириной 75-150 мм, толщиной 40-75 мм, I сорта</t>
        </is>
      </c>
      <c r="D123" s="372" t="inlineStr">
        <is>
          <t>м3</t>
        </is>
      </c>
      <c r="E123" s="460" t="n">
        <v>0.0012</v>
      </c>
      <c r="F123" s="382" t="n">
        <v>1700</v>
      </c>
      <c r="G123" s="274">
        <f>ROUND(E123*F123,2)</f>
        <v/>
      </c>
      <c r="H123" s="238">
        <f>G123/$G$127</f>
        <v/>
      </c>
      <c r="I123" s="274">
        <f>ROUND(F123*'Прил. 10'!$D$13,2)</f>
        <v/>
      </c>
      <c r="J123" s="274">
        <f>ROUND(I123*E123,2)</f>
        <v/>
      </c>
    </row>
    <row r="124" hidden="1" outlineLevel="1" ht="63.75" customFormat="1" customHeight="1" s="307">
      <c r="A124" s="372" t="n">
        <v>95</v>
      </c>
      <c r="B124" s="372" t="inlineStr">
        <is>
          <t>08.2.02.11-0007</t>
        </is>
      </c>
      <c r="C124" s="380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D124" s="372" t="inlineStr">
        <is>
          <t>10 м</t>
        </is>
      </c>
      <c r="E124" s="460" t="n">
        <v>0.0211</v>
      </c>
      <c r="F124" s="382" t="n">
        <v>50.24</v>
      </c>
      <c r="G124" s="274">
        <f>ROUND(E124*F124,2)</f>
        <v/>
      </c>
      <c r="H124" s="238">
        <f>G124/$G$127</f>
        <v/>
      </c>
      <c r="I124" s="274">
        <f>ROUND(F124*'Прил. 10'!$D$13,2)</f>
        <v/>
      </c>
      <c r="J124" s="274">
        <f>ROUND(I124*E124,2)</f>
        <v/>
      </c>
    </row>
    <row r="125" hidden="1" outlineLevel="1" ht="14.25" customFormat="1" customHeight="1" s="307">
      <c r="A125" s="372" t="n">
        <v>96</v>
      </c>
      <c r="B125" s="372" t="inlineStr">
        <is>
          <t>01.7.20.08-0051</t>
        </is>
      </c>
      <c r="C125" s="380" t="inlineStr">
        <is>
          <t>Ветошь</t>
        </is>
      </c>
      <c r="D125" s="372" t="inlineStr">
        <is>
          <t>кг</t>
        </is>
      </c>
      <c r="E125" s="460" t="n">
        <v>0.1332</v>
      </c>
      <c r="F125" s="382" t="n">
        <v>1.82</v>
      </c>
      <c r="G125" s="274">
        <f>ROUND(E125*F125,2)</f>
        <v/>
      </c>
      <c r="H125" s="238">
        <f>G125/$G$127</f>
        <v/>
      </c>
      <c r="I125" s="274">
        <f>ROUND(F125*'Прил. 10'!$D$13,2)</f>
        <v/>
      </c>
      <c r="J125" s="274">
        <f>ROUND(I125*E125,2)</f>
        <v/>
      </c>
    </row>
    <row r="126" collapsed="1" ht="14.25" customFormat="1" customHeight="1" s="307">
      <c r="A126" s="372" t="n"/>
      <c r="B126" s="372" t="n"/>
      <c r="C126" s="380" t="inlineStr">
        <is>
          <t>Итого прочие материалы</t>
        </is>
      </c>
      <c r="D126" s="372" t="n"/>
      <c r="E126" s="381" t="n"/>
      <c r="F126" s="382" t="n"/>
      <c r="G126" s="274">
        <f>SUM(G68:G125)</f>
        <v/>
      </c>
      <c r="H126" s="238">
        <f>G126/$G$127</f>
        <v/>
      </c>
      <c r="I126" s="274" t="n"/>
      <c r="J126" s="274">
        <f>SUM(J68:J125)</f>
        <v/>
      </c>
    </row>
    <row r="127" ht="14.25" customFormat="1" customHeight="1" s="307">
      <c r="A127" s="372" t="n"/>
      <c r="B127" s="372" t="n"/>
      <c r="C127" s="359" t="inlineStr">
        <is>
          <t>Итого по разделу «Материалы»</t>
        </is>
      </c>
      <c r="D127" s="372" t="n"/>
      <c r="E127" s="381" t="n"/>
      <c r="F127" s="382" t="n"/>
      <c r="G127" s="274">
        <f>G67+G126</f>
        <v/>
      </c>
      <c r="H127" s="383">
        <f>G127/$G$127</f>
        <v/>
      </c>
      <c r="I127" s="274" t="n"/>
      <c r="J127" s="274">
        <f>J67+J126</f>
        <v/>
      </c>
      <c r="K127" s="459" t="n"/>
    </row>
    <row r="128" ht="14.25" customFormat="1" customHeight="1" s="307">
      <c r="A128" s="372" t="n"/>
      <c r="B128" s="372" t="n"/>
      <c r="C128" s="380" t="inlineStr">
        <is>
          <t>ИТОГО ПО РМ</t>
        </is>
      </c>
      <c r="D128" s="372" t="n"/>
      <c r="E128" s="381" t="n"/>
      <c r="F128" s="382" t="n"/>
      <c r="G128" s="274">
        <f>G15+G53+G127</f>
        <v/>
      </c>
      <c r="H128" s="383" t="n"/>
      <c r="I128" s="274" t="n"/>
      <c r="J128" s="274">
        <f>J15+J53+J127</f>
        <v/>
      </c>
    </row>
    <row r="129" ht="14.25" customFormat="1" customHeight="1" s="307">
      <c r="A129" s="372" t="n"/>
      <c r="B129" s="372" t="n"/>
      <c r="C129" s="380" t="inlineStr">
        <is>
          <t>Накладные расходы</t>
        </is>
      </c>
      <c r="D129" s="255">
        <f>ROUND(G129/(G$17+$G$15),2)</f>
        <v/>
      </c>
      <c r="E129" s="381" t="n"/>
      <c r="F129" s="382" t="n"/>
      <c r="G129" s="274" t="n">
        <v>165907.27</v>
      </c>
      <c r="H129" s="383" t="n"/>
      <c r="I129" s="274" t="n"/>
      <c r="J129" s="274">
        <f>ROUND(D129*(J15+J17),2)</f>
        <v/>
      </c>
    </row>
    <row r="130" ht="14.25" customFormat="1" customHeight="1" s="307">
      <c r="A130" s="372" t="n"/>
      <c r="B130" s="372" t="n"/>
      <c r="C130" s="380" t="inlineStr">
        <is>
          <t>Сметная прибыль</t>
        </is>
      </c>
      <c r="D130" s="255">
        <f>ROUND(G130/(G$15+G$17),2)</f>
        <v/>
      </c>
      <c r="E130" s="381" t="n"/>
      <c r="F130" s="382" t="n"/>
      <c r="G130" s="274" t="n">
        <v>95505.23</v>
      </c>
      <c r="H130" s="383" t="n"/>
      <c r="I130" s="274" t="n"/>
      <c r="J130" s="274">
        <f>ROUND(D130*(J15+J17),2)</f>
        <v/>
      </c>
    </row>
    <row r="131" ht="14.25" customFormat="1" customHeight="1" s="307">
      <c r="A131" s="372" t="n"/>
      <c r="B131" s="372" t="n"/>
      <c r="C131" s="380" t="inlineStr">
        <is>
          <t>Итого СМР (с НР и СП)</t>
        </is>
      </c>
      <c r="D131" s="372" t="n"/>
      <c r="E131" s="381" t="n"/>
      <c r="F131" s="382" t="n"/>
      <c r="G131" s="274">
        <f>G15+G53+G127+G129+G130</f>
        <v/>
      </c>
      <c r="H131" s="383" t="n"/>
      <c r="I131" s="274" t="n"/>
      <c r="J131" s="274">
        <f>J15+J53+J127+J129+J130</f>
        <v/>
      </c>
    </row>
    <row r="132" ht="14.25" customFormat="1" customHeight="1" s="307">
      <c r="A132" s="372" t="n"/>
      <c r="B132" s="372" t="n"/>
      <c r="C132" s="380" t="inlineStr">
        <is>
          <t>ВСЕГО СМР + ОБОРУДОВАНИЕ</t>
        </is>
      </c>
      <c r="D132" s="372" t="n"/>
      <c r="E132" s="381" t="n"/>
      <c r="F132" s="382" t="n"/>
      <c r="G132" s="274">
        <f>G131+G58</f>
        <v/>
      </c>
      <c r="H132" s="383" t="n"/>
      <c r="I132" s="274" t="n"/>
      <c r="J132" s="274">
        <f>J131+J58</f>
        <v/>
      </c>
    </row>
    <row r="133" ht="14.25" customFormat="1" customHeight="1" s="307">
      <c r="A133" s="372" t="n"/>
      <c r="B133" s="372" t="n"/>
      <c r="C133" s="380" t="inlineStr">
        <is>
          <t>ИТОГО ПОКАЗАТЕЛЬ НА ЕД. ИЗМ.</t>
        </is>
      </c>
      <c r="D133" s="372" t="inlineStr">
        <is>
          <t>1 км.</t>
        </is>
      </c>
      <c r="E133" s="460" t="n">
        <v>5.67</v>
      </c>
      <c r="F133" s="382" t="n"/>
      <c r="G133" s="274">
        <f>G132/E133</f>
        <v/>
      </c>
      <c r="H133" s="383" t="n"/>
      <c r="I133" s="274" t="n"/>
      <c r="J133" s="274">
        <f>J132/E133</f>
        <v/>
      </c>
    </row>
    <row r="135" ht="14.25" customFormat="1" customHeight="1" s="307">
      <c r="A135" s="297" t="inlineStr">
        <is>
          <t>Составил ______________________    Д.Ю. Нефедова</t>
        </is>
      </c>
    </row>
    <row r="136" ht="14.25" customFormat="1" customHeight="1" s="307">
      <c r="A136" s="306" t="inlineStr">
        <is>
          <t xml:space="preserve">                         (подпись, инициалы, фамилия)</t>
        </is>
      </c>
    </row>
    <row r="137" ht="14.25" customFormat="1" customHeight="1" s="307">
      <c r="A137" s="297" t="n"/>
    </row>
    <row r="138" ht="14.25" customFormat="1" customHeight="1" s="307">
      <c r="A138" s="297" t="inlineStr">
        <is>
          <t>Проверил ______________________        А.В. Костянецкая</t>
        </is>
      </c>
    </row>
    <row r="139" ht="14.25" customFormat="1" customHeight="1" s="307">
      <c r="A139" s="306" t="inlineStr">
        <is>
          <t xml:space="preserve">                        (подпись, инициалы, фамилия)</t>
        </is>
      </c>
    </row>
    <row r="142">
      <c r="G142" s="459" t="n"/>
      <c r="H142" s="459" t="n"/>
      <c r="I142" s="459" t="n"/>
      <c r="J142" s="459" t="n"/>
    </row>
    <row r="143">
      <c r="G143" s="459" t="n"/>
      <c r="H143" s="459" t="n"/>
      <c r="I143" s="459" t="n"/>
      <c r="J143" s="459" t="n"/>
    </row>
  </sheetData>
  <mergeCells count="21">
    <mergeCell ref="F10:G10"/>
    <mergeCell ref="B55:H55"/>
    <mergeCell ref="A4:J4"/>
    <mergeCell ref="C10:C11"/>
    <mergeCell ref="H2:J2"/>
    <mergeCell ref="E10:E11"/>
    <mergeCell ref="A7:H7"/>
    <mergeCell ref="B16:H16"/>
    <mergeCell ref="B54:H54"/>
    <mergeCell ref="B10:B11"/>
    <mergeCell ref="B18:H18"/>
    <mergeCell ref="D6:J6"/>
    <mergeCell ref="A10:A11"/>
    <mergeCell ref="B60:H60"/>
    <mergeCell ref="A8:H8"/>
    <mergeCell ref="B61:H61"/>
    <mergeCell ref="D10:D11"/>
    <mergeCell ref="B13:H13"/>
    <mergeCell ref="I10:J10"/>
    <mergeCell ref="B19:H19"/>
    <mergeCell ref="H10:H11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workbookViewId="0">
      <selection activeCell="D15" sqref="D15"/>
    </sheetView>
  </sheetViews>
  <sheetFormatPr baseColWidth="8" defaultRowHeight="15"/>
  <cols>
    <col width="5.7109375" customWidth="1" style="326" min="1" max="1"/>
    <col width="17.5703125" customWidth="1" style="326" min="2" max="2"/>
    <col width="39.140625" customWidth="1" style="326" min="3" max="3"/>
    <col width="10.7109375" customWidth="1" style="326" min="4" max="4"/>
    <col width="13.85546875" customWidth="1" style="326" min="5" max="5"/>
    <col width="13.28515625" customWidth="1" style="326" min="6" max="6"/>
    <col width="14.140625" customWidth="1" style="326" min="7" max="7"/>
  </cols>
  <sheetData>
    <row r="1">
      <c r="A1" s="388" t="inlineStr">
        <is>
          <t>Приложение №6</t>
        </is>
      </c>
    </row>
    <row r="2" ht="21.75" customHeight="1" s="326">
      <c r="A2" s="388" t="n"/>
      <c r="B2" s="388" t="n"/>
      <c r="C2" s="388" t="n"/>
      <c r="D2" s="388" t="n"/>
      <c r="E2" s="388" t="n"/>
      <c r="F2" s="388" t="n"/>
      <c r="G2" s="388" t="n"/>
    </row>
    <row r="3">
      <c r="A3" s="342" t="inlineStr">
        <is>
          <t>Расчет стоимости оборудования</t>
        </is>
      </c>
    </row>
    <row r="4" ht="27" customHeight="1" s="326">
      <c r="A4" s="345" t="inlineStr">
        <is>
          <t>Наименование разрабатываемого показателя УНЦ — Укрепление котлованов и траншей 330-500 кВ (Все регионы за исключением Москвы и Санкт-Петербурга)</t>
        </is>
      </c>
    </row>
    <row r="5">
      <c r="A5" s="297" t="n"/>
      <c r="B5" s="297" t="n"/>
      <c r="C5" s="297" t="n"/>
      <c r="D5" s="297" t="n"/>
      <c r="E5" s="297" t="n"/>
      <c r="F5" s="297" t="n"/>
      <c r="G5" s="297" t="n"/>
    </row>
    <row r="6" ht="30" customHeight="1" s="326">
      <c r="A6" s="393" t="inlineStr">
        <is>
          <t>№ пп.</t>
        </is>
      </c>
      <c r="B6" s="393" t="inlineStr">
        <is>
          <t>Код ресурса</t>
        </is>
      </c>
      <c r="C6" s="393" t="inlineStr">
        <is>
          <t>Наименование</t>
        </is>
      </c>
      <c r="D6" s="393" t="inlineStr">
        <is>
          <t>Ед. изм.</t>
        </is>
      </c>
      <c r="E6" s="372" t="inlineStr">
        <is>
          <t>Кол-во единиц по проектным данным</t>
        </is>
      </c>
      <c r="F6" s="393" t="inlineStr">
        <is>
          <t>Сметная стоимость в ценах на 01.01.2000 (руб.)</t>
        </is>
      </c>
      <c r="G6" s="447" t="n"/>
    </row>
    <row r="7">
      <c r="A7" s="449" t="n"/>
      <c r="B7" s="449" t="n"/>
      <c r="C7" s="449" t="n"/>
      <c r="D7" s="449" t="n"/>
      <c r="E7" s="449" t="n"/>
      <c r="F7" s="372" t="inlineStr">
        <is>
          <t>на ед. изм.</t>
        </is>
      </c>
      <c r="G7" s="372" t="inlineStr">
        <is>
          <t>общая</t>
        </is>
      </c>
    </row>
    <row r="8">
      <c r="A8" s="372" t="n">
        <v>1</v>
      </c>
      <c r="B8" s="372" t="n">
        <v>2</v>
      </c>
      <c r="C8" s="372" t="n">
        <v>3</v>
      </c>
      <c r="D8" s="372" t="n">
        <v>4</v>
      </c>
      <c r="E8" s="372" t="n">
        <v>5</v>
      </c>
      <c r="F8" s="372" t="n">
        <v>6</v>
      </c>
      <c r="G8" s="372" t="n">
        <v>7</v>
      </c>
    </row>
    <row r="9" ht="15" customHeight="1" s="326">
      <c r="A9" s="258" t="n"/>
      <c r="B9" s="380" t="inlineStr">
        <is>
          <t>ИНЖЕНЕРНОЕ ОБОРУДОВАНИЕ</t>
        </is>
      </c>
      <c r="C9" s="446" t="n"/>
      <c r="D9" s="446" t="n"/>
      <c r="E9" s="446" t="n"/>
      <c r="F9" s="446" t="n"/>
      <c r="G9" s="447" t="n"/>
    </row>
    <row r="10" ht="27" customHeight="1" s="326">
      <c r="A10" s="372" t="n"/>
      <c r="B10" s="359" t="n"/>
      <c r="C10" s="380" t="inlineStr">
        <is>
          <t>ИТОГО ИНЖЕНЕРНОЕ ОБОРУДОВАНИЕ</t>
        </is>
      </c>
      <c r="D10" s="359" t="n"/>
      <c r="E10" s="259" t="n"/>
      <c r="F10" s="382" t="n"/>
      <c r="G10" s="382" t="n">
        <v>0</v>
      </c>
    </row>
    <row r="11">
      <c r="A11" s="372" t="n"/>
      <c r="B11" s="380" t="inlineStr">
        <is>
          <t>ТЕХНОЛОГИЧЕСКОЕ ОБОРУДОВАНИЕ</t>
        </is>
      </c>
      <c r="C11" s="446" t="n"/>
      <c r="D11" s="446" t="n"/>
      <c r="E11" s="446" t="n"/>
      <c r="F11" s="446" t="n"/>
      <c r="G11" s="447" t="n"/>
    </row>
    <row r="12" ht="25.5" customHeight="1" s="326">
      <c r="A12" s="372" t="n"/>
      <c r="B12" s="380" t="n"/>
      <c r="C12" s="380" t="inlineStr">
        <is>
          <t>ИТОГО ТЕХНОЛОГИЧЕСКОЕ ОБОРУДОВАНИЕ</t>
        </is>
      </c>
      <c r="D12" s="380" t="n"/>
      <c r="E12" s="392" t="n"/>
      <c r="F12" s="382" t="n"/>
      <c r="G12" s="274" t="n">
        <v>0</v>
      </c>
    </row>
    <row r="13" ht="19.5" customHeight="1" s="326">
      <c r="A13" s="372" t="n"/>
      <c r="B13" s="380" t="n"/>
      <c r="C13" s="380" t="inlineStr">
        <is>
          <t>Всего по разделу «Оборудование»</t>
        </is>
      </c>
      <c r="D13" s="380" t="n"/>
      <c r="E13" s="392" t="n"/>
      <c r="F13" s="382" t="n"/>
      <c r="G13" s="274">
        <f>G10+G12</f>
        <v/>
      </c>
    </row>
    <row r="14">
      <c r="A14" s="308" t="n"/>
      <c r="B14" s="303" t="n"/>
      <c r="C14" s="308" t="n"/>
      <c r="D14" s="308" t="n"/>
      <c r="E14" s="308" t="n"/>
      <c r="F14" s="308" t="n"/>
      <c r="G14" s="308" t="n"/>
    </row>
    <row r="15">
      <c r="A15" s="297" t="inlineStr">
        <is>
          <t>Составил ______________________    Д.Ю. Нефедова</t>
        </is>
      </c>
      <c r="B15" s="307" t="n"/>
      <c r="C15" s="307" t="n"/>
      <c r="D15" s="308" t="n"/>
      <c r="E15" s="308" t="n"/>
      <c r="F15" s="308" t="n"/>
      <c r="G15" s="308" t="n"/>
    </row>
    <row r="16">
      <c r="A16" s="306" t="inlineStr">
        <is>
          <t xml:space="preserve">                         (подпись, инициалы, фамилия)</t>
        </is>
      </c>
      <c r="B16" s="307" t="n"/>
      <c r="C16" s="307" t="n"/>
      <c r="D16" s="308" t="n"/>
      <c r="E16" s="308" t="n"/>
      <c r="F16" s="308" t="n"/>
      <c r="G16" s="308" t="n"/>
    </row>
    <row r="17">
      <c r="A17" s="297" t="n"/>
      <c r="B17" s="307" t="n"/>
      <c r="C17" s="307" t="n"/>
      <c r="D17" s="308" t="n"/>
      <c r="E17" s="308" t="n"/>
      <c r="F17" s="308" t="n"/>
      <c r="G17" s="308" t="n"/>
    </row>
    <row r="18">
      <c r="A18" s="297" t="inlineStr">
        <is>
          <t>Проверил ______________________        А.В. Костянецкая</t>
        </is>
      </c>
      <c r="B18" s="307" t="n"/>
      <c r="C18" s="307" t="n"/>
      <c r="D18" s="308" t="n"/>
      <c r="E18" s="308" t="n"/>
      <c r="F18" s="308" t="n"/>
      <c r="G18" s="308" t="n"/>
    </row>
    <row r="19">
      <c r="A19" s="306" t="inlineStr">
        <is>
          <t xml:space="preserve">                        (подпись, инициалы, фамилия)</t>
        </is>
      </c>
      <c r="B19" s="307" t="n"/>
      <c r="C19" s="307" t="n"/>
      <c r="D19" s="308" t="n"/>
      <c r="E19" s="308" t="n"/>
      <c r="F19" s="308" t="n"/>
      <c r="G19" s="308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C13" sqref="C13"/>
    </sheetView>
  </sheetViews>
  <sheetFormatPr baseColWidth="8" defaultColWidth="8.85546875" defaultRowHeight="15"/>
  <cols>
    <col width="14.42578125" customWidth="1" style="326" min="1" max="1"/>
    <col width="29.7109375" customWidth="1" style="326" min="2" max="2"/>
    <col width="39.140625" customWidth="1" style="326" min="3" max="3"/>
    <col width="24.5703125" customWidth="1" style="326" min="4" max="4"/>
    <col width="8.85546875" customWidth="1" style="326" min="5" max="5"/>
  </cols>
  <sheetData>
    <row r="1">
      <c r="B1" s="297" t="n"/>
      <c r="C1" s="297" t="n"/>
      <c r="D1" s="388" t="inlineStr">
        <is>
          <t>Приложение №7</t>
        </is>
      </c>
    </row>
    <row r="2">
      <c r="A2" s="388" t="n"/>
      <c r="B2" s="388" t="n"/>
      <c r="C2" s="388" t="n"/>
      <c r="D2" s="388" t="n"/>
    </row>
    <row r="3" ht="24.75" customHeight="1" s="326">
      <c r="A3" s="342" t="inlineStr">
        <is>
          <t>Расчет показателя УНЦ</t>
        </is>
      </c>
    </row>
    <row r="4" ht="24.75" customHeight="1" s="326">
      <c r="A4" s="342" t="n"/>
      <c r="B4" s="342" t="n"/>
      <c r="C4" s="342" t="n"/>
      <c r="D4" s="342" t="n"/>
    </row>
    <row r="5" ht="63.75" customHeight="1" s="326">
      <c r="A5" s="345" t="inlineStr">
        <is>
          <t xml:space="preserve">Наименование разрабатываемого показателя УНЦ - </t>
        </is>
      </c>
      <c r="D5" s="345">
        <f>'Прил.5 Расчет СМР и ОБ'!D6:J6</f>
        <v/>
      </c>
    </row>
    <row r="6" ht="19.9" customHeight="1" s="326">
      <c r="A6" s="345" t="inlineStr">
        <is>
          <t>Единица измерения  — 1 км</t>
        </is>
      </c>
      <c r="D6" s="345" t="n"/>
    </row>
    <row r="7">
      <c r="A7" s="297" t="n"/>
      <c r="B7" s="297" t="n"/>
      <c r="C7" s="297" t="n"/>
      <c r="D7" s="297" t="n"/>
    </row>
    <row r="8" ht="14.45" customHeight="1" s="326">
      <c r="A8" s="358" t="inlineStr">
        <is>
          <t>Код показателя</t>
        </is>
      </c>
      <c r="B8" s="358" t="inlineStr">
        <is>
          <t>Наименование показателя</t>
        </is>
      </c>
      <c r="C8" s="358" t="inlineStr">
        <is>
          <t>Наименование РМ, входящих в состав показателя</t>
        </is>
      </c>
      <c r="D8" s="358" t="inlineStr">
        <is>
          <t>Норматив цены на 01.01.2023, тыс.руб.</t>
        </is>
      </c>
    </row>
    <row r="9" ht="15" customHeight="1" s="326">
      <c r="A9" s="449" t="n"/>
      <c r="B9" s="449" t="n"/>
      <c r="C9" s="449" t="n"/>
      <c r="D9" s="449" t="n"/>
    </row>
    <row r="10">
      <c r="A10" s="372" t="n">
        <v>1</v>
      </c>
      <c r="B10" s="372" t="n">
        <v>2</v>
      </c>
      <c r="C10" s="372" t="n">
        <v>3</v>
      </c>
      <c r="D10" s="372" t="n">
        <v>4</v>
      </c>
    </row>
    <row r="11" ht="41.45" customHeight="1" s="326">
      <c r="A11" s="372" t="inlineStr">
        <is>
          <t>Б2-07-1</t>
        </is>
      </c>
      <c r="B11" s="372" t="inlineStr">
        <is>
          <t xml:space="preserve">УНЦ на устройство траншеи КЛ и восстановление благоустройства по трассе </t>
        </is>
      </c>
      <c r="C11" s="299">
        <f>D5</f>
        <v/>
      </c>
      <c r="D11" s="300">
        <f>'Прил.4 РМ'!C41/1000</f>
        <v/>
      </c>
      <c r="E11" s="301" t="n"/>
    </row>
    <row r="12">
      <c r="A12" s="308" t="n"/>
      <c r="B12" s="303" t="n"/>
      <c r="C12" s="308" t="n"/>
      <c r="D12" s="308" t="n"/>
    </row>
    <row r="13">
      <c r="A13" s="297" t="inlineStr">
        <is>
          <t>Составил ______________________      Д.Ю. Нефедова</t>
        </is>
      </c>
      <c r="B13" s="307" t="n"/>
      <c r="C13" s="307" t="n"/>
      <c r="D13" s="308" t="n"/>
    </row>
    <row r="14">
      <c r="A14" s="306" t="inlineStr">
        <is>
          <t xml:space="preserve">                         (подпись, инициалы, фамилия)</t>
        </is>
      </c>
      <c r="B14" s="307" t="n"/>
      <c r="C14" s="307" t="n"/>
      <c r="D14" s="308" t="n"/>
    </row>
    <row r="15">
      <c r="A15" s="297" t="n"/>
      <c r="B15" s="307" t="n"/>
      <c r="C15" s="307" t="n"/>
      <c r="D15" s="308" t="n"/>
    </row>
    <row r="16">
      <c r="A16" s="297" t="inlineStr">
        <is>
          <t>Проверил ______________________        А.В. Костянецкая</t>
        </is>
      </c>
      <c r="B16" s="307" t="n"/>
      <c r="C16" s="307" t="n"/>
      <c r="D16" s="308" t="n"/>
    </row>
    <row r="17">
      <c r="A17" s="306" t="inlineStr">
        <is>
          <t xml:space="preserve">                        (подпись, инициалы, фамилия)</t>
        </is>
      </c>
      <c r="B17" s="307" t="n"/>
      <c r="C17" s="307" t="n"/>
      <c r="D17" s="308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1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zoomScale="60" zoomScaleNormal="85" workbookViewId="0">
      <selection activeCell="C25" sqref="C25"/>
    </sheetView>
  </sheetViews>
  <sheetFormatPr baseColWidth="8" defaultRowHeight="15"/>
  <cols>
    <col width="9.140625" customWidth="1" style="326" min="1" max="1"/>
    <col width="40.7109375" customWidth="1" style="326" min="2" max="2"/>
    <col width="37.5703125" customWidth="1" style="326" min="3" max="3"/>
    <col width="32" customWidth="1" style="326" min="4" max="4"/>
    <col width="9.140625" customWidth="1" style="326" min="5" max="5"/>
  </cols>
  <sheetData>
    <row r="4" ht="15.75" customHeight="1" s="326">
      <c r="B4" s="352" t="inlineStr">
        <is>
          <t>Приложение № 10</t>
        </is>
      </c>
    </row>
    <row r="5" ht="18.75" customHeight="1" s="326">
      <c r="B5" s="263" t="n"/>
    </row>
    <row r="6" ht="15.75" customHeight="1" s="326">
      <c r="B6" s="353" t="inlineStr">
        <is>
          <t>Используемые индексы изменений сметной стоимости и нормы сопутствующих затрат</t>
        </is>
      </c>
    </row>
    <row r="7">
      <c r="B7" s="394" t="n"/>
    </row>
    <row r="8">
      <c r="B8" s="394" t="n"/>
      <c r="C8" s="394" t="n"/>
      <c r="D8" s="394" t="n"/>
      <c r="E8" s="394" t="n"/>
    </row>
    <row r="9" ht="47.25" customHeight="1" s="326">
      <c r="B9" s="358" t="inlineStr">
        <is>
          <t>Наименование индекса / норм сопутствующих затрат</t>
        </is>
      </c>
      <c r="C9" s="358" t="inlineStr">
        <is>
          <t>Дата применения и обоснование индекса / норм сопутствующих затрат</t>
        </is>
      </c>
      <c r="D9" s="358" t="inlineStr">
        <is>
          <t>Размер индекса / норма сопутствующих затрат</t>
        </is>
      </c>
    </row>
    <row r="10" ht="15.75" customHeight="1" s="326">
      <c r="B10" s="358" t="n">
        <v>1</v>
      </c>
      <c r="C10" s="358" t="n">
        <v>2</v>
      </c>
      <c r="D10" s="358" t="n">
        <v>3</v>
      </c>
    </row>
    <row r="11" ht="45" customHeight="1" s="326">
      <c r="B11" s="358" t="inlineStr">
        <is>
          <t xml:space="preserve">Индекс изменения сметной стоимости на 1 квартал 2023 года. ОЗП </t>
        </is>
      </c>
      <c r="C11" s="358" t="inlineStr">
        <is>
          <t>Письмо Минстроя России от 30.03.2023г. №17106-ИФ/09  прил.1</t>
        </is>
      </c>
      <c r="D11" s="358" t="n">
        <v>44.29</v>
      </c>
    </row>
    <row r="12" ht="29.25" customHeight="1" s="326">
      <c r="B12" s="358" t="inlineStr">
        <is>
          <t>Индекс изменения сметной стоимости на 1 квартал 2023 года. ЭМ</t>
        </is>
      </c>
      <c r="C12" s="358" t="inlineStr">
        <is>
          <t>Письмо Минстроя России от 30.03.2023г. №17106-ИФ/09  прил.1</t>
        </is>
      </c>
      <c r="D12" s="358" t="n">
        <v>10.77</v>
      </c>
    </row>
    <row r="13" ht="29.25" customHeight="1" s="326">
      <c r="B13" s="358" t="inlineStr">
        <is>
          <t>Индекс изменения сметной стоимости на 1 квартал 2023 года. МАТ</t>
        </is>
      </c>
      <c r="C13" s="358" t="inlineStr">
        <is>
          <t>Письмо Минстроя России от 30.03.2023г. №17106-ИФ/09  прил.1</t>
        </is>
      </c>
      <c r="D13" s="358" t="n">
        <v>4.39</v>
      </c>
    </row>
    <row r="14" ht="30.75" customHeight="1" s="326">
      <c r="B14" s="358" t="inlineStr">
        <is>
          <t>Индекс изменения сметной стоимости на 1 квартал 2023 года. ОБ</t>
        </is>
      </c>
      <c r="C14" s="176" t="inlineStr">
        <is>
          <t>Письмо Минстроя России от 23.02.2023г. №9791-ИФ/09 прил.6</t>
        </is>
      </c>
      <c r="D14" s="358" t="n">
        <v>6.26</v>
      </c>
    </row>
    <row r="15" ht="89.25" customHeight="1" s="326">
      <c r="B15" s="358" t="inlineStr">
        <is>
          <t>Временные здания и сооружения</t>
        </is>
      </c>
      <c r="C15" s="358" t="inlineStr">
        <is>
          <t xml:space="preserve">п.22 Приложения №1 Методики определения затрат на строительство временных зданий и сооружений   по приказу Минстроя РФ №332/пр от 19.06.2020  </t>
        </is>
      </c>
      <c r="D15" s="264" t="n">
        <v>0.039</v>
      </c>
    </row>
    <row r="16" ht="78.75" customHeight="1" s="326">
      <c r="B16" s="358" t="inlineStr">
        <is>
          <t>Дополнительные затраты при производстве строительно-монтажных работ в зимнее время</t>
        </is>
      </c>
      <c r="C16" s="358" t="inlineStr">
        <is>
      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6" s="264" t="n">
        <v>0.021</v>
      </c>
    </row>
    <row r="17" ht="31.5" customHeight="1" s="326">
      <c r="B17" s="358" t="inlineStr">
        <is>
          <t>Строительный контроль</t>
        </is>
      </c>
      <c r="C17" s="358" t="inlineStr">
        <is>
          <t>Постановление Правительства РФ от 21.06.10 г. № 468</t>
        </is>
      </c>
      <c r="D17" s="264" t="n">
        <v>0.0214</v>
      </c>
    </row>
    <row r="18" ht="31.5" customHeight="1" s="326">
      <c r="B18" s="358" t="inlineStr">
        <is>
          <t>Авторский надзор - 0,2%</t>
        </is>
      </c>
      <c r="C18" s="358" t="inlineStr">
        <is>
          <t>Приказ от 4.08.2020 № 421/пр п.173</t>
        </is>
      </c>
      <c r="D18" s="264" t="n">
        <v>0.002</v>
      </c>
    </row>
    <row r="19" ht="24" customHeight="1" s="326">
      <c r="B19" s="358" t="inlineStr">
        <is>
          <t>Непредвиденные расходы</t>
        </is>
      </c>
      <c r="C19" s="358" t="inlineStr">
        <is>
          <t>Приказ от 4.08.2020 № 421/пр п.179</t>
        </is>
      </c>
      <c r="D19" s="264" t="n">
        <v>0.03</v>
      </c>
    </row>
    <row r="20" ht="18.75" customHeight="1" s="326">
      <c r="B20" s="265" t="n"/>
    </row>
    <row r="21" ht="18.75" customHeight="1" s="326">
      <c r="B21" s="265" t="n"/>
    </row>
    <row r="22" ht="18.75" customHeight="1" s="326">
      <c r="B22" s="265" t="n"/>
    </row>
    <row r="23" ht="18.75" customHeight="1" s="326">
      <c r="B23" s="265" t="n"/>
    </row>
    <row r="26">
      <c r="B26" s="297" t="inlineStr">
        <is>
          <t>Составил ______________________        Д.Ю. Нефедова</t>
        </is>
      </c>
      <c r="C26" s="307" t="n"/>
    </row>
    <row r="27">
      <c r="B27" s="306" t="inlineStr">
        <is>
          <t xml:space="preserve">                         (подпись, инициалы, фамилия)</t>
        </is>
      </c>
      <c r="C27" s="307" t="n"/>
    </row>
    <row r="28">
      <c r="B28" s="297" t="n"/>
      <c r="C28" s="307" t="n"/>
    </row>
    <row r="29">
      <c r="B29" s="297" t="inlineStr">
        <is>
          <t>Проверил ______________________        А.В. Костянецкая</t>
        </is>
      </c>
      <c r="C29" s="307" t="n"/>
    </row>
    <row r="30">
      <c r="B30" s="306" t="inlineStr">
        <is>
          <t xml:space="preserve">                        (подпись, инициалы, фамилия)</t>
        </is>
      </c>
      <c r="C30" s="307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tabSelected="1" view="pageBreakPreview" zoomScale="60" zoomScaleNormal="100" workbookViewId="0">
      <selection activeCell="F26" sqref="F26"/>
    </sheetView>
  </sheetViews>
  <sheetFormatPr baseColWidth="8" defaultColWidth="9.140625" defaultRowHeight="15"/>
  <cols>
    <col width="44.85546875" customWidth="1" style="326" min="2" max="2"/>
    <col width="13" customWidth="1" style="326" min="3" max="3"/>
    <col width="22.85546875" customWidth="1" style="326" min="4" max="4"/>
    <col width="21.5703125" customWidth="1" style="326" min="5" max="5"/>
    <col width="53.7109375" bestFit="1" customWidth="1" style="326" min="6" max="6"/>
  </cols>
  <sheetData>
    <row r="1" s="326"/>
    <row r="2" ht="17.25" customHeight="1" s="326">
      <c r="A2" s="353" t="inlineStr">
        <is>
          <t>Расчет размера средств на оплату труда рабочих-строителей в текущем уровне цен (ФОТр.тек.)</t>
        </is>
      </c>
    </row>
    <row r="3" s="326"/>
    <row r="4" ht="18" customHeight="1" s="326">
      <c r="A4" s="327" t="inlineStr">
        <is>
          <t>Составлен в уровне цен на 01.01.2023 г.</t>
        </is>
      </c>
      <c r="B4" s="328" t="n"/>
      <c r="C4" s="328" t="n"/>
      <c r="D4" s="328" t="n"/>
      <c r="E4" s="328" t="n"/>
      <c r="F4" s="328" t="n"/>
      <c r="G4" s="328" t="n"/>
    </row>
    <row r="5" ht="15.75" customHeight="1" s="326">
      <c r="A5" s="329" t="inlineStr">
        <is>
          <t>№ пп.</t>
        </is>
      </c>
      <c r="B5" s="329" t="inlineStr">
        <is>
          <t>Наименование элемента</t>
        </is>
      </c>
      <c r="C5" s="329" t="inlineStr">
        <is>
          <t>Обозначение</t>
        </is>
      </c>
      <c r="D5" s="329" t="inlineStr">
        <is>
          <t>Формула</t>
        </is>
      </c>
      <c r="E5" s="329" t="inlineStr">
        <is>
          <t>Величина элемента</t>
        </is>
      </c>
      <c r="F5" s="329" t="inlineStr">
        <is>
          <t>Наименования обосновывающих документов</t>
        </is>
      </c>
      <c r="G5" s="328" t="n"/>
    </row>
    <row r="6" ht="15.75" customHeight="1" s="326">
      <c r="A6" s="329" t="n">
        <v>1</v>
      </c>
      <c r="B6" s="329" t="n">
        <v>2</v>
      </c>
      <c r="C6" s="329" t="n">
        <v>3</v>
      </c>
      <c r="D6" s="329" t="n">
        <v>4</v>
      </c>
      <c r="E6" s="329" t="n">
        <v>5</v>
      </c>
      <c r="F6" s="329" t="n">
        <v>6</v>
      </c>
      <c r="G6" s="328" t="n"/>
    </row>
    <row r="7" ht="110.25" customHeight="1" s="326">
      <c r="A7" s="330" t="inlineStr">
        <is>
          <t>1.1</t>
        </is>
      </c>
      <c r="B7" s="335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58" t="inlineStr">
        <is>
          <t>С1ср</t>
        </is>
      </c>
      <c r="D7" s="358" t="inlineStr">
        <is>
          <t>-</t>
        </is>
      </c>
      <c r="E7" s="333" t="n">
        <v>47872.94</v>
      </c>
      <c r="F7" s="335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28" t="n"/>
    </row>
    <row r="8" ht="31.5" customHeight="1" s="326">
      <c r="A8" s="330" t="inlineStr">
        <is>
          <t>1.2</t>
        </is>
      </c>
      <c r="B8" s="335" t="inlineStr">
        <is>
          <t>Среднегодовое нормативное число часов работы одного рабочего в месяц, часы (ч.)</t>
        </is>
      </c>
      <c r="C8" s="358" t="inlineStr">
        <is>
          <t>tср</t>
        </is>
      </c>
      <c r="D8" s="358" t="inlineStr">
        <is>
          <t>1973ч/12мес.</t>
        </is>
      </c>
      <c r="E8" s="334">
        <f>1973/12</f>
        <v/>
      </c>
      <c r="F8" s="335" t="inlineStr">
        <is>
          <t>Производственный календарь 2023 год
(40-часов.неделя)</t>
        </is>
      </c>
      <c r="G8" s="337" t="n"/>
    </row>
    <row r="9" ht="15.75" customHeight="1" s="326">
      <c r="A9" s="330" t="inlineStr">
        <is>
          <t>1.3</t>
        </is>
      </c>
      <c r="B9" s="335" t="inlineStr">
        <is>
          <t>Коэффициент увеличения</t>
        </is>
      </c>
      <c r="C9" s="358" t="inlineStr">
        <is>
          <t>Кув</t>
        </is>
      </c>
      <c r="D9" s="358" t="inlineStr">
        <is>
          <t>-</t>
        </is>
      </c>
      <c r="E9" s="334" t="n">
        <v>1</v>
      </c>
      <c r="F9" s="335" t="n"/>
      <c r="G9" s="337" t="n"/>
    </row>
    <row r="10" ht="15.75" customHeight="1" s="326">
      <c r="A10" s="330" t="inlineStr">
        <is>
          <t>1.4</t>
        </is>
      </c>
      <c r="B10" s="335" t="inlineStr">
        <is>
          <t>Средний разряд работ</t>
        </is>
      </c>
      <c r="C10" s="358" t="n"/>
      <c r="D10" s="358" t="n"/>
      <c r="E10" s="338" t="n">
        <v>3.1</v>
      </c>
      <c r="F10" s="335" t="inlineStr">
        <is>
          <t>РТМ</t>
        </is>
      </c>
      <c r="G10" s="337" t="n"/>
    </row>
    <row r="11" ht="78.75" customHeight="1" s="326">
      <c r="A11" s="330" t="inlineStr">
        <is>
          <t>1.5</t>
        </is>
      </c>
      <c r="B11" s="335" t="inlineStr">
        <is>
          <t>Тарифный коэффициент среднего разряда работ</t>
        </is>
      </c>
      <c r="C11" s="358" t="inlineStr">
        <is>
          <t>КТ</t>
        </is>
      </c>
      <c r="D11" s="358" t="inlineStr">
        <is>
          <t>-</t>
        </is>
      </c>
      <c r="E11" s="339" t="n">
        <v>1.202</v>
      </c>
      <c r="F11" s="335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28" t="n"/>
    </row>
    <row r="12" ht="78.75" customHeight="1" s="326">
      <c r="A12" s="340" t="inlineStr">
        <is>
          <t>1.6</t>
        </is>
      </c>
      <c r="B12" s="438" t="inlineStr">
        <is>
          <t>Коэффициент инфляции, определяемый поквартально</t>
        </is>
      </c>
      <c r="C12" s="341" t="inlineStr">
        <is>
          <t>Кинф</t>
        </is>
      </c>
      <c r="D12" s="341" t="inlineStr">
        <is>
          <t>-</t>
        </is>
      </c>
      <c r="E12" s="464" t="n">
        <v>1.139</v>
      </c>
      <c r="F12" s="440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37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26">
      <c r="A13" s="441" t="inlineStr">
        <is>
          <t>1.7</t>
        </is>
      </c>
      <c r="B13" s="442" t="inlineStr">
        <is>
          <t>Размер средств на оплату труда рабочих-строителей в текущем уровне цен (ФОТр.тек.), руб/чел.-ч</t>
        </is>
      </c>
      <c r="C13" s="443" t="inlineStr">
        <is>
          <t>ФОТр.тек.</t>
        </is>
      </c>
      <c r="D13" s="443" t="inlineStr">
        <is>
          <t>(С1ср/tср*КТ*Т*Кув)*Кинф</t>
        </is>
      </c>
      <c r="E13" s="444">
        <f>((E7*E9/E8)*E11)*E12</f>
        <v/>
      </c>
      <c r="F13" s="445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28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2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2025-01-24T11:54:11Z</dcterms:modified>
  <cp:lastModifiedBy>User4</cp:lastModifiedBy>
  <cp:lastPrinted>2023-11-28T08:07:45Z</cp:lastPrinted>
</cp:coreProperties>
</file>