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 3'!$A$10:$H$119</definedName>
    <definedName name="_xlnm.Print_Titles" localSheetId="2">'Прил. 3'!$8:$10</definedName>
    <definedName name="_xlnm.Print_Area" localSheetId="2">'Прил. 3'!$A$1:$H$127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ОБ'!$A$1:$J$137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0.0000"/>
    <numFmt numFmtId="166" formatCode="0.000"/>
    <numFmt numFmtId="167" formatCode="#,##0.0000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14" fontId="16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3" fontId="4" fillId="0" borderId="0" pivotButton="0" quotePrefix="0" xfId="0"/>
    <xf numFmtId="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3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5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4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5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6" min="1" max="2"/>
    <col width="51.7109375" customWidth="1" style="336" min="3" max="3"/>
    <col width="47" customWidth="1" style="336" min="4" max="4"/>
    <col width="37.42578125" customWidth="1" style="336" min="5" max="5"/>
    <col width="9.140625" customWidth="1" style="336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" customHeight="1" s="334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24" t="n"/>
      <c r="C6" s="224" t="n"/>
      <c r="D6" s="224" t="n"/>
    </row>
    <row r="7" ht="64.5" customHeight="1" s="334">
      <c r="B7" s="363" t="inlineStr">
        <is>
          <t>Наименование разрабатываемого показателя УНЦ - Устройство траншеи КЛ 330-500 кВ 1ц  (Все регионы за исключением Москвы и Санкт-Петербурга)</t>
        </is>
      </c>
    </row>
    <row r="8" ht="31.5" customHeight="1" s="334">
      <c r="B8" s="322" t="inlineStr">
        <is>
          <t xml:space="preserve">Сопоставимый уровень цен: </t>
        </is>
      </c>
      <c r="C8" s="322" t="n"/>
      <c r="D8" s="323">
        <f>D22</f>
        <v/>
      </c>
    </row>
    <row r="9" ht="15.75" customHeight="1" s="334">
      <c r="B9" s="363" t="inlineStr">
        <is>
          <t>Единица измерения  — 1 км</t>
        </is>
      </c>
    </row>
    <row r="10">
      <c r="B10" s="363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09" t="n"/>
    </row>
    <row r="12" ht="31.5" customHeight="1" s="334">
      <c r="B12" s="366" t="n">
        <v>1</v>
      </c>
      <c r="C12" s="327" t="inlineStr">
        <is>
          <t>Наименование объекта-представителя</t>
        </is>
      </c>
      <c r="D12" s="332" t="inlineStr">
        <is>
          <t>«Строительство КВЛ Ленинградская АЭС-2 – Пулковская – Южная. Корректировка»</t>
        </is>
      </c>
    </row>
    <row r="13">
      <c r="B13" s="366" t="n">
        <v>2</v>
      </c>
      <c r="C13" s="327" t="inlineStr">
        <is>
          <t>Наименование субъекта Российской Федерации</t>
        </is>
      </c>
      <c r="D13" s="366" t="inlineStr">
        <is>
          <t>г.Санкт-Петербург</t>
        </is>
      </c>
    </row>
    <row r="14">
      <c r="B14" s="366" t="n">
        <v>3</v>
      </c>
      <c r="C14" s="327" t="inlineStr">
        <is>
          <t>Климатический район и подрайон</t>
        </is>
      </c>
      <c r="D14" s="366" t="inlineStr">
        <is>
          <t>IIВ</t>
        </is>
      </c>
    </row>
    <row r="15">
      <c r="B15" s="366" t="n">
        <v>4</v>
      </c>
      <c r="C15" s="327" t="inlineStr">
        <is>
          <t>Мощность объекта</t>
        </is>
      </c>
      <c r="D15" s="366" t="n">
        <v>1.345</v>
      </c>
    </row>
    <row r="16" ht="63" customHeight="1" s="334">
      <c r="B16" s="366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 xml:space="preserve">Плиты перекрытий многопустотные, короб заземления КЗЭ-0-1х400, щиты деревянные реечные, ОПН-П-110/77-ЗУХЛ1, плиты железобетонные </t>
        </is>
      </c>
    </row>
    <row r="17" ht="63" customHeight="1" s="334">
      <c r="B17" s="366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3">
        <f>D18+D19+D21+D20</f>
        <v/>
      </c>
      <c r="E17" s="223" t="n"/>
    </row>
    <row r="18">
      <c r="B18" s="208" t="inlineStr">
        <is>
          <t>6.1</t>
        </is>
      </c>
      <c r="C18" s="327" t="inlineStr">
        <is>
          <t>строительно-монтажные работы</t>
        </is>
      </c>
      <c r="D18" s="333">
        <f>'Прил.2 Расч стоим'!F14+'Прил.2 Расч стоим'!G14</f>
        <v/>
      </c>
    </row>
    <row r="19">
      <c r="B19" s="208" t="inlineStr">
        <is>
          <t>6.2</t>
        </is>
      </c>
      <c r="C19" s="327" t="inlineStr">
        <is>
          <t>оборудование и инвентарь</t>
        </is>
      </c>
      <c r="D19" s="333">
        <f>'Прил.2 Расч стоим'!H14</f>
        <v/>
      </c>
    </row>
    <row r="20">
      <c r="B20" s="208" t="inlineStr">
        <is>
          <t>6.3</t>
        </is>
      </c>
      <c r="C20" s="327" t="inlineStr">
        <is>
          <t>пусконаладочные работы</t>
        </is>
      </c>
      <c r="D20" s="333" t="n">
        <v>0</v>
      </c>
    </row>
    <row r="21">
      <c r="B21" s="208" t="inlineStr">
        <is>
          <t>6.4</t>
        </is>
      </c>
      <c r="C21" s="207" t="inlineStr">
        <is>
          <t>прочие и лимитированные затраты</t>
        </is>
      </c>
      <c r="D21" s="333">
        <f>D18*3.9%+(D18*3.9%+D18)*2.1%</f>
        <v/>
      </c>
    </row>
    <row r="22">
      <c r="B22" s="366" t="n">
        <v>7</v>
      </c>
      <c r="C22" s="207" t="inlineStr">
        <is>
          <t>Сопоставимый уровень цен</t>
        </is>
      </c>
      <c r="D22" s="226" t="inlineStr">
        <is>
          <t>2 квартал 2017 г</t>
        </is>
      </c>
      <c r="E22" s="205" t="n"/>
    </row>
    <row r="23" ht="78.75" customHeight="1" s="334">
      <c r="B23" s="366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3">
        <f>D17</f>
        <v/>
      </c>
      <c r="E23" s="223" t="n"/>
    </row>
    <row r="24" ht="31.5" customHeight="1" s="334">
      <c r="B24" s="366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33">
        <f>D23/D15</f>
        <v/>
      </c>
      <c r="E24" s="205" t="n"/>
    </row>
    <row r="25">
      <c r="B25" s="366" t="n">
        <v>10</v>
      </c>
      <c r="C25" s="327" t="inlineStr">
        <is>
          <t>Примечание</t>
        </is>
      </c>
      <c r="D25" s="366" t="n"/>
    </row>
    <row r="26">
      <c r="B26" s="203" t="n"/>
      <c r="C26" s="202" t="n"/>
      <c r="D26" s="202" t="n"/>
    </row>
    <row r="27" ht="37.5" customHeight="1" s="334">
      <c r="B27" s="322" t="n"/>
    </row>
    <row r="28">
      <c r="B28" s="336" t="inlineStr">
        <is>
          <t>Составил ______________________    Д.Ю. Нефедова</t>
        </is>
      </c>
    </row>
    <row r="29">
      <c r="B29" s="322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32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3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6" min="1" max="1"/>
    <col width="9.140625" customWidth="1" style="336" min="2" max="2"/>
    <col width="35.28515625" customWidth="1" style="336" min="3" max="3"/>
    <col width="13.85546875" customWidth="1" style="336" min="4" max="4"/>
    <col width="24.85546875" customWidth="1" style="336" min="5" max="5"/>
    <col width="15.5703125" customWidth="1" style="336" min="6" max="6"/>
    <col width="14.85546875" customWidth="1" style="336" min="7" max="7"/>
    <col width="16.7109375" customWidth="1" style="336" min="8" max="8"/>
    <col width="13" customWidth="1" style="336" min="9" max="10"/>
    <col width="9.140625" customWidth="1" style="336" min="11" max="11"/>
  </cols>
  <sheetData>
    <row r="3">
      <c r="B3" s="361" t="inlineStr">
        <is>
          <t>Приложение № 2</t>
        </is>
      </c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29.25" customHeight="1" s="334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4">
      <c r="B8" s="229" t="n"/>
    </row>
    <row r="9" ht="15.75" customHeight="1" s="334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66" t="n"/>
      <c r="F9" s="466" t="n"/>
      <c r="G9" s="466" t="n"/>
      <c r="H9" s="466" t="n"/>
      <c r="I9" s="466" t="n"/>
      <c r="J9" s="467" t="n"/>
    </row>
    <row r="10" ht="15.75" customHeight="1" s="334">
      <c r="B10" s="468" t="n"/>
      <c r="C10" s="468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2 кв. 2017 г., тыс. руб.</t>
        </is>
      </c>
      <c r="G10" s="466" t="n"/>
      <c r="H10" s="466" t="n"/>
      <c r="I10" s="466" t="n"/>
      <c r="J10" s="467" t="n"/>
    </row>
    <row r="11" ht="31.5" customHeight="1" s="334">
      <c r="B11" s="469" t="n"/>
      <c r="C11" s="469" t="n"/>
      <c r="D11" s="469" t="n"/>
      <c r="E11" s="469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47.25" customHeight="1" s="334">
      <c r="B12" s="325" t="n">
        <v>1</v>
      </c>
      <c r="C12" s="366">
        <f>'Прил.1 Сравнит табл'!D16</f>
        <v/>
      </c>
      <c r="D12" s="326" t="inlineStr">
        <is>
          <t>02-07-01</t>
        </is>
      </c>
      <c r="E12" s="327" t="inlineStr">
        <is>
          <t xml:space="preserve">Строительные работы на участке от СМ 1 до ПС Пулковская (СПб) </t>
        </is>
      </c>
      <c r="F12" s="328" t="n">
        <v>12088.85611848</v>
      </c>
      <c r="G12" s="328" t="n">
        <v>0.98688</v>
      </c>
      <c r="H12" s="328" t="n"/>
      <c r="I12" s="328" t="n"/>
      <c r="J12" s="329">
        <f>SUM(F12:I12)</f>
        <v/>
      </c>
    </row>
    <row r="13" ht="63" customHeight="1" s="334">
      <c r="B13" s="325" t="n">
        <v>2</v>
      </c>
      <c r="C13" s="469" t="n"/>
      <c r="D13" s="326" t="inlineStr">
        <is>
          <t>02-07-02</t>
        </is>
      </c>
      <c r="E13" s="327" t="inlineStr">
        <is>
          <t>Приобретение и монтаж кабеля 330кВ КЛ Пулковская-Южная (СПб.)</t>
        </is>
      </c>
      <c r="F13" s="328" t="n"/>
      <c r="G13" s="328" t="n">
        <v>1886.4255056</v>
      </c>
      <c r="H13" s="328" t="n">
        <v>0</v>
      </c>
      <c r="I13" s="328" t="n"/>
      <c r="J13" s="329">
        <f>SUM(F13:I13)</f>
        <v/>
      </c>
    </row>
    <row r="14" ht="15.75" customHeight="1" s="334">
      <c r="B14" s="365" t="inlineStr">
        <is>
          <t>Всего по объекту:</t>
        </is>
      </c>
      <c r="C14" s="466" t="n"/>
      <c r="D14" s="466" t="n"/>
      <c r="E14" s="467" t="n"/>
      <c r="F14" s="331">
        <f>SUM(F12:F13)</f>
        <v/>
      </c>
      <c r="G14" s="331">
        <f>SUM(G12:G13)</f>
        <v/>
      </c>
      <c r="H14" s="331">
        <f>SUM(H12:H13)</f>
        <v/>
      </c>
      <c r="I14" s="331" t="n"/>
      <c r="J14" s="331">
        <f>SUM(F14:I14)</f>
        <v/>
      </c>
    </row>
    <row r="15" ht="15.75" customHeight="1" s="334">
      <c r="B15" s="365" t="inlineStr">
        <is>
          <t>Всего по объекту в сопоставимом уровне цен 2 кв. 2017г:</t>
        </is>
      </c>
      <c r="C15" s="466" t="n"/>
      <c r="D15" s="466" t="n"/>
      <c r="E15" s="467" t="n"/>
      <c r="F15" s="331">
        <f>F14</f>
        <v/>
      </c>
      <c r="G15" s="331">
        <f>G14</f>
        <v/>
      </c>
      <c r="H15" s="331">
        <f>H14</f>
        <v/>
      </c>
      <c r="I15" s="331">
        <f>'Прил.1 Сравнит табл'!D21</f>
        <v/>
      </c>
      <c r="J15" s="331">
        <f>SUM(F15:I15)</f>
        <v/>
      </c>
    </row>
    <row r="16" ht="15" customHeight="1" s="334"/>
    <row r="17" ht="15" customHeight="1" s="334"/>
    <row r="18" ht="15" customHeight="1" s="334"/>
    <row r="19" ht="15" customHeight="1" s="334">
      <c r="C19" s="310" t="inlineStr">
        <is>
          <t>Составил ______________________     Д.Ю. Нефедова</t>
        </is>
      </c>
      <c r="D19" s="320" t="n"/>
      <c r="E19" s="320" t="n"/>
    </row>
    <row r="20" ht="15" customHeight="1" s="334">
      <c r="C20" s="319" t="inlineStr">
        <is>
          <t xml:space="preserve">                         (подпись, инициалы, фамилия)</t>
        </is>
      </c>
      <c r="D20" s="320" t="n"/>
      <c r="E20" s="320" t="n"/>
    </row>
    <row r="21" ht="15" customHeight="1" s="334">
      <c r="C21" s="310" t="n"/>
      <c r="D21" s="320" t="n"/>
      <c r="E21" s="320" t="n"/>
    </row>
    <row r="22" ht="15" customHeight="1" s="334">
      <c r="C22" s="310" t="inlineStr">
        <is>
          <t>Проверил ______________________        А.В. Костянецкая</t>
        </is>
      </c>
      <c r="D22" s="320" t="n"/>
      <c r="E22" s="320" t="n"/>
    </row>
    <row r="23" ht="15" customHeight="1" s="334">
      <c r="C23" s="319" t="inlineStr">
        <is>
          <t xml:space="preserve">                        (подпись, инициалы, фамилия)</t>
        </is>
      </c>
      <c r="D23" s="320" t="n"/>
      <c r="E23" s="320" t="n"/>
    </row>
    <row r="24" ht="15" customHeight="1" s="334"/>
    <row r="25" ht="15" customHeight="1" s="334"/>
    <row r="26" ht="15" customHeight="1" s="334"/>
    <row r="27" ht="15" customHeight="1" s="334"/>
    <row r="28" ht="15" customHeight="1" s="334"/>
    <row r="29" ht="15" customHeight="1" s="334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126"/>
  <sheetViews>
    <sheetView view="pageBreakPreview" topLeftCell="A100" zoomScale="85" workbookViewId="0">
      <selection activeCell="D122" sqref="D122"/>
    </sheetView>
  </sheetViews>
  <sheetFormatPr baseColWidth="8" defaultColWidth="9.140625" defaultRowHeight="15.75"/>
  <cols>
    <col width="9.140625" customWidth="1" style="336" min="1" max="1"/>
    <col width="12.5703125" customWidth="1" style="336" min="2" max="2"/>
    <col width="22.42578125" customWidth="1" style="336" min="3" max="3"/>
    <col width="49.7109375" customWidth="1" style="336" min="4" max="4"/>
    <col width="10.140625" customWidth="1" style="336" min="5" max="5"/>
    <col width="20.7109375" customWidth="1" style="336" min="6" max="6"/>
    <col width="20" customWidth="1" style="336" min="7" max="7"/>
    <col width="16.7109375" customWidth="1" style="336" min="8" max="8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34">
      <c r="A4" s="265" t="n"/>
      <c r="B4" s="265" t="n"/>
      <c r="C4" s="370" t="n"/>
    </row>
    <row r="5">
      <c r="A5" s="363" t="n"/>
    </row>
    <row r="6" ht="33.75" customHeight="1" s="334">
      <c r="A6" s="369" t="inlineStr">
        <is>
          <t>Наименование разрабатываемого показателя УНЦ -  Устройство траншеи КЛ 330-500 кВ 1ц (Москва, Санкт-Петербург)</t>
        </is>
      </c>
    </row>
    <row r="7">
      <c r="A7" s="266" t="n"/>
      <c r="B7" s="266" t="n"/>
      <c r="C7" s="266" t="n"/>
      <c r="D7" s="266" t="n"/>
      <c r="E7" s="266" t="n"/>
      <c r="F7" s="266" t="n"/>
      <c r="G7" s="266" t="n"/>
      <c r="H7" s="266" t="n"/>
    </row>
    <row r="8" ht="38.25" customHeight="1" s="334">
      <c r="A8" s="366" t="inlineStr">
        <is>
          <t>п/п</t>
        </is>
      </c>
      <c r="B8" s="366" t="inlineStr">
        <is>
          <t>№ЛСР</t>
        </is>
      </c>
      <c r="C8" s="366" t="inlineStr">
        <is>
          <t>Код ресурса</t>
        </is>
      </c>
      <c r="D8" s="366" t="inlineStr">
        <is>
          <t>Наименование ресурса</t>
        </is>
      </c>
      <c r="E8" s="366" t="inlineStr">
        <is>
          <t>Ед. изм.</t>
        </is>
      </c>
      <c r="F8" s="366" t="inlineStr">
        <is>
          <t>Кол-во единиц по данным объекта-представителя</t>
        </is>
      </c>
      <c r="G8" s="366" t="inlineStr">
        <is>
          <t>Сметная стоимость в ценах на 01.01.2000 (руб.)</t>
        </is>
      </c>
      <c r="H8" s="467" t="n"/>
    </row>
    <row r="9" ht="40.5" customHeight="1" s="334">
      <c r="A9" s="469" t="n"/>
      <c r="B9" s="469" t="n"/>
      <c r="C9" s="469" t="n"/>
      <c r="D9" s="469" t="n"/>
      <c r="E9" s="469" t="n"/>
      <c r="F9" s="469" t="n"/>
      <c r="G9" s="366" t="inlineStr">
        <is>
          <t>на ед.изм.</t>
        </is>
      </c>
      <c r="H9" s="366" t="inlineStr">
        <is>
          <t>общая</t>
        </is>
      </c>
    </row>
    <row r="10">
      <c r="A10" s="367" t="n">
        <v>1</v>
      </c>
      <c r="B10" s="367" t="n"/>
      <c r="C10" s="367" t="n">
        <v>2</v>
      </c>
      <c r="D10" s="367" t="inlineStr">
        <is>
          <t>З</t>
        </is>
      </c>
      <c r="E10" s="367" t="n">
        <v>4</v>
      </c>
      <c r="F10" s="367" t="n">
        <v>5</v>
      </c>
      <c r="G10" s="367" t="n">
        <v>6</v>
      </c>
      <c r="H10" s="367" t="n">
        <v>7</v>
      </c>
    </row>
    <row r="11" customFormat="1" s="283">
      <c r="A11" s="372" t="inlineStr">
        <is>
          <t>Затраты труда рабочих</t>
        </is>
      </c>
      <c r="B11" s="466" t="n"/>
      <c r="C11" s="466" t="n"/>
      <c r="D11" s="466" t="n"/>
      <c r="E11" s="467" t="n"/>
      <c r="F11" s="470">
        <f>SUM(F12:F23)</f>
        <v/>
      </c>
      <c r="G11" s="248" t="n"/>
      <c r="H11" s="470">
        <f>SUM(H12:H23)</f>
        <v/>
      </c>
    </row>
    <row r="12">
      <c r="A12" s="413" t="n">
        <v>1</v>
      </c>
      <c r="B12" s="263" t="n"/>
      <c r="C12" s="256" t="inlineStr">
        <is>
          <t>1-2-0</t>
        </is>
      </c>
      <c r="D12" s="257" t="inlineStr">
        <is>
          <t>Затраты труда рабочих (средний разряд работы 2,0)</t>
        </is>
      </c>
      <c r="E12" s="413" t="inlineStr">
        <is>
          <t>чел.-ч</t>
        </is>
      </c>
      <c r="F12" s="471" t="n">
        <v>1944.76</v>
      </c>
      <c r="G12" s="249" t="n">
        <v>7.8</v>
      </c>
      <c r="H12" s="249">
        <f>ROUND(F12*G12,2)</f>
        <v/>
      </c>
    </row>
    <row r="13">
      <c r="A13" s="413" t="n">
        <v>2</v>
      </c>
      <c r="B13" s="263" t="n"/>
      <c r="C13" s="256" t="inlineStr">
        <is>
          <t>1-3-0</t>
        </is>
      </c>
      <c r="D13" s="257" t="inlineStr">
        <is>
          <t>Затраты труда рабочих (средний разряд работы 3,0)</t>
        </is>
      </c>
      <c r="E13" s="413" t="inlineStr">
        <is>
          <t>чел.-ч</t>
        </is>
      </c>
      <c r="F13" s="471" t="n">
        <v>1562.35</v>
      </c>
      <c r="G13" s="249" t="n">
        <v>8.529999999999999</v>
      </c>
      <c r="H13" s="249">
        <f>ROUND(F13*G13,2)</f>
        <v/>
      </c>
    </row>
    <row r="14">
      <c r="A14" s="413" t="n">
        <v>3</v>
      </c>
      <c r="B14" s="263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413" t="inlineStr">
        <is>
          <t>чел.-ч</t>
        </is>
      </c>
      <c r="F14" s="471" t="n">
        <v>810.48</v>
      </c>
      <c r="G14" s="249" t="n">
        <v>9.619999999999999</v>
      </c>
      <c r="H14" s="249">
        <f>ROUND(F14*G14,2)</f>
        <v/>
      </c>
    </row>
    <row r="15">
      <c r="A15" s="413" t="n">
        <v>4</v>
      </c>
      <c r="B15" s="263" t="n"/>
      <c r="C15" s="256" t="inlineStr">
        <is>
          <t>1-1-5</t>
        </is>
      </c>
      <c r="D15" s="257" t="inlineStr">
        <is>
          <t>Затраты труда рабочих (средний разряд работы 1,5)</t>
        </is>
      </c>
      <c r="E15" s="413" t="inlineStr">
        <is>
          <t>чел.-ч</t>
        </is>
      </c>
      <c r="F15" s="471">
        <f>332.36+51.4403202</f>
        <v/>
      </c>
      <c r="G15" s="249" t="n">
        <v>7.5</v>
      </c>
      <c r="H15" s="249">
        <f>ROUND(F15*G15,2)</f>
        <v/>
      </c>
    </row>
    <row r="16">
      <c r="A16" s="413" t="n">
        <v>5</v>
      </c>
      <c r="B16" s="263" t="n"/>
      <c r="C16" s="256" t="inlineStr">
        <is>
          <t>1-3-7</t>
        </is>
      </c>
      <c r="D16" s="257" t="inlineStr">
        <is>
          <t>Затраты труда рабочих (средний разряд работы 3,7)</t>
        </is>
      </c>
      <c r="E16" s="413" t="inlineStr">
        <is>
          <t>чел.-ч</t>
        </is>
      </c>
      <c r="F16" s="471" t="n">
        <v>186.56</v>
      </c>
      <c r="G16" s="249" t="n">
        <v>9.289999999999999</v>
      </c>
      <c r="H16" s="249">
        <f>ROUND(F16*G16,2)</f>
        <v/>
      </c>
    </row>
    <row r="17">
      <c r="A17" s="413" t="n">
        <v>6</v>
      </c>
      <c r="B17" s="263" t="n"/>
      <c r="C17" s="256" t="inlineStr">
        <is>
          <t>1-5-0</t>
        </is>
      </c>
      <c r="D17" s="257" t="inlineStr">
        <is>
          <t>Затраты труда рабочих (средний разряд работы 5,0)</t>
        </is>
      </c>
      <c r="E17" s="413" t="inlineStr">
        <is>
          <t>чел.-ч</t>
        </is>
      </c>
      <c r="F17" s="471" t="n">
        <v>99</v>
      </c>
      <c r="G17" s="249" t="n">
        <v>11.09</v>
      </c>
      <c r="H17" s="249">
        <f>ROUND(F17*G17,2)</f>
        <v/>
      </c>
    </row>
    <row r="18">
      <c r="A18" s="413" t="n">
        <v>7</v>
      </c>
      <c r="B18" s="263" t="n"/>
      <c r="C18" s="256" t="inlineStr">
        <is>
          <t>1-2-5</t>
        </is>
      </c>
      <c r="D18" s="257" t="inlineStr">
        <is>
          <t>Затраты труда рабочих (средний разряд работы 2,5)</t>
        </is>
      </c>
      <c r="E18" s="413" t="inlineStr">
        <is>
          <t>чел.-ч</t>
        </is>
      </c>
      <c r="F18" s="471" t="n">
        <v>88.53</v>
      </c>
      <c r="G18" s="249" t="n">
        <v>8.17</v>
      </c>
      <c r="H18" s="249">
        <f>ROUND(F18*G18,2)</f>
        <v/>
      </c>
    </row>
    <row r="19">
      <c r="A19" s="413" t="n">
        <v>8</v>
      </c>
      <c r="B19" s="263" t="n"/>
      <c r="C19" s="256" t="inlineStr">
        <is>
          <t>1-6-0</t>
        </is>
      </c>
      <c r="D19" s="257" t="inlineStr">
        <is>
          <t>Затраты труда рабочих (средний разряд работы 6,0)</t>
        </is>
      </c>
      <c r="E19" s="413" t="inlineStr">
        <is>
          <t>чел.-ч</t>
        </is>
      </c>
      <c r="F19" s="471" t="n">
        <v>43.16</v>
      </c>
      <c r="G19" s="249" t="n">
        <v>12.92</v>
      </c>
      <c r="H19" s="249">
        <f>ROUND(F19*G19,2)</f>
        <v/>
      </c>
    </row>
    <row r="20">
      <c r="A20" s="413" t="n">
        <v>9</v>
      </c>
      <c r="B20" s="263" t="n"/>
      <c r="C20" s="256" t="inlineStr">
        <is>
          <t>1-3-8</t>
        </is>
      </c>
      <c r="D20" s="257" t="inlineStr">
        <is>
          <t>Затраты труда рабочих (средний разряд работы 3,8)</t>
        </is>
      </c>
      <c r="E20" s="413" t="inlineStr">
        <is>
          <t>чел.-ч</t>
        </is>
      </c>
      <c r="F20" s="471" t="n">
        <v>37.79</v>
      </c>
      <c r="G20" s="249" t="n">
        <v>9.4</v>
      </c>
      <c r="H20" s="249">
        <f>ROUND(F20*G20,2)</f>
        <v/>
      </c>
    </row>
    <row r="21">
      <c r="A21" s="413" t="n">
        <v>10</v>
      </c>
      <c r="B21" s="263" t="n"/>
      <c r="C21" s="256" t="inlineStr">
        <is>
          <t>1-3-1</t>
        </is>
      </c>
      <c r="D21" s="257" t="inlineStr">
        <is>
          <t>Затраты труда рабочих (средний разряд работы 3,1)</t>
        </is>
      </c>
      <c r="E21" s="413" t="inlineStr">
        <is>
          <t>чел.-ч</t>
        </is>
      </c>
      <c r="F21" s="471" t="n">
        <v>22.25</v>
      </c>
      <c r="G21" s="249" t="n">
        <v>8.640000000000001</v>
      </c>
      <c r="H21" s="249">
        <f>ROUND(F21*G21,2)</f>
        <v/>
      </c>
    </row>
    <row r="22">
      <c r="A22" s="413" t="n">
        <v>11</v>
      </c>
      <c r="B22" s="263" t="n"/>
      <c r="C22" s="256" t="inlineStr">
        <is>
          <t>1-3-6</t>
        </is>
      </c>
      <c r="D22" s="257" t="inlineStr">
        <is>
          <t>Затраты труда рабочих (средний разряд работы 3,6)</t>
        </is>
      </c>
      <c r="E22" s="413" t="inlineStr">
        <is>
          <t>чел.-ч</t>
        </is>
      </c>
      <c r="F22" s="471" t="n">
        <v>13.72</v>
      </c>
      <c r="G22" s="249" t="n">
        <v>9.18</v>
      </c>
      <c r="H22" s="249">
        <f>ROUND(F22*G22,2)</f>
        <v/>
      </c>
    </row>
    <row r="23">
      <c r="A23" s="413" t="n">
        <v>12</v>
      </c>
      <c r="B23" s="263" t="n"/>
      <c r="C23" s="256" t="inlineStr">
        <is>
          <t>1-2-3</t>
        </is>
      </c>
      <c r="D23" s="257" t="inlineStr">
        <is>
          <t>Затраты труда рабочих (средний разряд работы 2,3)</t>
        </is>
      </c>
      <c r="E23" s="413" t="inlineStr">
        <is>
          <t>чел.-ч</t>
        </is>
      </c>
      <c r="F23" s="471" t="n">
        <v>8.33</v>
      </c>
      <c r="G23" s="249" t="n">
        <v>8.02</v>
      </c>
      <c r="H23" s="249">
        <f>ROUND(F23*G23,2)</f>
        <v/>
      </c>
    </row>
    <row r="24">
      <c r="A24" s="371" t="inlineStr">
        <is>
          <t>Затраты труда машинистов</t>
        </is>
      </c>
      <c r="B24" s="466" t="n"/>
      <c r="C24" s="466" t="n"/>
      <c r="D24" s="466" t="n"/>
      <c r="E24" s="467" t="n"/>
      <c r="F24" s="372" t="n"/>
      <c r="G24" s="250" t="n"/>
      <c r="H24" s="470">
        <f>H25</f>
        <v/>
      </c>
    </row>
    <row r="25">
      <c r="A25" s="413" t="n">
        <v>13</v>
      </c>
      <c r="B25" s="373" t="n"/>
      <c r="C25" s="256" t="n">
        <v>2</v>
      </c>
      <c r="D25" s="257" t="inlineStr">
        <is>
          <t>Затраты труда машинистов</t>
        </is>
      </c>
      <c r="E25" s="413" t="inlineStr">
        <is>
          <t>чел.-ч</t>
        </is>
      </c>
      <c r="F25" s="471">
        <f>1643.08+1607.62</f>
        <v/>
      </c>
      <c r="G25" s="249" t="n"/>
      <c r="H25" s="472">
        <f>20557.39+21702.87</f>
        <v/>
      </c>
    </row>
    <row r="26" customFormat="1" s="283">
      <c r="A26" s="372" t="inlineStr">
        <is>
          <t>Машины и механизмы</t>
        </is>
      </c>
      <c r="B26" s="466" t="n"/>
      <c r="C26" s="466" t="n"/>
      <c r="D26" s="466" t="n"/>
      <c r="E26" s="467" t="n"/>
      <c r="F26" s="372" t="n"/>
      <c r="G26" s="250" t="n"/>
      <c r="H26" s="470">
        <f>SUM(H27:H59)</f>
        <v/>
      </c>
    </row>
    <row r="27">
      <c r="A27" s="413" t="n">
        <v>14</v>
      </c>
      <c r="B27" s="373" t="n"/>
      <c r="C27" s="256" t="inlineStr">
        <is>
          <t>91.14.02-004</t>
        </is>
      </c>
      <c r="D27" s="257" t="inlineStr">
        <is>
          <t>Автомобили бортовые, грузоподъемность до 15т</t>
        </is>
      </c>
      <c r="E27" s="413" t="inlineStr">
        <is>
          <t>маш.-ч</t>
        </is>
      </c>
      <c r="F27" s="413" t="n">
        <v>1584.58</v>
      </c>
      <c r="G27" s="262" t="n">
        <v>92.94</v>
      </c>
      <c r="H27" s="249">
        <f>ROUND(F27*G27,2)</f>
        <v/>
      </c>
    </row>
    <row r="28" ht="25.5" customHeight="1" s="334">
      <c r="A28" s="413" t="n">
        <v>15</v>
      </c>
      <c r="B28" s="373" t="n"/>
      <c r="C28" s="256" t="inlineStr">
        <is>
          <t>91.01.05-085</t>
        </is>
      </c>
      <c r="D28" s="257" t="inlineStr">
        <is>
          <t>Экскаваторы одноковшовые дизельные на гусеничном ходу, емкость ковша 0,5 м3</t>
        </is>
      </c>
      <c r="E28" s="413" t="inlineStr">
        <is>
          <t>маш.час</t>
        </is>
      </c>
      <c r="F28" s="413" t="n">
        <v>600.97</v>
      </c>
      <c r="G28" s="262" t="n">
        <v>100</v>
      </c>
      <c r="H28" s="249">
        <f>ROUND(F28*G28,2)</f>
        <v/>
      </c>
    </row>
    <row r="29" ht="38.25" customFormat="1" customHeight="1" s="283">
      <c r="A29" s="413" t="n">
        <v>16</v>
      </c>
      <c r="B29" s="373" t="n"/>
      <c r="C29" s="256" t="inlineStr">
        <is>
          <t>91.18.01-007</t>
        </is>
      </c>
      <c r="D29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9" s="413" t="inlineStr">
        <is>
          <t>маш.час</t>
        </is>
      </c>
      <c r="F29" s="413" t="n">
        <v>243.12</v>
      </c>
      <c r="G29" s="262" t="n">
        <v>90</v>
      </c>
      <c r="H29" s="249">
        <f>ROUND(F29*G29,2)</f>
        <v/>
      </c>
    </row>
    <row r="30" customFormat="1" s="283">
      <c r="A30" s="413" t="n">
        <v>17</v>
      </c>
      <c r="B30" s="373" t="n"/>
      <c r="C30" s="256" t="inlineStr">
        <is>
          <t>91.01.01-035</t>
        </is>
      </c>
      <c r="D30" s="257" t="inlineStr">
        <is>
          <t>Бульдозеры, мощность 79 кВт (108 л.с.)</t>
        </is>
      </c>
      <c r="E30" s="413" t="inlineStr">
        <is>
          <t>маш.час</t>
        </is>
      </c>
      <c r="F30" s="413" t="n">
        <v>229.76</v>
      </c>
      <c r="G30" s="262" t="n">
        <v>79.06999999999999</v>
      </c>
      <c r="H30" s="249">
        <f>ROUND(F30*G30,2)</f>
        <v/>
      </c>
    </row>
    <row r="31" customFormat="1" s="283">
      <c r="A31" s="413" t="n">
        <v>18</v>
      </c>
      <c r="B31" s="373" t="n"/>
      <c r="C31" s="256" t="inlineStr">
        <is>
          <t>91.01.01-034</t>
        </is>
      </c>
      <c r="D31" s="257" t="inlineStr">
        <is>
          <t>Бульдозеры, мощность 59 кВт (80 л.с.)</t>
        </is>
      </c>
      <c r="E31" s="413" t="inlineStr">
        <is>
          <t>маш.час</t>
        </is>
      </c>
      <c r="F31" s="413" t="n">
        <v>192.1</v>
      </c>
      <c r="G31" s="262" t="n">
        <v>59.47</v>
      </c>
      <c r="H31" s="249">
        <f>ROUND(F31*G31,2)</f>
        <v/>
      </c>
    </row>
    <row r="32" ht="25.5" customFormat="1" customHeight="1" s="283">
      <c r="A32" s="413" t="n">
        <v>19</v>
      </c>
      <c r="B32" s="373" t="n"/>
      <c r="C32" s="256" t="inlineStr">
        <is>
          <t>91.05.05-014</t>
        </is>
      </c>
      <c r="D32" s="257" t="inlineStr">
        <is>
          <t>Краны на автомобильном ходу, грузоподъемность 10 т</t>
        </is>
      </c>
      <c r="E32" s="413" t="inlineStr">
        <is>
          <t>маш.час</t>
        </is>
      </c>
      <c r="F32" s="413" t="n">
        <v>93.37</v>
      </c>
      <c r="G32" s="262" t="n">
        <v>111.99</v>
      </c>
      <c r="H32" s="249">
        <f>ROUND(F32*G32,2)</f>
        <v/>
      </c>
    </row>
    <row r="33" customFormat="1" s="283">
      <c r="A33" s="413" t="n">
        <v>20</v>
      </c>
      <c r="B33" s="373" t="n"/>
      <c r="C33" s="256" t="inlineStr">
        <is>
          <t>91.14.02-001</t>
        </is>
      </c>
      <c r="D33" s="257" t="inlineStr">
        <is>
          <t>Автомобили бортовые, грузоподъемность: до 5 т</t>
        </is>
      </c>
      <c r="E33" s="413" t="inlineStr">
        <is>
          <t>маш.час</t>
        </is>
      </c>
      <c r="F33" s="413" t="n">
        <v>84.44</v>
      </c>
      <c r="G33" s="262" t="n">
        <v>65.70999999999999</v>
      </c>
      <c r="H33" s="249">
        <f>ROUND(F33*G33,2)</f>
        <v/>
      </c>
    </row>
    <row r="34" ht="25.5" customFormat="1" customHeight="1" s="283">
      <c r="A34" s="413" t="n">
        <v>21</v>
      </c>
      <c r="B34" s="373" t="n"/>
      <c r="C34" s="256" t="inlineStr">
        <is>
          <t>91.01.05-106</t>
        </is>
      </c>
      <c r="D34" s="257" t="inlineStr">
        <is>
          <t>Экскаваторы одноковшовые дизельные на пневмоколесном ходу, емкость ковша 0,25 м3</t>
        </is>
      </c>
      <c r="E34" s="413" t="inlineStr">
        <is>
          <t>маш.час</t>
        </is>
      </c>
      <c r="F34" s="413" t="n">
        <v>77.28</v>
      </c>
      <c r="G34" s="262" t="n">
        <v>70.01000000000001</v>
      </c>
      <c r="H34" s="249">
        <f>ROUND(F34*G34,2)</f>
        <v/>
      </c>
    </row>
    <row r="35" customFormat="1" s="283">
      <c r="A35" s="413" t="n">
        <v>22</v>
      </c>
      <c r="B35" s="373" t="n"/>
      <c r="C35" s="256" t="inlineStr">
        <is>
          <t>91.05.01-017</t>
        </is>
      </c>
      <c r="D35" s="257" t="inlineStr">
        <is>
          <t>Краны башенные, грузоподъемность 8 т</t>
        </is>
      </c>
      <c r="E35" s="413" t="inlineStr">
        <is>
          <t>маш.час</t>
        </is>
      </c>
      <c r="F35" s="413" t="n">
        <v>53.26</v>
      </c>
      <c r="G35" s="262" t="n">
        <v>86.40000000000001</v>
      </c>
      <c r="H35" s="249">
        <f>ROUND(F35*G35,2)</f>
        <v/>
      </c>
    </row>
    <row r="36" customFormat="1" s="283">
      <c r="A36" s="413" t="n">
        <v>23</v>
      </c>
      <c r="B36" s="373" t="n"/>
      <c r="C36" s="256" t="inlineStr">
        <is>
          <t>91.08.11-011</t>
        </is>
      </c>
      <c r="D36" s="257" t="inlineStr">
        <is>
          <t>Заливщик швов на базе автомобиля</t>
        </is>
      </c>
      <c r="E36" s="413" t="inlineStr">
        <is>
          <t>маш.час</t>
        </is>
      </c>
      <c r="F36" s="413" t="n">
        <v>18.76</v>
      </c>
      <c r="G36" s="262" t="n">
        <v>175.25</v>
      </c>
      <c r="H36" s="249">
        <f>ROUND(F36*G36,2)</f>
        <v/>
      </c>
    </row>
    <row r="37">
      <c r="A37" s="413" t="n">
        <v>24</v>
      </c>
      <c r="B37" s="373" t="n"/>
      <c r="C37" s="256" t="inlineStr">
        <is>
          <t>91.14.03-002</t>
        </is>
      </c>
      <c r="D37" s="257" t="inlineStr">
        <is>
          <t>Автомобили-самосвалы, грузоподъемность до 10 т</t>
        </is>
      </c>
      <c r="E37" s="413" t="inlineStr">
        <is>
          <t>маш.-ч</t>
        </is>
      </c>
      <c r="F37" s="413" t="n">
        <v>23.04</v>
      </c>
      <c r="G37" s="262" t="n">
        <v>87.48999999999999</v>
      </c>
      <c r="H37" s="249">
        <f>ROUND(F37*G37,2)</f>
        <v/>
      </c>
    </row>
    <row r="38" ht="25.5" customFormat="1" customHeight="1" s="283">
      <c r="A38" s="413" t="n">
        <v>25</v>
      </c>
      <c r="B38" s="373" t="n"/>
      <c r="C38" s="256" t="inlineStr">
        <is>
          <t>91.05.05-014</t>
        </is>
      </c>
      <c r="D38" s="257" t="inlineStr">
        <is>
          <t>Краны на автомобильном ходу, грузоподъемность 10 т</t>
        </is>
      </c>
      <c r="E38" s="413" t="inlineStr">
        <is>
          <t>маш.-ч</t>
        </is>
      </c>
      <c r="F38" s="413" t="n">
        <v>16</v>
      </c>
      <c r="G38" s="262" t="n">
        <v>111.99</v>
      </c>
      <c r="H38" s="249">
        <f>ROUND(F38*G38,2)</f>
        <v/>
      </c>
    </row>
    <row r="39" customFormat="1" s="283">
      <c r="A39" s="413" t="n">
        <v>26</v>
      </c>
      <c r="B39" s="373" t="n"/>
      <c r="C39" s="256" t="inlineStr">
        <is>
          <t>91.08.03-030</t>
        </is>
      </c>
      <c r="D39" s="257" t="inlineStr">
        <is>
          <t>Катки на пневмоколесном ходу, масса 30 т</t>
        </is>
      </c>
      <c r="E39" s="413" t="inlineStr">
        <is>
          <t>маш.час</t>
        </is>
      </c>
      <c r="F39" s="413" t="n">
        <v>3.75</v>
      </c>
      <c r="G39" s="262" t="n">
        <v>206.01</v>
      </c>
      <c r="H39" s="249">
        <f>ROUND(F39*G39,2)</f>
        <v/>
      </c>
    </row>
    <row r="40" customFormat="1" s="283">
      <c r="A40" s="413" t="n">
        <v>27</v>
      </c>
      <c r="B40" s="373" t="n"/>
      <c r="C40" s="256" t="inlineStr">
        <is>
          <t>91.06.06-042</t>
        </is>
      </c>
      <c r="D40" s="257" t="inlineStr">
        <is>
          <t>Подъемники гидравлические высотой подъема: 10 м</t>
        </is>
      </c>
      <c r="E40" s="413" t="inlineStr">
        <is>
          <t>маш.час</t>
        </is>
      </c>
      <c r="F40" s="413" t="n">
        <v>18.11</v>
      </c>
      <c r="G40" s="262" t="n">
        <v>29.6</v>
      </c>
      <c r="H40" s="249">
        <f>ROUND(F40*G40,2)</f>
        <v/>
      </c>
    </row>
    <row r="41" ht="25.5" customFormat="1" customHeight="1" s="283">
      <c r="A41" s="413" t="n">
        <v>28</v>
      </c>
      <c r="B41" s="373" t="n"/>
      <c r="C41" s="256" t="inlineStr">
        <is>
          <t>91.08.09-023</t>
        </is>
      </c>
      <c r="D41" s="257" t="inlineStr">
        <is>
          <t>Трамбовки пневматические при работе от: передвижных компрессорных станций</t>
        </is>
      </c>
      <c r="E41" s="413" t="inlineStr">
        <is>
          <t>маш.час</t>
        </is>
      </c>
      <c r="F41" s="413" t="n">
        <v>971.4</v>
      </c>
      <c r="G41" s="262" t="n">
        <v>0.55</v>
      </c>
      <c r="H41" s="249">
        <f>ROUND(F41*G41,2)</f>
        <v/>
      </c>
    </row>
    <row r="42" customFormat="1" s="283">
      <c r="A42" s="413" t="n">
        <v>29</v>
      </c>
      <c r="B42" s="373" t="n"/>
      <c r="C42" s="256" t="inlineStr">
        <is>
          <t>91.06.05-011</t>
        </is>
      </c>
      <c r="D42" s="257" t="inlineStr">
        <is>
          <t>Погрузчик, грузоподъемность 5 т</t>
        </is>
      </c>
      <c r="E42" s="413" t="inlineStr">
        <is>
          <t>маш.час</t>
        </is>
      </c>
      <c r="F42" s="413" t="n">
        <v>5.17</v>
      </c>
      <c r="G42" s="262" t="n">
        <v>89.98999999999999</v>
      </c>
      <c r="H42" s="249">
        <f>ROUND(F42*G42,2)</f>
        <v/>
      </c>
    </row>
    <row r="43" customFormat="1" s="283">
      <c r="A43" s="413" t="n">
        <v>30</v>
      </c>
      <c r="B43" s="373" t="n"/>
      <c r="C43" s="256" t="inlineStr">
        <is>
          <t>91.05.06-007</t>
        </is>
      </c>
      <c r="D43" s="257" t="inlineStr">
        <is>
          <t>Краны на гусеничном ходу, грузоподъемность 25 т</t>
        </is>
      </c>
      <c r="E43" s="413" t="inlineStr">
        <is>
          <t>маш.час</t>
        </is>
      </c>
      <c r="F43" s="413" t="n">
        <v>3.3</v>
      </c>
      <c r="G43" s="262" t="n">
        <v>120.04</v>
      </c>
      <c r="H43" s="249">
        <f>ROUND(F43*G43,2)</f>
        <v/>
      </c>
    </row>
    <row r="44" customFormat="1" s="283">
      <c r="A44" s="413" t="n">
        <v>31</v>
      </c>
      <c r="B44" s="373" t="n"/>
      <c r="C44" s="256" t="inlineStr">
        <is>
          <t>91.21.22-341</t>
        </is>
      </c>
      <c r="D44" s="257" t="inlineStr">
        <is>
          <t>Рефлектометр</t>
        </is>
      </c>
      <c r="E44" s="413" t="inlineStr">
        <is>
          <t>маш.час</t>
        </is>
      </c>
      <c r="F44" s="413" t="n">
        <v>31.65</v>
      </c>
      <c r="G44" s="262" t="n">
        <v>10.62</v>
      </c>
      <c r="H44" s="249">
        <f>ROUND(F44*G44,2)</f>
        <v/>
      </c>
    </row>
    <row r="45" customFormat="1" s="283">
      <c r="A45" s="413" t="n">
        <v>32</v>
      </c>
      <c r="B45" s="373" t="n"/>
      <c r="C45" s="256" t="inlineStr">
        <is>
          <t>91.08.05-082</t>
        </is>
      </c>
      <c r="D45" s="257" t="inlineStr">
        <is>
          <t>Пневмобетоноукладчики: 3,3 м3</t>
        </is>
      </c>
      <c r="E45" s="413" t="inlineStr">
        <is>
          <t>маш.час</t>
        </is>
      </c>
      <c r="F45" s="413" t="n">
        <v>2.64</v>
      </c>
      <c r="G45" s="262" t="n">
        <v>72.38</v>
      </c>
      <c r="H45" s="249">
        <f>ROUND(F45*G45,2)</f>
        <v/>
      </c>
    </row>
    <row r="46" ht="25.5" customFormat="1" customHeight="1" s="283">
      <c r="A46" s="413" t="n">
        <v>33</v>
      </c>
      <c r="B46" s="373" t="n"/>
      <c r="C46" s="256" t="inlineStr">
        <is>
          <t>91.17.04-194</t>
        </is>
      </c>
      <c r="D46" s="257" t="inlineStr">
        <is>
          <t>Сварочный аппарат для сварки оптических кабелей со скалывателем</t>
        </is>
      </c>
      <c r="E46" s="413" t="inlineStr">
        <is>
          <t>маш.час</t>
        </is>
      </c>
      <c r="F46" s="413" t="n">
        <v>14.39</v>
      </c>
      <c r="G46" s="262" t="n">
        <v>12.14</v>
      </c>
      <c r="H46" s="249">
        <f>ROUND(F46*G46,2)</f>
        <v/>
      </c>
    </row>
    <row r="47" ht="25.5" customFormat="1" customHeight="1" s="283">
      <c r="A47" s="413" t="n">
        <v>34</v>
      </c>
      <c r="B47" s="373" t="n"/>
      <c r="C47" s="256" t="inlineStr">
        <is>
          <t>91.17.04-036</t>
        </is>
      </c>
      <c r="D47" s="257" t="inlineStr">
        <is>
          <t>Агрегаты сварочные передвижные номинальным сварочным током 250-400 А: с дизельным двигателем</t>
        </is>
      </c>
      <c r="E47" s="413" t="inlineStr">
        <is>
          <t>маш.час</t>
        </is>
      </c>
      <c r="F47" s="413" t="n">
        <v>11.76</v>
      </c>
      <c r="G47" s="262" t="n">
        <v>14</v>
      </c>
      <c r="H47" s="249">
        <f>ROUND(F47*G47,2)</f>
        <v/>
      </c>
    </row>
    <row r="48" ht="25.5" customFormat="1" customHeight="1" s="283">
      <c r="A48" s="413" t="n">
        <v>35</v>
      </c>
      <c r="B48" s="373" t="n"/>
      <c r="C48" s="256" t="inlineStr">
        <is>
          <t>91.01.02-004</t>
        </is>
      </c>
      <c r="D48" s="257" t="inlineStr">
        <is>
          <t>Автогрейдеры: среднего типа, мощность 99 кВт (135 л.с.)</t>
        </is>
      </c>
      <c r="E48" s="413" t="inlineStr">
        <is>
          <t>маш.час</t>
        </is>
      </c>
      <c r="F48" s="413" t="n">
        <v>0.9399999999999999</v>
      </c>
      <c r="G48" s="262" t="n">
        <v>123</v>
      </c>
      <c r="H48" s="249">
        <f>ROUND(F48*G48,2)</f>
        <v/>
      </c>
    </row>
    <row r="49" customFormat="1" s="283">
      <c r="A49" s="413" t="n">
        <v>36</v>
      </c>
      <c r="B49" s="373" t="n"/>
      <c r="C49" s="256" t="inlineStr">
        <is>
          <t>91.14.04-002</t>
        </is>
      </c>
      <c r="D49" s="257" t="inlineStr">
        <is>
          <t>Тягачи седельные, грузоподъемность: 15 т</t>
        </is>
      </c>
      <c r="E49" s="413" t="inlineStr">
        <is>
          <t>маш.час</t>
        </is>
      </c>
      <c r="F49" s="413" t="n">
        <v>1.03</v>
      </c>
      <c r="G49" s="262" t="n">
        <v>94.38</v>
      </c>
      <c r="H49" s="249">
        <f>ROUND(F49*G49,2)</f>
        <v/>
      </c>
    </row>
    <row r="50" customFormat="1" s="283">
      <c r="A50" s="413" t="n">
        <v>37</v>
      </c>
      <c r="B50" s="373" t="n"/>
      <c r="C50" s="256" t="inlineStr">
        <is>
          <t>91.14.03-001</t>
        </is>
      </c>
      <c r="D50" s="257" t="inlineStr">
        <is>
          <t>Автомобиль-самосвал, грузоподъемность: до 7 т</t>
        </is>
      </c>
      <c r="E50" s="413" t="inlineStr">
        <is>
          <t>маш.час</t>
        </is>
      </c>
      <c r="F50" s="413" t="n">
        <v>0.87</v>
      </c>
      <c r="G50" s="262" t="n">
        <v>89.54000000000001</v>
      </c>
      <c r="H50" s="249">
        <f>ROUND(F50*G50,2)</f>
        <v/>
      </c>
    </row>
    <row r="51" customFormat="1" s="283">
      <c r="A51" s="413" t="n">
        <v>38</v>
      </c>
      <c r="B51" s="373" t="n"/>
      <c r="C51" s="256" t="inlineStr">
        <is>
          <t>91.07.04-002</t>
        </is>
      </c>
      <c r="D51" s="257" t="inlineStr">
        <is>
          <t>Вибратор поверхностный</t>
        </is>
      </c>
      <c r="E51" s="413" t="inlineStr">
        <is>
          <t>маш.час</t>
        </is>
      </c>
      <c r="F51" s="413" t="n">
        <v>141.97</v>
      </c>
      <c r="G51" s="262" t="n">
        <v>0.5</v>
      </c>
      <c r="H51" s="249">
        <f>ROUND(F51*G51,2)</f>
        <v/>
      </c>
    </row>
    <row r="52" ht="25.5" customFormat="1" customHeight="1" s="283">
      <c r="A52" s="413" t="n">
        <v>39</v>
      </c>
      <c r="B52" s="373" t="n"/>
      <c r="C52" s="256" t="inlineStr">
        <is>
          <t>91.17.04-233</t>
        </is>
      </c>
      <c r="D52" s="257" t="inlineStr">
        <is>
          <t>Установки для сварки: ручной дуговой (постоянного тока)</t>
        </is>
      </c>
      <c r="E52" s="413" t="inlineStr">
        <is>
          <t>маш.час</t>
        </is>
      </c>
      <c r="F52" s="413" t="n">
        <v>8.57</v>
      </c>
      <c r="G52" s="262" t="n">
        <v>8.1</v>
      </c>
      <c r="H52" s="249">
        <f>ROUND(F52*G52,2)</f>
        <v/>
      </c>
    </row>
    <row r="53" customFormat="1" s="283">
      <c r="A53" s="413" t="n">
        <v>40</v>
      </c>
      <c r="B53" s="373" t="n"/>
      <c r="C53" s="256" t="inlineStr">
        <is>
          <t>91.08.04-021</t>
        </is>
      </c>
      <c r="D53" s="257" t="inlineStr">
        <is>
          <t>Котлы битумные: передвижные 400 л</t>
        </is>
      </c>
      <c r="E53" s="413" t="inlineStr">
        <is>
          <t>маш.час</t>
        </is>
      </c>
      <c r="F53" s="413" t="n">
        <v>1.54</v>
      </c>
      <c r="G53" s="262" t="n">
        <v>30</v>
      </c>
      <c r="H53" s="249">
        <f>ROUND(F53*G53,2)</f>
        <v/>
      </c>
    </row>
    <row r="54" customFormat="1" s="283">
      <c r="A54" s="413" t="n">
        <v>41</v>
      </c>
      <c r="B54" s="373" t="n"/>
      <c r="C54" s="256" t="inlineStr">
        <is>
          <t>91.13.01-038</t>
        </is>
      </c>
      <c r="D54" s="257" t="inlineStr">
        <is>
          <t>Машины поливомоечные 6000 л</t>
        </is>
      </c>
      <c r="E54" s="413" t="inlineStr">
        <is>
          <t>маш.час</t>
        </is>
      </c>
      <c r="F54" s="413" t="n">
        <v>0.39</v>
      </c>
      <c r="G54" s="262" t="n">
        <v>110</v>
      </c>
      <c r="H54" s="249">
        <f>ROUND(F54*G54,2)</f>
        <v/>
      </c>
    </row>
    <row r="55" ht="25.5" customFormat="1" customHeight="1" s="283">
      <c r="A55" s="413" t="n">
        <v>42</v>
      </c>
      <c r="B55" s="373" t="n"/>
      <c r="C55" s="256" t="inlineStr">
        <is>
          <t>91.06.05-057</t>
        </is>
      </c>
      <c r="D55" s="257" t="inlineStr">
        <is>
          <t>Погрузчики одноковшовые универсальные фронтальные пневмоколесные, грузоподъемность 3 т</t>
        </is>
      </c>
      <c r="E55" s="413" t="inlineStr">
        <is>
          <t>маш.час</t>
        </is>
      </c>
      <c r="F55" s="413" t="n">
        <v>0.46</v>
      </c>
      <c r="G55" s="262" t="n">
        <v>90.40000000000001</v>
      </c>
      <c r="H55" s="249">
        <f>ROUND(F55*G55,2)</f>
        <v/>
      </c>
    </row>
    <row r="56" customFormat="1" s="283">
      <c r="A56" s="413" t="n">
        <v>43</v>
      </c>
      <c r="B56" s="373" t="n"/>
      <c r="C56" s="256" t="inlineStr">
        <is>
          <t>91.14.05-002</t>
        </is>
      </c>
      <c r="D56" s="257" t="inlineStr">
        <is>
          <t>Полуприцепы-тяжеловозы, грузоподъемность: 40 т</t>
        </is>
      </c>
      <c r="E56" s="413" t="inlineStr">
        <is>
          <t>маш.час</t>
        </is>
      </c>
      <c r="F56" s="413" t="n">
        <v>1.03</v>
      </c>
      <c r="G56" s="262" t="n">
        <v>28.65</v>
      </c>
      <c r="H56" s="249">
        <f>ROUND(F56*G56,2)</f>
        <v/>
      </c>
    </row>
    <row r="57" ht="38.25" customFormat="1" customHeight="1" s="283">
      <c r="A57" s="413" t="n">
        <v>44</v>
      </c>
      <c r="B57" s="373" t="n"/>
      <c r="C57" s="256" t="inlineStr">
        <is>
          <t>91.18.01-012</t>
        </is>
      </c>
      <c r="D57" s="257" t="inlineStr">
        <is>
          <t>Компрессоры передвижные с электродвигателем давлением 600 кПа (6 ат), производительность: до 3,5 м3/мин</t>
        </is>
      </c>
      <c r="E57" s="413" t="inlineStr">
        <is>
          <t>маш.час</t>
        </is>
      </c>
      <c r="F57" s="413" t="n">
        <v>0.35</v>
      </c>
      <c r="G57" s="262" t="n">
        <v>32.5</v>
      </c>
      <c r="H57" s="249">
        <f>ROUND(F57*G57,2)</f>
        <v/>
      </c>
    </row>
    <row r="58" ht="25.5" customFormat="1" customHeight="1" s="283">
      <c r="A58" s="413" t="n">
        <v>45</v>
      </c>
      <c r="B58" s="373" t="n"/>
      <c r="C58" s="256" t="inlineStr">
        <is>
          <t>91.08.09-024</t>
        </is>
      </c>
      <c r="D58" s="257" t="inlineStr">
        <is>
          <t>Трамбовки пневматические при работе от: стационарного компрессора</t>
        </is>
      </c>
      <c r="E58" s="413" t="inlineStr">
        <is>
          <t>маш.час</t>
        </is>
      </c>
      <c r="F58" s="413" t="n">
        <v>0.35</v>
      </c>
      <c r="G58" s="262" t="n">
        <v>4.91</v>
      </c>
      <c r="H58" s="249">
        <f>ROUND(F58*G58,2)</f>
        <v/>
      </c>
    </row>
    <row r="59" customFormat="1" s="283">
      <c r="A59" s="413" t="n">
        <v>46</v>
      </c>
      <c r="B59" s="373" t="n"/>
      <c r="C59" s="256" t="inlineStr">
        <is>
          <t>91.21.16-012</t>
        </is>
      </c>
      <c r="D59" s="257" t="inlineStr">
        <is>
          <t>Пресс: гидравлический с электроприводом</t>
        </is>
      </c>
      <c r="E59" s="413" t="inlineStr">
        <is>
          <t>маш.час</t>
        </is>
      </c>
      <c r="F59" s="413" t="n">
        <v>0.97</v>
      </c>
      <c r="G59" s="262" t="n">
        <v>1.11</v>
      </c>
      <c r="H59" s="249">
        <f>ROUND(F59*G59,2)</f>
        <v/>
      </c>
    </row>
    <row r="60" ht="15" customHeight="1" s="334">
      <c r="A60" s="371" t="inlineStr">
        <is>
          <t>Оборудование</t>
        </is>
      </c>
      <c r="B60" s="466" t="n"/>
      <c r="C60" s="466" t="n"/>
      <c r="D60" s="466" t="n"/>
      <c r="E60" s="467" t="n"/>
      <c r="F60" s="248" t="n"/>
      <c r="G60" s="248" t="n"/>
      <c r="H60" s="470" t="n">
        <v>0</v>
      </c>
    </row>
    <row r="61">
      <c r="A61" s="372" t="inlineStr">
        <is>
          <t>Материалы</t>
        </is>
      </c>
      <c r="B61" s="466" t="n"/>
      <c r="C61" s="466" t="n"/>
      <c r="D61" s="466" t="n"/>
      <c r="E61" s="467" t="n"/>
      <c r="F61" s="372" t="n"/>
      <c r="G61" s="250" t="n"/>
      <c r="H61" s="470">
        <f>SUM(H62:H119)</f>
        <v/>
      </c>
    </row>
    <row r="62">
      <c r="A62" s="264" t="n">
        <v>47</v>
      </c>
      <c r="B62" s="373" t="n"/>
      <c r="C62" s="256" t="inlineStr">
        <is>
          <t>Прайс из СД ОП</t>
        </is>
      </c>
      <c r="D62" s="257" t="inlineStr">
        <is>
          <t>Маркероискатель 2273М-ID</t>
        </is>
      </c>
      <c r="E62" s="413" t="inlineStr">
        <is>
          <t>шт.</t>
        </is>
      </c>
      <c r="F62" s="413" t="n">
        <v>1</v>
      </c>
      <c r="G62" s="249" t="n">
        <v>56055.56</v>
      </c>
      <c r="H62" s="249" t="n">
        <v>56055.56</v>
      </c>
    </row>
    <row r="63">
      <c r="A63" s="264" t="n">
        <v>48</v>
      </c>
      <c r="B63" s="373" t="n"/>
      <c r="C63" s="256" t="inlineStr">
        <is>
          <t>Прайс из СД ОП</t>
        </is>
      </c>
      <c r="D63" s="257" t="inlineStr">
        <is>
          <t>Маркеры 1422-XR/ID 60984/30</t>
        </is>
      </c>
      <c r="E63" s="413" t="inlineStr">
        <is>
          <t>шт.</t>
        </is>
      </c>
      <c r="F63" s="413" t="n">
        <v>109</v>
      </c>
      <c r="G63" s="249" t="n">
        <v>389.53</v>
      </c>
      <c r="H63" s="249" t="n">
        <v>42458.77</v>
      </c>
    </row>
    <row r="64" ht="25.5" customHeight="1" s="334">
      <c r="A64" s="264" t="n">
        <v>49</v>
      </c>
      <c r="B64" s="373" t="n"/>
      <c r="C64" s="256" t="inlineStr">
        <is>
          <t>20.1.02.23-0194</t>
        </is>
      </c>
      <c r="D64" s="257" t="inlineStr">
        <is>
          <t>Устройство транспозиции экранов кабеля с ОПН для кабеля с сечением жилы 400 мм2</t>
        </is>
      </c>
      <c r="E64" s="413" t="inlineStr">
        <is>
          <t>шт.</t>
        </is>
      </c>
      <c r="F64" s="413" t="n">
        <v>3</v>
      </c>
      <c r="G64" s="249" t="n">
        <v>96319.44</v>
      </c>
      <c r="H64" s="249" t="n">
        <v>288958.32</v>
      </c>
    </row>
    <row r="65" ht="25.5" customHeight="1" s="334">
      <c r="A65" s="264" t="n">
        <v>50</v>
      </c>
      <c r="B65" s="373" t="n"/>
      <c r="C65" s="256" t="inlineStr">
        <is>
          <t>04.3.02.04-0143</t>
        </is>
      </c>
      <c r="D65" s="257" t="inlineStr">
        <is>
          <t>Смеси бетонные, БСГ, тяжелого бетона на гранитном щебне, фракция 5-20 мм, класс: В7,5 (М100), П3</t>
        </is>
      </c>
      <c r="E65" s="413" t="inlineStr">
        <is>
          <t>м3</t>
        </is>
      </c>
      <c r="F65" s="413" t="n">
        <v>311.508</v>
      </c>
      <c r="G65" s="249" t="n">
        <v>517.14</v>
      </c>
      <c r="H65" s="249" t="n">
        <v>161093.25</v>
      </c>
    </row>
    <row r="66" ht="25.5" customHeight="1" s="334">
      <c r="A66" s="264" t="n">
        <v>51</v>
      </c>
      <c r="B66" s="373" t="n"/>
      <c r="C66" s="256" t="inlineStr">
        <is>
          <t>05.1.08.06-0071</t>
        </is>
      </c>
      <c r="D66" s="257" t="inlineStr">
        <is>
          <t>Плиты железобетонные для покрытий автомобильных дорог</t>
        </is>
      </c>
      <c r="E66" s="413" t="inlineStr">
        <is>
          <t>м3</t>
        </is>
      </c>
      <c r="F66" s="413" t="n">
        <v>108</v>
      </c>
      <c r="G66" s="249" t="n">
        <v>964</v>
      </c>
      <c r="H66" s="249" t="n">
        <v>104112</v>
      </c>
    </row>
    <row r="67" ht="25.5" customHeight="1" s="334">
      <c r="A67" s="264" t="n">
        <v>52</v>
      </c>
      <c r="B67" s="373" t="n"/>
      <c r="C67" s="256" t="inlineStr">
        <is>
          <t>02.3.01.02-0003</t>
        </is>
      </c>
      <c r="D67" s="257" t="inlineStr">
        <is>
          <t>Песок для строительных работ природный 50%; обогащенный 50%</t>
        </is>
      </c>
      <c r="E67" s="413" t="inlineStr">
        <is>
          <t>м3</t>
        </is>
      </c>
      <c r="F67" s="413" t="n">
        <v>1872.068</v>
      </c>
      <c r="G67" s="249" t="n">
        <v>54.95</v>
      </c>
      <c r="H67" s="249" t="n">
        <v>102870.14</v>
      </c>
    </row>
    <row r="68" ht="51" customHeight="1" s="334">
      <c r="A68" s="264" t="n">
        <v>53</v>
      </c>
      <c r="B68" s="373" t="n"/>
      <c r="C68" s="256" t="inlineStr">
        <is>
          <t>05.1.06.04-0001</t>
        </is>
      </c>
      <c r="D68" s="257" t="inlineStr">
        <is>
          <t>Плиты перекрытий многопустотные преднапряженные безопалубочного формования из бетона класса: В 22,5, пролетом 1,8-5,4 м, ПБШ, с расходом стали 15,7 кг/м3 (серия ИЖ-723)</t>
        </is>
      </c>
      <c r="E68" s="413" t="inlineStr">
        <is>
          <t>м3</t>
        </is>
      </c>
      <c r="F68" s="413" t="n">
        <v>125.5</v>
      </c>
      <c r="G68" s="249" t="n">
        <v>812.38</v>
      </c>
      <c r="H68" s="249" t="n">
        <v>101953.69</v>
      </c>
    </row>
    <row r="69" ht="25.5" customHeight="1" s="334">
      <c r="A69" s="264" t="n">
        <v>54</v>
      </c>
      <c r="B69" s="373" t="n"/>
      <c r="C69" s="256" t="inlineStr">
        <is>
          <t>11.2.13.06-0001</t>
        </is>
      </c>
      <c r="D69" s="257" t="inlineStr">
        <is>
          <t>Щиты деревянные реечные, толщиной 27 мм, для покрытия полов, тип 1</t>
        </is>
      </c>
      <c r="E69" s="413" t="inlineStr">
        <is>
          <t>м2</t>
        </is>
      </c>
      <c r="F69" s="413" t="n">
        <v>384.9</v>
      </c>
      <c r="G69" s="249" t="n">
        <v>232.31</v>
      </c>
      <c r="H69" s="249" t="n">
        <v>89416.12</v>
      </c>
    </row>
    <row r="70" ht="25.5" customHeight="1" s="334">
      <c r="A70" s="264" t="n">
        <v>55</v>
      </c>
      <c r="B70" s="373" t="n"/>
      <c r="C70" s="256" t="inlineStr">
        <is>
          <t>20.2.02.07-0011</t>
        </is>
      </c>
      <c r="D70" s="257" t="inlineStr">
        <is>
          <t>Капа кабельная марки 102L055-R05/S, диаметром 65-95 мм</t>
        </is>
      </c>
      <c r="E70" s="413" t="inlineStr">
        <is>
          <t>100 шт.</t>
        </is>
      </c>
      <c r="F70" s="413" t="n">
        <v>3.38</v>
      </c>
      <c r="G70" s="249" t="n">
        <v>12790</v>
      </c>
      <c r="H70" s="249" t="n">
        <v>43230.2</v>
      </c>
    </row>
    <row r="71" ht="38.25" customHeight="1" s="334">
      <c r="A71" s="264" t="n">
        <v>56</v>
      </c>
      <c r="B71" s="373" t="n"/>
      <c r="C71" s="256" t="inlineStr">
        <is>
          <t>24.3.05.02-0125</t>
        </is>
      </c>
      <c r="D71" s="257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E71" s="413" t="inlineStr">
        <is>
          <t>шт.</t>
        </is>
      </c>
      <c r="F71" s="413" t="n">
        <v>84</v>
      </c>
      <c r="G71" s="249" t="n">
        <v>427.5</v>
      </c>
      <c r="H71" s="249" t="n">
        <v>35910</v>
      </c>
    </row>
    <row r="72">
      <c r="A72" s="264" t="n">
        <v>57</v>
      </c>
      <c r="B72" s="373" t="n"/>
      <c r="C72" s="256" t="inlineStr">
        <is>
          <t>01.7.14.01-0002</t>
        </is>
      </c>
      <c r="D72" s="257" t="inlineStr">
        <is>
          <t>Пенополиуретан (ППУ) полимер Вилан-405 (баллон 1л)</t>
        </is>
      </c>
      <c r="E72" s="413" t="inlineStr">
        <is>
          <t>шт</t>
        </is>
      </c>
      <c r="F72" s="413" t="n">
        <v>676</v>
      </c>
      <c r="G72" s="249" t="n">
        <v>45.15</v>
      </c>
      <c r="H72" s="249" t="n">
        <v>30521.4</v>
      </c>
    </row>
    <row r="73" ht="25.5" customHeight="1" s="334">
      <c r="A73" s="264" t="n">
        <v>58</v>
      </c>
      <c r="B73" s="373" t="n"/>
      <c r="C73" s="256" t="inlineStr">
        <is>
          <t>20.2.02.07-0011</t>
        </is>
      </c>
      <c r="D73" s="257" t="inlineStr">
        <is>
          <t>Капа кабельная марки 102L055-R05/S, диаметром 65-95 мм</t>
        </is>
      </c>
      <c r="E73" s="413" t="inlineStr">
        <is>
          <t>100 шт</t>
        </is>
      </c>
      <c r="F73" s="413" t="n">
        <v>2.01</v>
      </c>
      <c r="G73" s="249" t="n">
        <v>12790</v>
      </c>
      <c r="H73" s="249" t="n">
        <v>25707.9</v>
      </c>
    </row>
    <row r="74" ht="25.5" customHeight="1" s="334">
      <c r="A74" s="264" t="n">
        <v>59</v>
      </c>
      <c r="B74" s="373" t="n"/>
      <c r="C74" s="256" t="inlineStr">
        <is>
          <t>02.2.04.03-0013</t>
        </is>
      </c>
      <c r="D74" s="257" t="inlineStr">
        <is>
          <t>Смесь песчано-гравийная природная обогащенная с содержанием гравия: 35-50%</t>
        </is>
      </c>
      <c r="E74" s="413" t="inlineStr">
        <is>
          <t>м3</t>
        </is>
      </c>
      <c r="F74" s="413" t="n">
        <v>306.9</v>
      </c>
      <c r="G74" s="249" t="n">
        <v>72</v>
      </c>
      <c r="H74" s="249" t="n">
        <v>22096.8</v>
      </c>
    </row>
    <row r="75" ht="25.5" customHeight="1" s="334">
      <c r="A75" s="264" t="n">
        <v>60</v>
      </c>
      <c r="B75" s="373" t="n"/>
      <c r="C75" s="256" t="inlineStr">
        <is>
          <t>04.3.02.13-0211</t>
        </is>
      </c>
      <c r="D75" s="257" t="inlineStr">
        <is>
          <t>Цементно-песчаные смеси для кладочных работ рецепт: № 1, марка 25</t>
        </is>
      </c>
      <c r="E75" s="413" t="inlineStr">
        <is>
          <t>т</t>
        </is>
      </c>
      <c r="F75" s="413" t="n">
        <v>34.21</v>
      </c>
      <c r="G75" s="249" t="n">
        <v>503.8</v>
      </c>
      <c r="H75" s="249" t="n">
        <v>17235</v>
      </c>
    </row>
    <row r="76" ht="25.5" customHeight="1" s="334">
      <c r="A76" s="264" t="n">
        <v>61</v>
      </c>
      <c r="B76" s="373" t="n"/>
      <c r="C76" s="256" t="inlineStr">
        <is>
          <t>Прайс из СД ОП</t>
        </is>
      </c>
      <c r="D76" s="257" t="inlineStr">
        <is>
          <t>Комплект для ремонта оболочек кабеля CRSM 143/36-1000/239Комплект для ремонта оболочек кабеля</t>
        </is>
      </c>
      <c r="E76" s="413" t="inlineStr">
        <is>
          <t>шт.</t>
        </is>
      </c>
      <c r="F76" s="413" t="n">
        <v>15</v>
      </c>
      <c r="G76" s="249" t="n">
        <v>859.39</v>
      </c>
      <c r="H76" s="249" t="n">
        <v>12890.85</v>
      </c>
    </row>
    <row r="77">
      <c r="A77" s="264" t="n">
        <v>62</v>
      </c>
      <c r="B77" s="373" t="n"/>
      <c r="C77" s="256" t="inlineStr">
        <is>
          <t>12.1.02.08-0071</t>
        </is>
      </c>
      <c r="D77" s="257" t="inlineStr">
        <is>
          <t>Гидростеклоизол ТПП-3,5, стеклоткань</t>
        </is>
      </c>
      <c r="E77" s="413" t="inlineStr">
        <is>
          <t>м2</t>
        </is>
      </c>
      <c r="F77" s="413" t="n">
        <v>273.46</v>
      </c>
      <c r="G77" s="249" t="n">
        <v>15.56</v>
      </c>
      <c r="H77" s="249" t="n">
        <v>4255.04</v>
      </c>
    </row>
    <row r="78" ht="25.5" customHeight="1" s="334">
      <c r="A78" s="264" t="n">
        <v>63</v>
      </c>
      <c r="B78" s="373" t="n"/>
      <c r="C78" s="256" t="inlineStr">
        <is>
          <t>08.3.08.02-0052</t>
        </is>
      </c>
      <c r="D78" s="257" t="inlineStr">
        <is>
          <t>Сталь угловая равнополочная, марка стали: ВСт3кп2, размером 50x50x5 мм</t>
        </is>
      </c>
      <c r="E78" s="413" t="inlineStr">
        <is>
          <t>т</t>
        </is>
      </c>
      <c r="F78" s="413" t="n">
        <v>0.5039</v>
      </c>
      <c r="G78" s="249" t="n">
        <v>5763</v>
      </c>
      <c r="H78" s="249" t="n">
        <v>2903.98</v>
      </c>
    </row>
    <row r="79">
      <c r="A79" s="264" t="n">
        <v>64</v>
      </c>
      <c r="B79" s="373" t="n"/>
      <c r="C79" s="256" t="inlineStr">
        <is>
          <t>01.7.07.12-0024</t>
        </is>
      </c>
      <c r="D79" s="257" t="inlineStr">
        <is>
          <t>Пленка полиэтиленовая толщиной: 0,15 мм</t>
        </is>
      </c>
      <c r="E79" s="413" t="inlineStr">
        <is>
          <t>м2</t>
        </is>
      </c>
      <c r="F79" s="413" t="n">
        <v>739.45</v>
      </c>
      <c r="G79" s="249" t="n">
        <v>3.62</v>
      </c>
      <c r="H79" s="249" t="n">
        <v>2676.81</v>
      </c>
    </row>
    <row r="80" ht="38.25" customHeight="1" s="334">
      <c r="A80" s="264" t="n">
        <v>65</v>
      </c>
      <c r="B80" s="373" t="n"/>
      <c r="C80" s="256" t="inlineStr">
        <is>
          <t>04.3.02.04-0155</t>
        </is>
      </c>
      <c r="D80" s="257" t="inlineStr">
        <is>
          <t>Смеси бетонные, БСГ, тяжелого бетона на гранитном щебне, фракция 5-20 мм, класс: В30 (М400), П3, F200, W8</t>
        </is>
      </c>
      <c r="E80" s="413" t="inlineStr">
        <is>
          <t>м3</t>
        </is>
      </c>
      <c r="F80" s="413" t="n">
        <v>2.8356</v>
      </c>
      <c r="G80" s="249" t="n">
        <v>787.34</v>
      </c>
      <c r="H80" s="249" t="n">
        <v>2232.58</v>
      </c>
    </row>
    <row r="81" ht="25.5" customHeight="1" s="334">
      <c r="A81" s="264" t="n">
        <v>66</v>
      </c>
      <c r="B81" s="373" t="n"/>
      <c r="C81" s="256" t="inlineStr">
        <is>
          <t>01.2.03.03-0107</t>
        </is>
      </c>
      <c r="D81" s="257" t="inlineStr">
        <is>
          <t>Мастика клеящая морозостойкая битумно-масляная МБ-50</t>
        </is>
      </c>
      <c r="E81" s="413" t="inlineStr">
        <is>
          <t>т</t>
        </is>
      </c>
      <c r="F81" s="413" t="n">
        <v>0.52206</v>
      </c>
      <c r="G81" s="249" t="n">
        <v>3960</v>
      </c>
      <c r="H81" s="249" t="n">
        <v>2067.36</v>
      </c>
    </row>
    <row r="82" ht="51" customHeight="1" s="334">
      <c r="A82" s="264" t="n">
        <v>67</v>
      </c>
      <c r="B82" s="373" t="n"/>
      <c r="C82" s="256" t="inlineStr">
        <is>
          <t>07.2.07.12-0021</t>
        </is>
      </c>
      <c r="D82" s="25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82" s="413" t="inlineStr">
        <is>
          <t>т</t>
        </is>
      </c>
      <c r="F82" s="413" t="n">
        <v>0.1925</v>
      </c>
      <c r="G82" s="249" t="n">
        <v>7008.5</v>
      </c>
      <c r="H82" s="249" t="n">
        <v>1349.14</v>
      </c>
    </row>
    <row r="83" ht="25.5" customHeight="1" s="334">
      <c r="A83" s="264" t="n">
        <v>68</v>
      </c>
      <c r="B83" s="373" t="n"/>
      <c r="C83" s="256" t="inlineStr">
        <is>
          <t>08.3.07.01-0076</t>
        </is>
      </c>
      <c r="D83" s="257" t="inlineStr">
        <is>
          <t>Сталь полосовая, марка стали: Ст3сп шириной 50-200 мм толщиной 4-5 мм</t>
        </is>
      </c>
      <c r="E83" s="413" t="inlineStr">
        <is>
          <t>т</t>
        </is>
      </c>
      <c r="F83" s="413" t="n">
        <v>0.222</v>
      </c>
      <c r="G83" s="249" t="n">
        <v>5000</v>
      </c>
      <c r="H83" s="249" t="n">
        <v>1110</v>
      </c>
    </row>
    <row r="84">
      <c r="A84" s="264" t="n">
        <v>69</v>
      </c>
      <c r="B84" s="373" t="n"/>
      <c r="C84" s="256" t="inlineStr">
        <is>
          <t>01.5.03.06-0012</t>
        </is>
      </c>
      <c r="D84" s="257" t="inlineStr">
        <is>
          <t>Столбики сигнальные дорожные пластиковые</t>
        </is>
      </c>
      <c r="E84" s="413" t="inlineStr">
        <is>
          <t>шт.</t>
        </is>
      </c>
      <c r="F84" s="413" t="n">
        <v>22</v>
      </c>
      <c r="G84" s="249" t="n">
        <v>43.06</v>
      </c>
      <c r="H84" s="249" t="n">
        <v>947.3200000000001</v>
      </c>
    </row>
    <row r="85">
      <c r="A85" s="264" t="n">
        <v>70</v>
      </c>
      <c r="B85" s="373" t="n"/>
      <c r="C85" s="256" t="inlineStr">
        <is>
          <t>20.1.02.23-0091</t>
        </is>
      </c>
      <c r="D85" s="257" t="inlineStr">
        <is>
          <t>Плакат по ТБ</t>
        </is>
      </c>
      <c r="E85" s="413" t="inlineStr">
        <is>
          <t>100 шт</t>
        </is>
      </c>
      <c r="F85" s="413" t="n">
        <v>0.22</v>
      </c>
      <c r="G85" s="249" t="n">
        <v>4000</v>
      </c>
      <c r="H85" s="249" t="n">
        <v>880</v>
      </c>
    </row>
    <row r="86">
      <c r="A86" s="264" t="n">
        <v>71</v>
      </c>
      <c r="B86" s="373" t="n"/>
      <c r="C86" s="256" t="inlineStr">
        <is>
          <t>14.4.04.11-0010</t>
        </is>
      </c>
      <c r="D86" s="257" t="inlineStr">
        <is>
          <t>Эмаль ХС-720 серебристая антикоррозийная</t>
        </is>
      </c>
      <c r="E86" s="413" t="inlineStr">
        <is>
          <t>т</t>
        </is>
      </c>
      <c r="F86" s="413" t="n">
        <v>0.0198</v>
      </c>
      <c r="G86" s="249" t="n">
        <v>35001</v>
      </c>
      <c r="H86" s="249" t="n">
        <v>693.02</v>
      </c>
    </row>
    <row r="87">
      <c r="A87" s="264" t="n">
        <v>72</v>
      </c>
      <c r="B87" s="373" t="n"/>
      <c r="C87" s="256" t="inlineStr">
        <is>
          <t>01.7.06.12-0004</t>
        </is>
      </c>
      <c r="D87" s="257" t="inlineStr">
        <is>
          <t>Лента киперная, ширина 40 мм</t>
        </is>
      </c>
      <c r="E87" s="413" t="inlineStr">
        <is>
          <t>100 м</t>
        </is>
      </c>
      <c r="F87" s="413" t="n">
        <v>6.76</v>
      </c>
      <c r="G87" s="249" t="n">
        <v>94</v>
      </c>
      <c r="H87" s="249" t="n">
        <v>635.4400000000001</v>
      </c>
    </row>
    <row r="88">
      <c r="A88" s="264" t="n">
        <v>73</v>
      </c>
      <c r="B88" s="373" t="n"/>
      <c r="C88" s="256" t="inlineStr">
        <is>
          <t>01.2.03.03-0045</t>
        </is>
      </c>
      <c r="D88" s="257" t="inlineStr">
        <is>
          <t>Мастика битумно-полимерная</t>
        </is>
      </c>
      <c r="E88" s="413" t="inlineStr">
        <is>
          <t>т</t>
        </is>
      </c>
      <c r="F88" s="413" t="n">
        <v>0.4034</v>
      </c>
      <c r="G88" s="249" t="n">
        <v>1500</v>
      </c>
      <c r="H88" s="249" t="n">
        <v>605.1</v>
      </c>
    </row>
    <row r="89" ht="25.5" customHeight="1" s="334">
      <c r="A89" s="264" t="n">
        <v>74</v>
      </c>
      <c r="B89" s="373" t="n"/>
      <c r="C89" s="256" t="inlineStr">
        <is>
          <t>08.3.05.02-0101</t>
        </is>
      </c>
      <c r="D89" s="257" t="inlineStr">
        <is>
          <t>Сталь листовая углеродистая обыкновенного качества марки ВСт3пс5 толщиной: 4-6 мм</t>
        </is>
      </c>
      <c r="E89" s="413" t="inlineStr">
        <is>
          <t>т</t>
        </is>
      </c>
      <c r="F89" s="413" t="n">
        <v>0.1049</v>
      </c>
      <c r="G89" s="249" t="n">
        <v>5763</v>
      </c>
      <c r="H89" s="249" t="n">
        <v>604.54</v>
      </c>
    </row>
    <row r="90">
      <c r="A90" s="264" t="n">
        <v>75</v>
      </c>
      <c r="B90" s="373" t="n"/>
      <c r="C90" s="256" t="inlineStr">
        <is>
          <t>01.7.06.08-0011</t>
        </is>
      </c>
      <c r="D90" s="257" t="inlineStr">
        <is>
          <t>Лента сигнальная "Электра" ЛСЭ 150</t>
        </is>
      </c>
      <c r="E90" s="413" t="inlineStr">
        <is>
          <t>100 м</t>
        </is>
      </c>
      <c r="F90" s="413" t="n">
        <v>8.19</v>
      </c>
      <c r="G90" s="249" t="n">
        <v>70.37</v>
      </c>
      <c r="H90" s="249" t="n">
        <v>576.33</v>
      </c>
    </row>
    <row r="91" ht="25.5" customHeight="1" s="334">
      <c r="A91" s="264" t="n">
        <v>76</v>
      </c>
      <c r="B91" s="373" t="n"/>
      <c r="C91" s="256" t="inlineStr">
        <is>
          <t>04.3.01.09-0023</t>
        </is>
      </c>
      <c r="D91" s="257" t="inlineStr">
        <is>
          <t>Раствор готовый отделочный тяжелый,: цементный 1:3</t>
        </is>
      </c>
      <c r="E91" s="413" t="inlineStr">
        <is>
          <t>м3</t>
        </is>
      </c>
      <c r="F91" s="413" t="n">
        <v>0.6399</v>
      </c>
      <c r="G91" s="249" t="n">
        <v>497</v>
      </c>
      <c r="H91" s="249" t="n">
        <v>318.03</v>
      </c>
    </row>
    <row r="92">
      <c r="A92" s="264" t="n">
        <v>77</v>
      </c>
      <c r="B92" s="373" t="n"/>
      <c r="C92" s="256" t="inlineStr">
        <is>
          <t>01.7.07.26-0031</t>
        </is>
      </c>
      <c r="D92" s="257" t="inlineStr">
        <is>
          <t>Шнур плетеный хлопчатобумажный</t>
        </is>
      </c>
      <c r="E92" s="413" t="inlineStr">
        <is>
          <t>м</t>
        </is>
      </c>
      <c r="F92" s="413" t="n">
        <v>148.5</v>
      </c>
      <c r="G92" s="249" t="n">
        <v>2.05</v>
      </c>
      <c r="H92" s="249" t="n">
        <v>304.43</v>
      </c>
    </row>
    <row r="93">
      <c r="A93" s="264" t="n">
        <v>78</v>
      </c>
      <c r="B93" s="373" t="n"/>
      <c r="C93" s="256" t="inlineStr">
        <is>
          <t>01.7.15.03-0042</t>
        </is>
      </c>
      <c r="D93" s="257" t="inlineStr">
        <is>
          <t>Болты с гайками и шайбами строительные</t>
        </is>
      </c>
      <c r="E93" s="413" t="inlineStr">
        <is>
          <t>кг</t>
        </is>
      </c>
      <c r="F93" s="413" t="n">
        <v>32.229</v>
      </c>
      <c r="G93" s="249" t="n">
        <v>9.039999999999999</v>
      </c>
      <c r="H93" s="249" t="n">
        <v>291.35</v>
      </c>
    </row>
    <row r="94">
      <c r="A94" s="264" t="n">
        <v>79</v>
      </c>
      <c r="B94" s="373" t="n"/>
      <c r="C94" s="256" t="inlineStr">
        <is>
          <t>04.1.02.05-0010</t>
        </is>
      </c>
      <c r="D94" s="257" t="inlineStr">
        <is>
          <t>Бетон тяжелый, класс: В27,5 (М350)</t>
        </is>
      </c>
      <c r="E94" s="413" t="inlineStr">
        <is>
          <t>м3</t>
        </is>
      </c>
      <c r="F94" s="413" t="n">
        <v>0.3709</v>
      </c>
      <c r="G94" s="249" t="n">
        <v>730</v>
      </c>
      <c r="H94" s="249" t="n">
        <v>270.76</v>
      </c>
    </row>
    <row r="95" ht="25.5" customHeight="1" s="334">
      <c r="A95" s="264" t="n">
        <v>80</v>
      </c>
      <c r="B95" s="373" t="n"/>
      <c r="C95" s="256" t="inlineStr">
        <is>
          <t>01.7.15.03-0045</t>
        </is>
      </c>
      <c r="D95" s="257" t="inlineStr">
        <is>
          <t>Болты строительные с гайками оцинкованные размером 10х100 мм</t>
        </is>
      </c>
      <c r="E95" s="413" t="inlineStr">
        <is>
          <t>т</t>
        </is>
      </c>
      <c r="F95" s="413" t="n">
        <v>0.01865</v>
      </c>
      <c r="G95" s="249" t="n">
        <v>13722.4</v>
      </c>
      <c r="H95" s="249" t="n">
        <v>255.92</v>
      </c>
    </row>
    <row r="96" ht="25.5" customHeight="1" s="334">
      <c r="A96" s="264" t="n">
        <v>81</v>
      </c>
      <c r="B96" s="373" t="n"/>
      <c r="C96" s="256" t="inlineStr">
        <is>
          <t>999-9950</t>
        </is>
      </c>
      <c r="D96" s="257" t="inlineStr">
        <is>
          <t>Вспомогательные ненормируемые ресурсы (2% от Оплаты труда рабочих)</t>
        </is>
      </c>
      <c r="E96" s="413" t="inlineStr">
        <is>
          <t>руб.</t>
        </is>
      </c>
      <c r="F96" s="413" t="n">
        <v>213.864</v>
      </c>
      <c r="G96" s="249" t="n">
        <v>1</v>
      </c>
      <c r="H96" s="249" t="n">
        <v>213.86</v>
      </c>
    </row>
    <row r="97" ht="25.5" customHeight="1" s="334">
      <c r="A97" s="264" t="n">
        <v>82</v>
      </c>
      <c r="B97" s="373" t="n"/>
      <c r="C97" s="256" t="inlineStr">
        <is>
          <t>07.2.07.04-0007</t>
        </is>
      </c>
      <c r="D97" s="257" t="inlineStr">
        <is>
          <t>Конструкции стальные индивидуальные: решетчатые сварные массой до 0,1 т</t>
        </is>
      </c>
      <c r="E97" s="413" t="inlineStr">
        <is>
          <t>т</t>
        </is>
      </c>
      <c r="F97" s="413" t="n">
        <v>0.015</v>
      </c>
      <c r="G97" s="249" t="n">
        <v>11500</v>
      </c>
      <c r="H97" s="249" t="n">
        <v>172.5</v>
      </c>
    </row>
    <row r="98">
      <c r="A98" s="264" t="n">
        <v>83</v>
      </c>
      <c r="B98" s="373" t="n"/>
      <c r="C98" s="256" t="inlineStr">
        <is>
          <t>01.7.11.07-0032</t>
        </is>
      </c>
      <c r="D98" s="257" t="inlineStr">
        <is>
          <t>Электроды диаметром: 4 мм Э42</t>
        </is>
      </c>
      <c r="E98" s="413" t="inlineStr">
        <is>
          <t>т</t>
        </is>
      </c>
      <c r="F98" s="413" t="n">
        <v>0.0163</v>
      </c>
      <c r="G98" s="249" t="n">
        <v>10315.01</v>
      </c>
      <c r="H98" s="249" t="n">
        <v>168.13</v>
      </c>
    </row>
    <row r="99">
      <c r="A99" s="264" t="n">
        <v>84</v>
      </c>
      <c r="B99" s="373" t="n"/>
      <c r="C99" s="256" t="inlineStr">
        <is>
          <t>14.4.02.09-0001</t>
        </is>
      </c>
      <c r="D99" s="257" t="inlineStr">
        <is>
          <t>Краска</t>
        </is>
      </c>
      <c r="E99" s="413" t="inlineStr">
        <is>
          <t>кг</t>
        </is>
      </c>
      <c r="F99" s="413" t="n">
        <v>5.862</v>
      </c>
      <c r="G99" s="249" t="n">
        <v>28.6</v>
      </c>
      <c r="H99" s="249" t="n">
        <v>167.65</v>
      </c>
    </row>
    <row r="100">
      <c r="A100" s="264" t="n">
        <v>85</v>
      </c>
      <c r="B100" s="373" t="n"/>
      <c r="C100" s="256" t="inlineStr">
        <is>
          <t>01.7.11.07-0034</t>
        </is>
      </c>
      <c r="D100" s="257" t="inlineStr">
        <is>
          <t>Электроды диаметром: 4 мм Э42А</t>
        </is>
      </c>
      <c r="E100" s="413" t="inlineStr">
        <is>
          <t>кг</t>
        </is>
      </c>
      <c r="F100" s="413" t="n">
        <v>14.91</v>
      </c>
      <c r="G100" s="249" t="n">
        <v>10.57</v>
      </c>
      <c r="H100" s="249" t="n">
        <v>157.6</v>
      </c>
    </row>
    <row r="101" ht="25.5" customHeight="1" s="334">
      <c r="A101" s="264" t="n">
        <v>86</v>
      </c>
      <c r="B101" s="373" t="n"/>
      <c r="C101" s="256" t="inlineStr">
        <is>
          <t>02.2.05.04-0093</t>
        </is>
      </c>
      <c r="D101" s="257" t="inlineStr">
        <is>
          <t>Щебень из природного камня для строительных работ марка: 800, фракция 20-40 мм</t>
        </is>
      </c>
      <c r="E101" s="413" t="inlineStr">
        <is>
          <t>м3</t>
        </is>
      </c>
      <c r="F101" s="413" t="n">
        <v>1.0969</v>
      </c>
      <c r="G101" s="249" t="n">
        <v>108.4</v>
      </c>
      <c r="H101" s="249" t="n">
        <v>118.9</v>
      </c>
    </row>
    <row r="102" ht="25.5" customHeight="1" s="334">
      <c r="A102" s="264" t="n">
        <v>87</v>
      </c>
      <c r="B102" s="373" t="n"/>
      <c r="C102" s="256" t="inlineStr">
        <is>
          <t>01.3.01.06-0050</t>
        </is>
      </c>
      <c r="D102" s="257" t="inlineStr">
        <is>
          <t>Смазка универсальная тугоплавкая УТ (консталин жировой)</t>
        </is>
      </c>
      <c r="E102" s="413" t="inlineStr">
        <is>
          <t>т</t>
        </is>
      </c>
      <c r="F102" s="413" t="n">
        <v>0.006</v>
      </c>
      <c r="G102" s="249" t="n">
        <v>17500</v>
      </c>
      <c r="H102" s="249" t="n">
        <v>105</v>
      </c>
    </row>
    <row r="103" ht="25.5" customHeight="1" s="334">
      <c r="A103" s="264" t="n">
        <v>88</v>
      </c>
      <c r="B103" s="373" t="n"/>
      <c r="C103" s="256" t="inlineStr">
        <is>
          <t>03.2.01.01-0001</t>
        </is>
      </c>
      <c r="D103" s="257" t="inlineStr">
        <is>
          <t>Портландцемент общестроительного назначения бездобавочный, марки: 400</t>
        </is>
      </c>
      <c r="E103" s="413" t="inlineStr">
        <is>
          <t>т</t>
        </is>
      </c>
      <c r="F103" s="413" t="n">
        <v>0.189</v>
      </c>
      <c r="G103" s="249" t="n">
        <v>412</v>
      </c>
      <c r="H103" s="249" t="n">
        <v>77.87</v>
      </c>
    </row>
    <row r="104">
      <c r="A104" s="264" t="n">
        <v>89</v>
      </c>
      <c r="B104" s="373" t="n"/>
      <c r="C104" s="256" t="inlineStr">
        <is>
          <t>01.7.06.08-0008</t>
        </is>
      </c>
      <c r="D104" s="257" t="inlineStr">
        <is>
          <t>Лента сигнальная "Оптика" ЛСО 70</t>
        </is>
      </c>
      <c r="E104" s="413" t="inlineStr">
        <is>
          <t>100 м</t>
        </is>
      </c>
      <c r="F104" s="413" t="n">
        <v>7.2</v>
      </c>
      <c r="G104" s="249" t="n">
        <v>8.84</v>
      </c>
      <c r="H104" s="249" t="n">
        <v>63.65</v>
      </c>
    </row>
    <row r="105" ht="25.5" customHeight="1" s="334">
      <c r="A105" s="264" t="n">
        <v>90</v>
      </c>
      <c r="B105" s="373" t="n"/>
      <c r="C105" s="256" t="inlineStr">
        <is>
          <t>02.2.01.02-0012</t>
        </is>
      </c>
      <c r="D105" s="257" t="inlineStr">
        <is>
          <t>Гравий для строительных работ марка 400, фракция 10-20 мм</t>
        </is>
      </c>
      <c r="E105" s="413" t="inlineStr">
        <is>
          <t>м3</t>
        </is>
      </c>
      <c r="F105" s="413" t="n">
        <v>0.4554</v>
      </c>
      <c r="G105" s="249" t="n">
        <v>129.13</v>
      </c>
      <c r="H105" s="249" t="n">
        <v>58.81</v>
      </c>
    </row>
    <row r="106">
      <c r="A106" s="264" t="n">
        <v>91</v>
      </c>
      <c r="B106" s="373" t="n"/>
      <c r="C106" s="256" t="inlineStr">
        <is>
          <t>20.2.02.01-0019</t>
        </is>
      </c>
      <c r="D106" s="257" t="inlineStr">
        <is>
          <t>Втулки изолирующие</t>
        </is>
      </c>
      <c r="E106" s="413" t="inlineStr">
        <is>
          <t>1000 шт</t>
        </is>
      </c>
      <c r="F106" s="413" t="n">
        <v>0.189</v>
      </c>
      <c r="G106" s="249" t="n">
        <v>270</v>
      </c>
      <c r="H106" s="249" t="n">
        <v>51.03</v>
      </c>
    </row>
    <row r="107">
      <c r="A107" s="264" t="n">
        <v>92</v>
      </c>
      <c r="B107" s="373" t="n"/>
      <c r="C107" s="256" t="inlineStr">
        <is>
          <t>01.2.03.03-0013</t>
        </is>
      </c>
      <c r="D107" s="257" t="inlineStr">
        <is>
          <t>Мастика битумная кровельная горячая</t>
        </is>
      </c>
      <c r="E107" s="413" t="inlineStr">
        <is>
          <t>т</t>
        </is>
      </c>
      <c r="F107" s="413" t="n">
        <v>0.0125</v>
      </c>
      <c r="G107" s="249" t="n">
        <v>3390</v>
      </c>
      <c r="H107" s="249" t="n">
        <v>42.38</v>
      </c>
    </row>
    <row r="108" ht="25.5" customHeight="1" s="334">
      <c r="A108" s="264" t="n">
        <v>93</v>
      </c>
      <c r="B108" s="373" t="n"/>
      <c r="C108" s="256" t="inlineStr">
        <is>
          <t>12.2.05.06-0031</t>
        </is>
      </c>
      <c r="D108" s="257" t="inlineStr">
        <is>
          <t>Плиты теплоизоляционные из пенопласта полистирольного ПСБ- С-10</t>
        </is>
      </c>
      <c r="E108" s="413" t="inlineStr">
        <is>
          <t>м3</t>
        </is>
      </c>
      <c r="F108" s="413" t="n">
        <v>0.08956799999999999</v>
      </c>
      <c r="G108" s="249" t="n">
        <v>393.33</v>
      </c>
      <c r="H108" s="249" t="n">
        <v>35.23</v>
      </c>
    </row>
    <row r="109">
      <c r="A109" s="264" t="n">
        <v>94</v>
      </c>
      <c r="B109" s="373" t="n"/>
      <c r="C109" s="256" t="inlineStr">
        <is>
          <t>01.7.20.08-0031</t>
        </is>
      </c>
      <c r="D109" s="257" t="inlineStr">
        <is>
          <t>Бязь суровая арт. 6804</t>
        </is>
      </c>
      <c r="E109" s="413" t="inlineStr">
        <is>
          <t>10 м2</t>
        </is>
      </c>
      <c r="F109" s="413" t="n">
        <v>0.42</v>
      </c>
      <c r="G109" s="249" t="n">
        <v>79.09999999999999</v>
      </c>
      <c r="H109" s="249" t="n">
        <v>33.22</v>
      </c>
    </row>
    <row r="110">
      <c r="A110" s="264" t="n">
        <v>95</v>
      </c>
      <c r="B110" s="373" t="n"/>
      <c r="C110" s="256" t="inlineStr">
        <is>
          <t>20.1.02.23-0082</t>
        </is>
      </c>
      <c r="D110" s="257" t="inlineStr">
        <is>
          <t>Перемычки гибкие, тип ПГС-50</t>
        </is>
      </c>
      <c r="E110" s="413" t="inlineStr">
        <is>
          <t>10 шт</t>
        </is>
      </c>
      <c r="F110" s="413" t="n">
        <v>0.3</v>
      </c>
      <c r="G110" s="249" t="n">
        <v>39</v>
      </c>
      <c r="H110" s="249" t="n">
        <v>11.7</v>
      </c>
    </row>
    <row r="111">
      <c r="A111" s="264" t="n">
        <v>96</v>
      </c>
      <c r="B111" s="373" t="n"/>
      <c r="C111" s="256" t="inlineStr">
        <is>
          <t>01.7.03.01-0001</t>
        </is>
      </c>
      <c r="D111" s="257" t="inlineStr">
        <is>
          <t>Вода</t>
        </is>
      </c>
      <c r="E111" s="413" t="inlineStr">
        <is>
          <t>м3</t>
        </is>
      </c>
      <c r="F111" s="413" t="n">
        <v>4.105</v>
      </c>
      <c r="G111" s="249" t="n">
        <v>2.44</v>
      </c>
      <c r="H111" s="249" t="n">
        <v>10.02</v>
      </c>
    </row>
    <row r="112">
      <c r="A112" s="264" t="n">
        <v>97</v>
      </c>
      <c r="B112" s="373" t="n"/>
      <c r="C112" s="256" t="inlineStr">
        <is>
          <t>01.3.01.03-0002</t>
        </is>
      </c>
      <c r="D112" s="257" t="inlineStr">
        <is>
          <t>Керосин для технических целей марок КТ-1, КТ-2</t>
        </is>
      </c>
      <c r="E112" s="413" t="inlineStr">
        <is>
          <t>т</t>
        </is>
      </c>
      <c r="F112" s="413" t="n">
        <v>0.0036</v>
      </c>
      <c r="G112" s="249" t="n">
        <v>2606.9</v>
      </c>
      <c r="H112" s="249" t="n">
        <v>9.380000000000001</v>
      </c>
    </row>
    <row r="113" ht="25.5" customHeight="1" s="334">
      <c r="A113" s="264" t="n">
        <v>98</v>
      </c>
      <c r="B113" s="373" t="n"/>
      <c r="C113" s="256" t="inlineStr">
        <is>
          <t>01.7.06.05-0041</t>
        </is>
      </c>
      <c r="D113" s="257" t="inlineStr">
        <is>
          <t>Лента изоляционная прорезиненная односторонняя ширина 20 мм, толщина 0,25-0,35 мм</t>
        </is>
      </c>
      <c r="E113" s="413" t="inlineStr">
        <is>
          <t>кг</t>
        </is>
      </c>
      <c r="F113" s="413" t="n">
        <v>0.144</v>
      </c>
      <c r="G113" s="249" t="n">
        <v>30.4</v>
      </c>
      <c r="H113" s="249" t="n">
        <v>4.38</v>
      </c>
    </row>
    <row r="114">
      <c r="A114" s="264" t="n">
        <v>99</v>
      </c>
      <c r="B114" s="373" t="n"/>
      <c r="C114" s="256" t="inlineStr">
        <is>
          <t>01.7.15.07-0014</t>
        </is>
      </c>
      <c r="D114" s="257" t="inlineStr">
        <is>
          <t>Дюбели распорные полипропиленовые</t>
        </is>
      </c>
      <c r="E114" s="413" t="inlineStr">
        <is>
          <t>100 шт</t>
        </is>
      </c>
      <c r="F114" s="413" t="n">
        <v>0.042</v>
      </c>
      <c r="G114" s="249" t="n">
        <v>86</v>
      </c>
      <c r="H114" s="249" t="n">
        <v>3.61</v>
      </c>
    </row>
    <row r="115" ht="25.5" customHeight="1" s="334">
      <c r="A115" s="264" t="n">
        <v>100</v>
      </c>
      <c r="B115" s="373" t="n"/>
      <c r="C115" s="256" t="inlineStr">
        <is>
          <t>01.2.01.02-0041</t>
        </is>
      </c>
      <c r="D115" s="257" t="inlineStr">
        <is>
          <t>Битумы нефтяные строительные кровельные марки: БНК-45/190, БНК-45/180</t>
        </is>
      </c>
      <c r="E115" s="413" t="inlineStr">
        <is>
          <t>т</t>
        </is>
      </c>
      <c r="F115" s="413" t="n">
        <v>0.0016</v>
      </c>
      <c r="G115" s="249" t="n">
        <v>1530</v>
      </c>
      <c r="H115" s="249" t="n">
        <v>2.45</v>
      </c>
    </row>
    <row r="116">
      <c r="A116" s="264" t="n">
        <v>101</v>
      </c>
      <c r="B116" s="373" t="n"/>
      <c r="C116" s="256" t="inlineStr">
        <is>
          <t>01.3.01.02-0002</t>
        </is>
      </c>
      <c r="D116" s="257" t="inlineStr">
        <is>
          <t>Вазелин технический</t>
        </is>
      </c>
      <c r="E116" s="413" t="inlineStr">
        <is>
          <t>кг</t>
        </is>
      </c>
      <c r="F116" s="413" t="n">
        <v>0.036</v>
      </c>
      <c r="G116" s="249" t="n">
        <v>44.97</v>
      </c>
      <c r="H116" s="249" t="n">
        <v>1.62</v>
      </c>
    </row>
    <row r="117">
      <c r="A117" s="264" t="n">
        <v>102</v>
      </c>
      <c r="B117" s="373" t="n"/>
      <c r="C117" s="256" t="inlineStr">
        <is>
          <t>14.4.03.17-0011</t>
        </is>
      </c>
      <c r="D117" s="257" t="inlineStr">
        <is>
          <t>Лак электроизоляционный 318</t>
        </is>
      </c>
      <c r="E117" s="413" t="inlineStr">
        <is>
          <t>кг</t>
        </is>
      </c>
      <c r="F117" s="413" t="n">
        <v>0.045</v>
      </c>
      <c r="G117" s="249" t="n">
        <v>35.63</v>
      </c>
      <c r="H117" s="249" t="n">
        <v>1.6</v>
      </c>
    </row>
    <row r="118">
      <c r="A118" s="264" t="n">
        <v>103</v>
      </c>
      <c r="B118" s="373" t="n"/>
      <c r="C118" s="256" t="inlineStr">
        <is>
          <t>01.7.20.04-0005</t>
        </is>
      </c>
      <c r="D118" s="257" t="inlineStr">
        <is>
          <t>Нитки швейные</t>
        </is>
      </c>
      <c r="E118" s="413" t="inlineStr">
        <is>
          <t>кг</t>
        </is>
      </c>
      <c r="F118" s="413" t="n">
        <v>0.006</v>
      </c>
      <c r="G118" s="249" t="n">
        <v>133.05</v>
      </c>
      <c r="H118" s="249" t="n">
        <v>0.8</v>
      </c>
    </row>
    <row r="119">
      <c r="A119" s="264" t="n">
        <v>104</v>
      </c>
      <c r="B119" s="373" t="n"/>
      <c r="C119" s="256" t="inlineStr">
        <is>
          <t>01.7.02.09-0002</t>
        </is>
      </c>
      <c r="D119" s="257" t="inlineStr">
        <is>
          <t>Шпагат бумажный</t>
        </is>
      </c>
      <c r="E119" s="413" t="inlineStr">
        <is>
          <t>кг</t>
        </is>
      </c>
      <c r="F119" s="413" t="n">
        <v>0.015</v>
      </c>
      <c r="G119" s="249" t="n">
        <v>11.5</v>
      </c>
      <c r="H119" s="249" t="n">
        <v>0.17</v>
      </c>
    </row>
    <row r="122">
      <c r="B122" s="336" t="inlineStr">
        <is>
          <t>Составил ______________________     Д.Ю. Нефедова</t>
        </is>
      </c>
    </row>
    <row r="123">
      <c r="B123" s="322" t="inlineStr">
        <is>
          <t xml:space="preserve">                         (подпись, инициалы, фамилия)</t>
        </is>
      </c>
    </row>
    <row r="125">
      <c r="B125" s="336" t="inlineStr">
        <is>
          <t>Проверил ______________________        А.В. Костянецкая</t>
        </is>
      </c>
    </row>
    <row r="126">
      <c r="B126" s="322" t="inlineStr">
        <is>
          <t xml:space="preserve">                        (подпись, инициалы, фамилия)</t>
        </is>
      </c>
    </row>
  </sheetData>
  <autoFilter ref="A10:H119"/>
  <mergeCells count="16">
    <mergeCell ref="A3:H3"/>
    <mergeCell ref="A8:A9"/>
    <mergeCell ref="A61:E61"/>
    <mergeCell ref="A26:E26"/>
    <mergeCell ref="A24:E24"/>
    <mergeCell ref="E8:E9"/>
    <mergeCell ref="C8:C9"/>
    <mergeCell ref="F8:F9"/>
    <mergeCell ref="A2:H2"/>
    <mergeCell ref="A60:E60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11.42578125" customWidth="1" style="334" min="6" max="6"/>
    <col width="14.42578125" customWidth="1" style="334" min="7" max="7"/>
    <col width="9.140625" customWidth="1" style="334" min="8" max="11"/>
    <col width="13.5703125" customWidth="1" style="334" min="12" max="12"/>
    <col width="9.140625" customWidth="1" style="33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408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51" t="inlineStr">
        <is>
          <t>Ресурсная модель</t>
        </is>
      </c>
    </row>
    <row r="6">
      <c r="B6" s="220" t="n"/>
      <c r="C6" s="310" t="n"/>
      <c r="D6" s="310" t="n"/>
      <c r="E6" s="310" t="n"/>
    </row>
    <row r="7" ht="38.25" customHeight="1" s="334">
      <c r="B7" s="360" t="inlineStr">
        <is>
          <t>Наименование разрабатываемого показателя УНЦ — Устройство траншеи КЛ 330-500 кВ 1ц (Москва, Санкт-Петербург)</t>
        </is>
      </c>
    </row>
    <row r="8">
      <c r="B8" s="378" t="inlineStr">
        <is>
          <t>Единица измерения  — 1 км.</t>
        </is>
      </c>
    </row>
    <row r="9">
      <c r="B9" s="220" t="n"/>
      <c r="C9" s="310" t="n"/>
      <c r="D9" s="310" t="n"/>
      <c r="E9" s="310" t="n"/>
    </row>
    <row r="10" ht="51" customHeight="1" s="334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232" t="inlineStr">
        <is>
          <t>Оплата труда рабочих</t>
        </is>
      </c>
      <c r="C11" s="312">
        <f>'Прил.5 Расчет СМР и ОБ'!J15</f>
        <v/>
      </c>
      <c r="D11" s="214">
        <f>C11/$C$24</f>
        <v/>
      </c>
      <c r="E11" s="214">
        <f>C11/$C$40</f>
        <v/>
      </c>
    </row>
    <row r="12">
      <c r="B12" s="232" t="inlineStr">
        <is>
          <t>Эксплуатация машин основных</t>
        </is>
      </c>
      <c r="C12" s="312">
        <f>'Прил.5 Расчет СМР и ОБ'!J25</f>
        <v/>
      </c>
      <c r="D12" s="214">
        <f>C12/$C$24</f>
        <v/>
      </c>
      <c r="E12" s="214">
        <f>C12/$C$40</f>
        <v/>
      </c>
    </row>
    <row r="13">
      <c r="B13" s="232" t="inlineStr">
        <is>
          <t>Эксплуатация машин прочих</t>
        </is>
      </c>
      <c r="C13" s="312">
        <f>'Прил.5 Расчет СМР и ОБ'!J54</f>
        <v/>
      </c>
      <c r="D13" s="214">
        <f>C13/$C$24</f>
        <v/>
      </c>
      <c r="E13" s="214">
        <f>C13/$C$40</f>
        <v/>
      </c>
    </row>
    <row r="14">
      <c r="B14" s="232" t="inlineStr">
        <is>
          <t>ЭКСПЛУАТАЦИЯ МАШИН, ВСЕГО:</t>
        </is>
      </c>
      <c r="C14" s="312">
        <f>C13+C12</f>
        <v/>
      </c>
      <c r="D14" s="214">
        <f>C14/$C$24</f>
        <v/>
      </c>
      <c r="E14" s="214">
        <f>C14/$C$40</f>
        <v/>
      </c>
    </row>
    <row r="15">
      <c r="B15" s="232" t="inlineStr">
        <is>
          <t>в том числе зарплата машинистов</t>
        </is>
      </c>
      <c r="C15" s="312">
        <f>'Прил.5 Расчет СМР и ОБ'!J17</f>
        <v/>
      </c>
      <c r="D15" s="214">
        <f>C15/$C$24</f>
        <v/>
      </c>
      <c r="E15" s="214">
        <f>C15/$C$40</f>
        <v/>
      </c>
    </row>
    <row r="16">
      <c r="B16" s="232" t="inlineStr">
        <is>
          <t>Материалы основные</t>
        </is>
      </c>
      <c r="C16" s="312">
        <f>'Прил.5 Расчет СМР и ОБ'!J73</f>
        <v/>
      </c>
      <c r="D16" s="214">
        <f>C16/$C$24</f>
        <v/>
      </c>
      <c r="E16" s="214">
        <f>C16/$C$40</f>
        <v/>
      </c>
    </row>
    <row r="17">
      <c r="B17" s="232" t="inlineStr">
        <is>
          <t>Материалы прочие</t>
        </is>
      </c>
      <c r="C17" s="312">
        <f>'Прил.5 Расчет СМР и ОБ'!J123</f>
        <v/>
      </c>
      <c r="D17" s="214">
        <f>C17/$C$24</f>
        <v/>
      </c>
      <c r="E17" s="214">
        <f>C17/$C$40</f>
        <v/>
      </c>
      <c r="G17" s="473" t="n"/>
    </row>
    <row r="18">
      <c r="B18" s="232" t="inlineStr">
        <is>
          <t>МАТЕРИАЛЫ, ВСЕГО:</t>
        </is>
      </c>
      <c r="C18" s="312">
        <f>C17+C16</f>
        <v/>
      </c>
      <c r="D18" s="214">
        <f>C18/$C$24</f>
        <v/>
      </c>
      <c r="E18" s="214">
        <f>C18/$C$40</f>
        <v/>
      </c>
    </row>
    <row r="19">
      <c r="B19" s="232" t="inlineStr">
        <is>
          <t>ИТОГО</t>
        </is>
      </c>
      <c r="C19" s="312">
        <f>C18+C14+C11</f>
        <v/>
      </c>
      <c r="D19" s="214" t="n"/>
      <c r="E19" s="232" t="n"/>
    </row>
    <row r="20">
      <c r="B20" s="232" t="inlineStr">
        <is>
          <t>Сметная прибыль, руб.</t>
        </is>
      </c>
      <c r="C20" s="312">
        <f>ROUND(C21*(C11+C15),2)</f>
        <v/>
      </c>
      <c r="D20" s="214">
        <f>C20/$C$24</f>
        <v/>
      </c>
      <c r="E20" s="214">
        <f>C20/$C$40</f>
        <v/>
      </c>
    </row>
    <row r="21">
      <c r="B21" s="232" t="inlineStr">
        <is>
          <t>Сметная прибыль, %</t>
        </is>
      </c>
      <c r="C21" s="217">
        <f>'Прил.5 Расчет СМР и ОБ'!D127</f>
        <v/>
      </c>
      <c r="D21" s="214" t="n"/>
      <c r="E21" s="232" t="n"/>
    </row>
    <row r="22">
      <c r="B22" s="232" t="inlineStr">
        <is>
          <t>Накладные расходы, руб.</t>
        </is>
      </c>
      <c r="C22" s="312">
        <f>ROUND(C23*(C11+C15),2)</f>
        <v/>
      </c>
      <c r="D22" s="214">
        <f>C22/$C$24</f>
        <v/>
      </c>
      <c r="E22" s="214">
        <f>C22/$C$40</f>
        <v/>
      </c>
    </row>
    <row r="23">
      <c r="B23" s="232" t="inlineStr">
        <is>
          <t>Накладные расходы, %</t>
        </is>
      </c>
      <c r="C23" s="217">
        <f>'Прил.5 Расчет СМР и ОБ'!D126</f>
        <v/>
      </c>
      <c r="D23" s="214" t="n"/>
      <c r="E23" s="232" t="n"/>
    </row>
    <row r="24">
      <c r="B24" s="232" t="inlineStr">
        <is>
          <t>ВСЕГО СМР с НР и СП</t>
        </is>
      </c>
      <c r="C24" s="312">
        <f>C19+C20+C22</f>
        <v/>
      </c>
      <c r="D24" s="214">
        <f>C24/$C$24</f>
        <v/>
      </c>
      <c r="E24" s="214">
        <f>C24/$C$40</f>
        <v/>
      </c>
    </row>
    <row r="25" ht="25.5" customHeight="1" s="334">
      <c r="B25" s="232" t="inlineStr">
        <is>
          <t>ВСЕГО стоимость оборудования, в том числе</t>
        </is>
      </c>
      <c r="C25" s="312">
        <f>'Прил.5 Расчет СМР и ОБ'!J60</f>
        <v/>
      </c>
      <c r="D25" s="214" t="n"/>
      <c r="E25" s="214">
        <f>C25/$C$40</f>
        <v/>
      </c>
    </row>
    <row r="26" ht="25.5" customHeight="1" s="334">
      <c r="B26" s="232" t="inlineStr">
        <is>
          <t>стоимость оборудования технологического</t>
        </is>
      </c>
      <c r="C26" s="312">
        <f>'Прил.5 Расчет СМР и ОБ'!J61</f>
        <v/>
      </c>
      <c r="D26" s="214" t="n"/>
      <c r="E26" s="214">
        <f>C26/$C$40</f>
        <v/>
      </c>
    </row>
    <row r="27">
      <c r="B27" s="232" t="inlineStr">
        <is>
          <t>ИТОГО (СМР + ОБОРУДОВАНИЕ)</t>
        </is>
      </c>
      <c r="C27" s="216">
        <f>C24+C25</f>
        <v/>
      </c>
      <c r="D27" s="214" t="n"/>
      <c r="E27" s="214">
        <f>C27/$C$40</f>
        <v/>
      </c>
    </row>
    <row r="28" ht="33" customHeight="1" s="334">
      <c r="B28" s="232" t="inlineStr">
        <is>
          <t>ПРОЧ. ЗАТР., УЧТЕННЫЕ ПОКАЗАТЕЛЕМ,  в том числе</t>
        </is>
      </c>
      <c r="C28" s="232" t="n"/>
      <c r="D28" s="232" t="n"/>
      <c r="E28" s="232" t="n"/>
      <c r="F28" s="215" t="n"/>
    </row>
    <row r="29" ht="25.5" customHeight="1" s="334">
      <c r="B29" s="232" t="inlineStr">
        <is>
          <t>Временные здания и сооружения - 3,9%</t>
        </is>
      </c>
      <c r="C29" s="216">
        <f>ROUND(C24*3.9%,2)</f>
        <v/>
      </c>
      <c r="D29" s="232" t="n"/>
      <c r="E29" s="214">
        <f>C29/$C$40</f>
        <v/>
      </c>
    </row>
    <row r="30" ht="38.25" customHeight="1" s="334">
      <c r="B30" s="232" t="inlineStr">
        <is>
          <t>Дополнительные затраты при производстве строительно-монтажных работ в зимнее время - 2,1%</t>
        </is>
      </c>
      <c r="C30" s="216">
        <f>ROUND((C24+C29)*2.1%,2)</f>
        <v/>
      </c>
      <c r="D30" s="232" t="n"/>
      <c r="E30" s="214">
        <f>C30/$C$40</f>
        <v/>
      </c>
      <c r="F30" s="215" t="n"/>
    </row>
    <row r="31">
      <c r="B31" s="232" t="inlineStr">
        <is>
          <t>Пусконаладочные работы</t>
        </is>
      </c>
      <c r="C31" s="216" t="n">
        <v>0</v>
      </c>
      <c r="D31" s="232" t="n"/>
      <c r="E31" s="214">
        <f>C31/$C$40</f>
        <v/>
      </c>
    </row>
    <row r="32" ht="25.5" customHeight="1" s="334">
      <c r="B32" s="232" t="inlineStr">
        <is>
          <t>Затраты по перевозке работников к месту работы и обратно</t>
        </is>
      </c>
      <c r="C32" s="216">
        <f>ROUND(C27*0%,2)</f>
        <v/>
      </c>
      <c r="D32" s="232" t="n"/>
      <c r="E32" s="214">
        <f>C32/$C$40</f>
        <v/>
      </c>
    </row>
    <row r="33" ht="25.5" customHeight="1" s="334">
      <c r="B33" s="232" t="inlineStr">
        <is>
          <t>Затраты, связанные с осуществлением работ вахтовым методом</t>
        </is>
      </c>
      <c r="C33" s="216">
        <f>ROUND(C28*0%,2)</f>
        <v/>
      </c>
      <c r="D33" s="232" t="n"/>
      <c r="E33" s="214">
        <f>C33/$C$40</f>
        <v/>
      </c>
    </row>
    <row r="34" ht="51" customHeight="1" s="334">
      <c r="B34" s="2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6">
        <f>ROUND(C29*0%,2)</f>
        <v/>
      </c>
      <c r="D34" s="232" t="n"/>
      <c r="E34" s="214">
        <f>C34/$C$40</f>
        <v/>
      </c>
      <c r="H34" s="284" t="n"/>
    </row>
    <row r="35" ht="76.5" customHeight="1" s="334">
      <c r="B35" s="2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6">
        <f>ROUND(C30*0%,2)</f>
        <v/>
      </c>
      <c r="D35" s="232" t="n"/>
      <c r="E35" s="214">
        <f>C35/$C$40</f>
        <v/>
      </c>
    </row>
    <row r="36" ht="25.5" customHeight="1" s="334">
      <c r="B36" s="232" t="inlineStr">
        <is>
          <t>Строительный контроль и содержание службы заказчика - 2,14%</t>
        </is>
      </c>
      <c r="C36" s="216">
        <f>ROUND((C27+C32+C33+C34+C35+C29+C31+C30)*2.14%,2)</f>
        <v/>
      </c>
      <c r="D36" s="232" t="n"/>
      <c r="E36" s="214">
        <f>C36/$C$40</f>
        <v/>
      </c>
      <c r="L36" s="215" t="n"/>
    </row>
    <row r="37">
      <c r="B37" s="232" t="inlineStr">
        <is>
          <t>Авторский надзор - 0,2%</t>
        </is>
      </c>
      <c r="C37" s="216">
        <f>ROUND((C27+C32+C33+C34+C35+C29+C31+C30)*0.2%,2)</f>
        <v/>
      </c>
      <c r="D37" s="232" t="n"/>
      <c r="E37" s="214">
        <f>C37/$C$40</f>
        <v/>
      </c>
      <c r="L37" s="215" t="n"/>
    </row>
    <row r="38" ht="38.25" customHeight="1" s="334">
      <c r="B38" s="232" t="inlineStr">
        <is>
          <t>ИТОГО (СМР+ОБОРУДОВАНИЕ+ПРОЧ. ЗАТР., УЧТЕННЫЕ ПОКАЗАТЕЛЕМ)</t>
        </is>
      </c>
      <c r="C38" s="312">
        <f>C27+C32+C33+C34+C35+C29+C31+C30+C36+C37</f>
        <v/>
      </c>
      <c r="D38" s="232" t="n"/>
      <c r="E38" s="214">
        <f>C38/$C$40</f>
        <v/>
      </c>
    </row>
    <row r="39" ht="13.5" customHeight="1" s="334">
      <c r="B39" s="232" t="inlineStr">
        <is>
          <t>Непредвиденные расходы</t>
        </is>
      </c>
      <c r="C39" s="312">
        <f>ROUND(C38*3%,2)</f>
        <v/>
      </c>
      <c r="D39" s="232" t="n"/>
      <c r="E39" s="214">
        <f>C39/$C$38</f>
        <v/>
      </c>
    </row>
    <row r="40">
      <c r="B40" s="232" t="inlineStr">
        <is>
          <t>ВСЕГО:</t>
        </is>
      </c>
      <c r="C40" s="312">
        <f>C39+C38</f>
        <v/>
      </c>
      <c r="D40" s="232" t="n"/>
      <c r="E40" s="214">
        <f>C40/$C$40</f>
        <v/>
      </c>
    </row>
    <row r="41">
      <c r="B41" s="232" t="inlineStr">
        <is>
          <t>ИТОГО ПОКАЗАТЕЛЬ НА ЕД. ИЗМ.</t>
        </is>
      </c>
      <c r="C41" s="312">
        <f>C40/'Прил.5 Расчет СМР и ОБ'!E130</f>
        <v/>
      </c>
      <c r="D41" s="232" t="n"/>
      <c r="E41" s="232" t="n"/>
      <c r="G41" s="215" t="n"/>
    </row>
    <row r="42">
      <c r="B42" s="314" t="n"/>
      <c r="C42" s="310" t="n"/>
      <c r="D42" s="310" t="n"/>
      <c r="E42" s="310" t="n"/>
      <c r="G42" s="215" t="n"/>
    </row>
    <row r="43">
      <c r="B43" s="314" t="inlineStr">
        <is>
          <t>Составил ____________________________ Д.Ю. Нефедова</t>
        </is>
      </c>
      <c r="C43" s="310" t="n"/>
      <c r="D43" s="310" t="n"/>
      <c r="E43" s="310" t="n"/>
      <c r="G43" s="284" t="n"/>
    </row>
    <row r="44">
      <c r="B44" s="31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314" t="n"/>
      <c r="C45" s="310" t="n"/>
      <c r="D45" s="310" t="n"/>
      <c r="E45" s="310" t="n"/>
    </row>
    <row r="46">
      <c r="B46" s="31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8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9"/>
  <sheetViews>
    <sheetView view="pageBreakPreview" topLeftCell="A72" workbookViewId="0">
      <selection activeCell="D133" sqref="D133"/>
    </sheetView>
  </sheetViews>
  <sheetFormatPr baseColWidth="8" defaultColWidth="9.140625" defaultRowHeight="15" outlineLevelRow="1"/>
  <cols>
    <col width="5.7109375" customWidth="1" style="320" min="1" max="1"/>
    <col width="22.5703125" customWidth="1" style="320" min="2" max="2"/>
    <col width="39.140625" customWidth="1" style="320" min="3" max="3"/>
    <col width="10.7109375" customWidth="1" style="320" min="4" max="4"/>
    <col width="12.7109375" customWidth="1" style="320" min="5" max="5"/>
    <col width="15" customWidth="1" style="320" min="6" max="6"/>
    <col width="16.42578125" customWidth="1" style="320" min="7" max="7"/>
    <col width="12.7109375" customWidth="1" style="320" min="8" max="8"/>
    <col width="13.85546875" customWidth="1" style="320" min="9" max="9"/>
    <col width="17.5703125" customWidth="1" style="320" min="10" max="10"/>
    <col width="14.7109375" customWidth="1" style="320" min="11" max="11"/>
    <col width="9.140625" customWidth="1" style="320" min="12" max="12"/>
    <col width="9.140625" customWidth="1" style="334" min="13" max="13"/>
  </cols>
  <sheetData>
    <row r="1" s="334">
      <c r="A1" s="320" t="n"/>
      <c r="B1" s="320" t="n"/>
      <c r="C1" s="320" t="n"/>
      <c r="D1" s="320" t="n"/>
      <c r="E1" s="320" t="n"/>
      <c r="F1" s="320" t="n"/>
      <c r="G1" s="320" t="n"/>
      <c r="H1" s="320" t="n"/>
      <c r="I1" s="320" t="n"/>
      <c r="J1" s="320" t="n"/>
      <c r="K1" s="320" t="n"/>
      <c r="L1" s="320" t="n"/>
      <c r="M1" s="320" t="n"/>
      <c r="N1" s="320" t="n"/>
    </row>
    <row r="2" ht="15.75" customHeight="1" s="334">
      <c r="A2" s="320" t="n"/>
      <c r="B2" s="320" t="n"/>
      <c r="C2" s="320" t="n"/>
      <c r="D2" s="320" t="n"/>
      <c r="E2" s="320" t="n"/>
      <c r="F2" s="320" t="n"/>
      <c r="G2" s="320" t="n"/>
      <c r="H2" s="403" t="inlineStr">
        <is>
          <t>Приложение №5</t>
        </is>
      </c>
      <c r="K2" s="320" t="n"/>
      <c r="L2" s="320" t="n"/>
      <c r="M2" s="320" t="n"/>
      <c r="N2" s="320" t="n"/>
    </row>
    <row r="3" s="334">
      <c r="A3" s="320" t="n"/>
      <c r="B3" s="320" t="n"/>
      <c r="C3" s="320" t="n"/>
      <c r="D3" s="320" t="n"/>
      <c r="E3" s="320" t="n"/>
      <c r="F3" s="320" t="n"/>
      <c r="G3" s="320" t="n"/>
      <c r="H3" s="320" t="n"/>
      <c r="I3" s="320" t="n"/>
      <c r="J3" s="320" t="n"/>
      <c r="K3" s="320" t="n"/>
      <c r="L3" s="320" t="n"/>
      <c r="M3" s="320" t="n"/>
      <c r="N3" s="320" t="n"/>
    </row>
    <row r="4" ht="12.75" customFormat="1" customHeight="1" s="310">
      <c r="A4" s="351" t="inlineStr">
        <is>
          <t>Расчет стоимости СМР и оборудования</t>
        </is>
      </c>
    </row>
    <row r="5" ht="12.75" customFormat="1" customHeight="1" s="310">
      <c r="A5" s="351" t="n"/>
      <c r="B5" s="351" t="n"/>
      <c r="C5" s="415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310">
      <c r="A6" s="190" t="inlineStr">
        <is>
          <t>Наименование разрабатываемого показателя УНЦ</t>
        </is>
      </c>
      <c r="B6" s="189" t="n"/>
      <c r="C6" s="189" t="n"/>
      <c r="D6" s="407" t="inlineStr">
        <is>
          <t>Устройство траншеи КЛ 330-500 кВ 1ц (Москва, Санкт-Петербург)</t>
        </is>
      </c>
    </row>
    <row r="7" ht="12.75" customFormat="1" customHeight="1" s="310">
      <c r="A7" s="354" t="inlineStr">
        <is>
          <t>Единица измерения  — 1 км.</t>
        </is>
      </c>
      <c r="I7" s="360" t="n"/>
      <c r="J7" s="360" t="n"/>
    </row>
    <row r="8" ht="13.5" customFormat="1" customHeight="1" s="310">
      <c r="A8" s="354" t="n"/>
    </row>
    <row r="9" ht="13.15" customFormat="1" customHeight="1" s="310"/>
    <row r="10" ht="27" customHeight="1" s="334">
      <c r="A10" s="385" t="inlineStr">
        <is>
          <t>№ пп.</t>
        </is>
      </c>
      <c r="B10" s="385" t="inlineStr">
        <is>
          <t>Код ресурса</t>
        </is>
      </c>
      <c r="C10" s="385" t="inlineStr">
        <is>
          <t>Наименование</t>
        </is>
      </c>
      <c r="D10" s="385" t="inlineStr">
        <is>
          <t>Ед. изм.</t>
        </is>
      </c>
      <c r="E10" s="385" t="inlineStr">
        <is>
          <t>Кол-во единиц по проектным данным</t>
        </is>
      </c>
      <c r="F10" s="385" t="inlineStr">
        <is>
          <t>Сметная стоимость в ценах на 01.01.2000 (руб.)</t>
        </is>
      </c>
      <c r="G10" s="467" t="n"/>
      <c r="H10" s="385" t="inlineStr">
        <is>
          <t>Удельный вес, %</t>
        </is>
      </c>
      <c r="I10" s="385" t="inlineStr">
        <is>
          <t>Сметная стоимость в ценах на 01.01.2023 (руб.)</t>
        </is>
      </c>
      <c r="J10" s="467" t="n"/>
      <c r="K10" s="320" t="n"/>
      <c r="L10" s="320" t="n"/>
      <c r="M10" s="320" t="n"/>
      <c r="N10" s="320" t="n"/>
    </row>
    <row r="11" ht="28.5" customHeight="1" s="334">
      <c r="A11" s="469" t="n"/>
      <c r="B11" s="469" t="n"/>
      <c r="C11" s="469" t="n"/>
      <c r="D11" s="469" t="n"/>
      <c r="E11" s="469" t="n"/>
      <c r="F11" s="385" t="inlineStr">
        <is>
          <t>на ед. изм.</t>
        </is>
      </c>
      <c r="G11" s="385" t="inlineStr">
        <is>
          <t>общая</t>
        </is>
      </c>
      <c r="H11" s="469" t="n"/>
      <c r="I11" s="385" t="inlineStr">
        <is>
          <t>на ед. изм.</t>
        </is>
      </c>
      <c r="J11" s="385" t="inlineStr">
        <is>
          <t>общая</t>
        </is>
      </c>
      <c r="K11" s="320" t="n"/>
      <c r="L11" s="320" t="n"/>
      <c r="M11" s="320" t="n"/>
      <c r="N11" s="320" t="n"/>
    </row>
    <row r="12" s="334">
      <c r="A12" s="385" t="n">
        <v>1</v>
      </c>
      <c r="B12" s="385" t="n">
        <v>2</v>
      </c>
      <c r="C12" s="385" t="n">
        <v>3</v>
      </c>
      <c r="D12" s="385" t="n">
        <v>4</v>
      </c>
      <c r="E12" s="385" t="n">
        <v>5</v>
      </c>
      <c r="F12" s="385" t="n">
        <v>6</v>
      </c>
      <c r="G12" s="385" t="n">
        <v>7</v>
      </c>
      <c r="H12" s="385" t="n">
        <v>8</v>
      </c>
      <c r="I12" s="380" t="n">
        <v>9</v>
      </c>
      <c r="J12" s="380" t="n">
        <v>10</v>
      </c>
      <c r="K12" s="320" t="n"/>
      <c r="L12" s="320" t="n"/>
      <c r="M12" s="320" t="n"/>
      <c r="N12" s="320" t="n"/>
    </row>
    <row r="13">
      <c r="A13" s="385" t="n"/>
      <c r="B13" s="371" t="inlineStr">
        <is>
          <t>Затраты труда рабочих-строителей</t>
        </is>
      </c>
      <c r="C13" s="466" t="n"/>
      <c r="D13" s="466" t="n"/>
      <c r="E13" s="466" t="n"/>
      <c r="F13" s="466" t="n"/>
      <c r="G13" s="466" t="n"/>
      <c r="H13" s="467" t="n"/>
      <c r="I13" s="272" t="n"/>
      <c r="J13" s="272" t="n"/>
    </row>
    <row r="14" ht="25.5" customHeight="1" s="334">
      <c r="A14" s="385" t="n">
        <v>1</v>
      </c>
      <c r="B14" s="268" t="inlineStr">
        <is>
          <t>1-2-8</t>
        </is>
      </c>
      <c r="C14" s="384" t="inlineStr">
        <is>
          <t>Затраты труда рабочих-строителей среднего разряда (2,8)</t>
        </is>
      </c>
      <c r="D14" s="385" t="inlineStr">
        <is>
          <t>чел.-ч.</t>
        </is>
      </c>
      <c r="E14" s="474">
        <f>G14/F14</f>
        <v/>
      </c>
      <c r="F14" s="237" t="n">
        <v>8.380000000000001</v>
      </c>
      <c r="G14" s="237">
        <f>'Прил. 3'!H11</f>
        <v/>
      </c>
      <c r="H14" s="261">
        <f>G14/G15</f>
        <v/>
      </c>
      <c r="I14" s="237">
        <f>ФОТр.тек.!E13</f>
        <v/>
      </c>
      <c r="J14" s="237">
        <f>ROUND(I14*E14,2)</f>
        <v/>
      </c>
    </row>
    <row r="15" ht="25.5" customFormat="1" customHeight="1" s="320">
      <c r="A15" s="385" t="n"/>
      <c r="B15" s="385" t="n"/>
      <c r="C15" s="371" t="inlineStr">
        <is>
          <t>Итого по разделу "Затраты труда рабочих-строителей"</t>
        </is>
      </c>
      <c r="D15" s="385" t="inlineStr">
        <is>
          <t>чел.-ч.</t>
        </is>
      </c>
      <c r="E15" s="474">
        <f>SUM(E14)</f>
        <v/>
      </c>
      <c r="F15" s="237" t="n"/>
      <c r="G15" s="237">
        <f>SUM(G14:G14)</f>
        <v/>
      </c>
      <c r="H15" s="388" t="n">
        <v>1</v>
      </c>
      <c r="I15" s="272" t="n"/>
      <c r="J15" s="237">
        <f>SUM(J14:J14)</f>
        <v/>
      </c>
    </row>
    <row r="16" ht="14.25" customFormat="1" customHeight="1" s="320">
      <c r="A16" s="385" t="n"/>
      <c r="B16" s="384" t="inlineStr">
        <is>
          <t>Затраты труда машинистов</t>
        </is>
      </c>
      <c r="C16" s="466" t="n"/>
      <c r="D16" s="466" t="n"/>
      <c r="E16" s="466" t="n"/>
      <c r="F16" s="466" t="n"/>
      <c r="G16" s="466" t="n"/>
      <c r="H16" s="467" t="n"/>
      <c r="I16" s="272" t="n"/>
      <c r="J16" s="272" t="n"/>
    </row>
    <row r="17" ht="14.25" customFormat="1" customHeight="1" s="320">
      <c r="A17" s="385" t="n">
        <v>2</v>
      </c>
      <c r="B17" s="385" t="n">
        <v>2</v>
      </c>
      <c r="C17" s="384" t="inlineStr">
        <is>
          <t>Затраты труда машинистов</t>
        </is>
      </c>
      <c r="D17" s="385" t="inlineStr">
        <is>
          <t>чел.-ч.</t>
        </is>
      </c>
      <c r="E17" s="474">
        <f>1643.08+1607.62</f>
        <v/>
      </c>
      <c r="F17" s="237">
        <f>G17/E17</f>
        <v/>
      </c>
      <c r="G17" s="237">
        <f>'Прил. 3'!H24</f>
        <v/>
      </c>
      <c r="H17" s="388" t="n">
        <v>1</v>
      </c>
      <c r="I17" s="237">
        <f>ROUND(F17*'Прил. 10'!D11,2)</f>
        <v/>
      </c>
      <c r="J17" s="237">
        <f>ROUND(I17*E17,2)</f>
        <v/>
      </c>
    </row>
    <row r="18" ht="14.25" customFormat="1" customHeight="1" s="320">
      <c r="A18" s="385" t="n"/>
      <c r="B18" s="371" t="inlineStr">
        <is>
          <t>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272" t="n"/>
      <c r="J18" s="272" t="n"/>
    </row>
    <row r="19" ht="14.25" customFormat="1" customHeight="1" s="320">
      <c r="A19" s="385" t="n"/>
      <c r="B19" s="384" t="inlineStr">
        <is>
          <t>Основные машины и механизмы</t>
        </is>
      </c>
      <c r="C19" s="466" t="n"/>
      <c r="D19" s="466" t="n"/>
      <c r="E19" s="466" t="n"/>
      <c r="F19" s="466" t="n"/>
      <c r="G19" s="466" t="n"/>
      <c r="H19" s="467" t="n"/>
      <c r="I19" s="272" t="n"/>
      <c r="J19" s="272" t="n"/>
    </row>
    <row r="20" ht="25.5" customFormat="1" customHeight="1" s="320">
      <c r="A20" s="385" t="n">
        <v>3</v>
      </c>
      <c r="B20" s="268" t="inlineStr">
        <is>
          <t>91.14.02-004</t>
        </is>
      </c>
      <c r="C20" s="384" t="inlineStr">
        <is>
          <t>Автомобили бортовые, грузоподъемность до 15т</t>
        </is>
      </c>
      <c r="D20" s="385" t="inlineStr">
        <is>
          <t>маш.-ч</t>
        </is>
      </c>
      <c r="E20" s="474" t="n">
        <v>1584.58</v>
      </c>
      <c r="F20" s="387" t="n">
        <v>92.94</v>
      </c>
      <c r="G20" s="237">
        <f>ROUND(E20*F20,2)</f>
        <v/>
      </c>
      <c r="H20" s="261">
        <f>G20/$G$55</f>
        <v/>
      </c>
      <c r="I20" s="237">
        <f>ROUND(F20*'Прил. 10'!$D$12,2)</f>
        <v/>
      </c>
      <c r="J20" s="237">
        <f>ROUND(I20*E20,2)</f>
        <v/>
      </c>
    </row>
    <row r="21" ht="38.25" customFormat="1" customHeight="1" s="320">
      <c r="A21" s="385" t="n">
        <v>4</v>
      </c>
      <c r="B21" s="268" t="inlineStr">
        <is>
          <t>91.01.05-085</t>
        </is>
      </c>
      <c r="C21" s="384" t="inlineStr">
        <is>
          <t>Экскаваторы одноковшовые дизельные на гусеничном ходу, емкость ковша 0,5 м3</t>
        </is>
      </c>
      <c r="D21" s="385" t="inlineStr">
        <is>
          <t>маш.час</t>
        </is>
      </c>
      <c r="E21" s="474" t="n">
        <v>600.97</v>
      </c>
      <c r="F21" s="387" t="n">
        <v>100</v>
      </c>
      <c r="G21" s="237">
        <f>ROUND(E21*F21,2)</f>
        <v/>
      </c>
      <c r="H21" s="261">
        <f>G21/$G$55</f>
        <v/>
      </c>
      <c r="I21" s="237">
        <f>ROUND(F21*'Прил. 10'!$D$12,2)</f>
        <v/>
      </c>
      <c r="J21" s="237">
        <f>ROUND(I21*E21,2)</f>
        <v/>
      </c>
    </row>
    <row r="22" ht="51" customFormat="1" customHeight="1" s="320">
      <c r="A22" s="385" t="n">
        <v>5</v>
      </c>
      <c r="B22" s="268" t="inlineStr">
        <is>
          <t>91.18.01-007</t>
        </is>
      </c>
      <c r="C22" s="38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85" t="inlineStr">
        <is>
          <t>маш.час</t>
        </is>
      </c>
      <c r="E22" s="474" t="n">
        <v>243.12</v>
      </c>
      <c r="F22" s="387" t="n">
        <v>90</v>
      </c>
      <c r="G22" s="237">
        <f>ROUND(E22*F22,2)</f>
        <v/>
      </c>
      <c r="H22" s="261">
        <f>G22/$G$55</f>
        <v/>
      </c>
      <c r="I22" s="237">
        <f>ROUND(F22*'Прил. 10'!$D$12,2)</f>
        <v/>
      </c>
      <c r="J22" s="237">
        <f>ROUND(I22*E22,2)</f>
        <v/>
      </c>
    </row>
    <row r="23" ht="14.25" customFormat="1" customHeight="1" s="320">
      <c r="A23" s="385" t="n">
        <v>6</v>
      </c>
      <c r="B23" s="268" t="inlineStr">
        <is>
          <t>91.01.01-035</t>
        </is>
      </c>
      <c r="C23" s="384" t="inlineStr">
        <is>
          <t>Бульдозеры, мощность 79 кВт (108 л.с.)</t>
        </is>
      </c>
      <c r="D23" s="385" t="inlineStr">
        <is>
          <t>маш.час</t>
        </is>
      </c>
      <c r="E23" s="474" t="n">
        <v>229.76</v>
      </c>
      <c r="F23" s="387" t="n">
        <v>79.06999999999999</v>
      </c>
      <c r="G23" s="237">
        <f>ROUND(E23*F23,2)</f>
        <v/>
      </c>
      <c r="H23" s="261">
        <f>G23/$G$55</f>
        <v/>
      </c>
      <c r="I23" s="237">
        <f>ROUND(F23*'Прил. 10'!$D$12,2)</f>
        <v/>
      </c>
      <c r="J23" s="237">
        <f>ROUND(I23*E23,2)</f>
        <v/>
      </c>
    </row>
    <row r="24" ht="14.25" customFormat="1" customHeight="1" s="320">
      <c r="A24" s="385" t="n">
        <v>7</v>
      </c>
      <c r="B24" s="268" t="inlineStr">
        <is>
          <t>91.01.01-034</t>
        </is>
      </c>
      <c r="C24" s="384" t="inlineStr">
        <is>
          <t>Бульдозеры, мощность 59 кВт (80 л.с.)</t>
        </is>
      </c>
      <c r="D24" s="385" t="inlineStr">
        <is>
          <t>маш.час</t>
        </is>
      </c>
      <c r="E24" s="474" t="n">
        <v>192.1</v>
      </c>
      <c r="F24" s="387" t="n">
        <v>59.47</v>
      </c>
      <c r="G24" s="237">
        <f>ROUND(E24*F24,2)</f>
        <v/>
      </c>
      <c r="H24" s="261">
        <f>G24/$G$55</f>
        <v/>
      </c>
      <c r="I24" s="237">
        <f>ROUND(F24*'Прил. 10'!$D$12,2)</f>
        <v/>
      </c>
      <c r="J24" s="237">
        <f>ROUND(I24*E24,2)</f>
        <v/>
      </c>
    </row>
    <row r="25" ht="14.25" customFormat="1" customHeight="1" s="320">
      <c r="A25" s="385" t="n"/>
      <c r="B25" s="385" t="n"/>
      <c r="C25" s="384" t="inlineStr">
        <is>
          <t>Итого основные машины и механизмы</t>
        </is>
      </c>
      <c r="D25" s="385" t="n"/>
      <c r="E25" s="474" t="n"/>
      <c r="F25" s="237" t="n"/>
      <c r="G25" s="237">
        <f>SUM(G20:G24)</f>
        <v/>
      </c>
      <c r="H25" s="388">
        <f>G25/G55</f>
        <v/>
      </c>
      <c r="I25" s="274" t="n"/>
      <c r="J25" s="237">
        <f>SUM(J20:J24)</f>
        <v/>
      </c>
    </row>
    <row r="26" hidden="1" outlineLevel="1" ht="25.5" customFormat="1" customHeight="1" s="320">
      <c r="A26" s="385" t="n">
        <v>8</v>
      </c>
      <c r="B26" s="268" t="inlineStr">
        <is>
          <t>91.05.05-014</t>
        </is>
      </c>
      <c r="C26" s="384" t="inlineStr">
        <is>
          <t>Краны на автомобильном ходу, грузоподъемность 10 т</t>
        </is>
      </c>
      <c r="D26" s="385" t="inlineStr">
        <is>
          <t>маш.час</t>
        </is>
      </c>
      <c r="E26" s="474" t="n">
        <v>93.37</v>
      </c>
      <c r="F26" s="387" t="n">
        <v>111.99</v>
      </c>
      <c r="G26" s="237">
        <f>ROUND(E26*F26,2)</f>
        <v/>
      </c>
      <c r="H26" s="261">
        <f>G26/$G$55</f>
        <v/>
      </c>
      <c r="I26" s="237">
        <f>ROUND(F26*'Прил. 10'!$D$12,2)</f>
        <v/>
      </c>
      <c r="J26" s="237">
        <f>ROUND(I26*E26,2)</f>
        <v/>
      </c>
    </row>
    <row r="27" hidden="1" outlineLevel="1" ht="25.5" customFormat="1" customHeight="1" s="320">
      <c r="A27" s="385" t="n">
        <v>9</v>
      </c>
      <c r="B27" s="268" t="inlineStr">
        <is>
          <t>91.14.02-001</t>
        </is>
      </c>
      <c r="C27" s="384" t="inlineStr">
        <is>
          <t>Автомобили бортовые, грузоподъемность: до 5 т</t>
        </is>
      </c>
      <c r="D27" s="385" t="inlineStr">
        <is>
          <t>маш.час</t>
        </is>
      </c>
      <c r="E27" s="474" t="n">
        <v>84.44</v>
      </c>
      <c r="F27" s="387" t="n">
        <v>65.70999999999999</v>
      </c>
      <c r="G27" s="237">
        <f>ROUND(E27*F27,2)</f>
        <v/>
      </c>
      <c r="H27" s="261">
        <f>G27/$G$55</f>
        <v/>
      </c>
      <c r="I27" s="237">
        <f>ROUND(F27*'Прил. 10'!$D$12,2)</f>
        <v/>
      </c>
      <c r="J27" s="237">
        <f>ROUND(I27*E27,2)</f>
        <v/>
      </c>
    </row>
    <row r="28" hidden="1" outlineLevel="1" ht="38.25" customFormat="1" customHeight="1" s="320">
      <c r="A28" s="385" t="n">
        <v>10</v>
      </c>
      <c r="B28" s="268" t="inlineStr">
        <is>
          <t>91.01.05-106</t>
        </is>
      </c>
      <c r="C28" s="384" t="inlineStr">
        <is>
          <t>Экскаваторы одноковшовые дизельные на пневмоколесном ходу, емкость ковша 0,25 м3</t>
        </is>
      </c>
      <c r="D28" s="385" t="inlineStr">
        <is>
          <t>маш.час</t>
        </is>
      </c>
      <c r="E28" s="474" t="n">
        <v>77.28</v>
      </c>
      <c r="F28" s="387" t="n">
        <v>70.01000000000001</v>
      </c>
      <c r="G28" s="237">
        <f>ROUND(E28*F28,2)</f>
        <v/>
      </c>
      <c r="H28" s="261">
        <f>G28/$G$55</f>
        <v/>
      </c>
      <c r="I28" s="237">
        <f>ROUND(F28*'Прил. 10'!$D$12,2)</f>
        <v/>
      </c>
      <c r="J28" s="237">
        <f>ROUND(I28*E28,2)</f>
        <v/>
      </c>
    </row>
    <row r="29" hidden="1" outlineLevel="1" ht="14.25" customFormat="1" customHeight="1" s="320">
      <c r="A29" s="385" t="n">
        <v>11</v>
      </c>
      <c r="B29" s="268" t="inlineStr">
        <is>
          <t>91.05.01-017</t>
        </is>
      </c>
      <c r="C29" s="384" t="inlineStr">
        <is>
          <t>Краны башенные, грузоподъемность 8 т</t>
        </is>
      </c>
      <c r="D29" s="385" t="inlineStr">
        <is>
          <t>маш.час</t>
        </is>
      </c>
      <c r="E29" s="474" t="n">
        <v>53.26</v>
      </c>
      <c r="F29" s="387" t="n">
        <v>86.40000000000001</v>
      </c>
      <c r="G29" s="237">
        <f>ROUND(E29*F29,2)</f>
        <v/>
      </c>
      <c r="H29" s="261">
        <f>G29/$G$55</f>
        <v/>
      </c>
      <c r="I29" s="237">
        <f>ROUND(F29*'Прил. 10'!$D$12,2)</f>
        <v/>
      </c>
      <c r="J29" s="237">
        <f>ROUND(I29*E29,2)</f>
        <v/>
      </c>
    </row>
    <row r="30" hidden="1" outlineLevel="1" ht="14.25" customFormat="1" customHeight="1" s="320">
      <c r="A30" s="385" t="n">
        <v>12</v>
      </c>
      <c r="B30" s="268" t="inlineStr">
        <is>
          <t>91.08.11-011</t>
        </is>
      </c>
      <c r="C30" s="384" t="inlineStr">
        <is>
          <t>Заливщик швов на базе автомобиля</t>
        </is>
      </c>
      <c r="D30" s="385" t="inlineStr">
        <is>
          <t>маш.час</t>
        </is>
      </c>
      <c r="E30" s="474" t="n">
        <v>18.76</v>
      </c>
      <c r="F30" s="387" t="n">
        <v>175.25</v>
      </c>
      <c r="G30" s="237">
        <f>ROUND(E30*F30,2)</f>
        <v/>
      </c>
      <c r="H30" s="261">
        <f>G30/$G$55</f>
        <v/>
      </c>
      <c r="I30" s="237">
        <f>ROUND(F30*'Прил. 10'!$D$12,2)</f>
        <v/>
      </c>
      <c r="J30" s="237">
        <f>ROUND(I30*E30,2)</f>
        <v/>
      </c>
    </row>
    <row r="31" hidden="1" outlineLevel="1" ht="25.5" customFormat="1" customHeight="1" s="320">
      <c r="A31" s="385" t="n">
        <v>13</v>
      </c>
      <c r="B31" s="268" t="inlineStr">
        <is>
          <t>91.14.03-002</t>
        </is>
      </c>
      <c r="C31" s="384" t="inlineStr">
        <is>
          <t>Автомобили-самосвалы, грузоподъемность до 10 т</t>
        </is>
      </c>
      <c r="D31" s="385" t="inlineStr">
        <is>
          <t>маш.-ч</t>
        </is>
      </c>
      <c r="E31" s="474" t="n">
        <v>23.04</v>
      </c>
      <c r="F31" s="387" t="n">
        <v>87.48999999999999</v>
      </c>
      <c r="G31" s="237">
        <f>ROUND(E31*F31,2)</f>
        <v/>
      </c>
      <c r="H31" s="261">
        <f>G31/$G$55</f>
        <v/>
      </c>
      <c r="I31" s="237">
        <f>ROUND(F31*'Прил. 10'!$D$12,2)</f>
        <v/>
      </c>
      <c r="J31" s="237">
        <f>ROUND(I31*E31,2)</f>
        <v/>
      </c>
    </row>
    <row r="32" hidden="1" outlineLevel="1" ht="25.5" customFormat="1" customHeight="1" s="320">
      <c r="A32" s="385" t="n">
        <v>14</v>
      </c>
      <c r="B32" s="268" t="inlineStr">
        <is>
          <t>91.05.05-014</t>
        </is>
      </c>
      <c r="C32" s="384" t="inlineStr">
        <is>
          <t>Краны на автомобильном ходу, грузоподъемность 10 т</t>
        </is>
      </c>
      <c r="D32" s="385" t="inlineStr">
        <is>
          <t>маш.-ч</t>
        </is>
      </c>
      <c r="E32" s="474" t="n">
        <v>16</v>
      </c>
      <c r="F32" s="387" t="n">
        <v>111.99</v>
      </c>
      <c r="G32" s="237">
        <f>ROUND(E32*F32,2)</f>
        <v/>
      </c>
      <c r="H32" s="261">
        <f>G32/$G$55</f>
        <v/>
      </c>
      <c r="I32" s="237">
        <f>ROUND(F32*'Прил. 10'!$D$12,2)</f>
        <v/>
      </c>
      <c r="J32" s="237">
        <f>ROUND(I32*E32,2)</f>
        <v/>
      </c>
    </row>
    <row r="33" hidden="1" outlineLevel="1" ht="25.5" customFormat="1" customHeight="1" s="320">
      <c r="A33" s="385" t="n">
        <v>15</v>
      </c>
      <c r="B33" s="268" t="inlineStr">
        <is>
          <t>91.08.03-030</t>
        </is>
      </c>
      <c r="C33" s="384" t="inlineStr">
        <is>
          <t>Катки на пневмоколесном ходу, масса 30 т</t>
        </is>
      </c>
      <c r="D33" s="385" t="inlineStr">
        <is>
          <t>маш.час</t>
        </is>
      </c>
      <c r="E33" s="474" t="n">
        <v>3.75</v>
      </c>
      <c r="F33" s="387" t="n">
        <v>206.01</v>
      </c>
      <c r="G33" s="237">
        <f>ROUND(E33*F33,2)</f>
        <v/>
      </c>
      <c r="H33" s="261">
        <f>G33/$G$55</f>
        <v/>
      </c>
      <c r="I33" s="237">
        <f>ROUND(F33*'Прил. 10'!$D$12,2)</f>
        <v/>
      </c>
      <c r="J33" s="237">
        <f>ROUND(I33*E33,2)</f>
        <v/>
      </c>
    </row>
    <row r="34" hidden="1" outlineLevel="1" ht="25.5" customFormat="1" customHeight="1" s="320">
      <c r="A34" s="385" t="n">
        <v>16</v>
      </c>
      <c r="B34" s="268" t="inlineStr">
        <is>
          <t>91.06.06-042</t>
        </is>
      </c>
      <c r="C34" s="384" t="inlineStr">
        <is>
          <t>Подъемники гидравлические высотой подъема: 10 м</t>
        </is>
      </c>
      <c r="D34" s="385" t="inlineStr">
        <is>
          <t>маш.час</t>
        </is>
      </c>
      <c r="E34" s="474" t="n">
        <v>18.11</v>
      </c>
      <c r="F34" s="387" t="n">
        <v>29.6</v>
      </c>
      <c r="G34" s="237">
        <f>ROUND(E34*F34,2)</f>
        <v/>
      </c>
      <c r="H34" s="261">
        <f>G34/$G$55</f>
        <v/>
      </c>
      <c r="I34" s="237">
        <f>ROUND(F34*'Прил. 10'!$D$12,2)</f>
        <v/>
      </c>
      <c r="J34" s="237">
        <f>ROUND(I34*E34,2)</f>
        <v/>
      </c>
    </row>
    <row r="35" hidden="1" outlineLevel="1" ht="25.5" customFormat="1" customHeight="1" s="320">
      <c r="A35" s="385" t="n">
        <v>17</v>
      </c>
      <c r="B35" s="268" t="inlineStr">
        <is>
          <t>91.08.09-023</t>
        </is>
      </c>
      <c r="C35" s="384" t="inlineStr">
        <is>
          <t>Трамбовки пневматические при работе от: передвижных компрессорных станций</t>
        </is>
      </c>
      <c r="D35" s="385" t="inlineStr">
        <is>
          <t>маш.час</t>
        </is>
      </c>
      <c r="E35" s="474" t="n">
        <v>971.4</v>
      </c>
      <c r="F35" s="387" t="n">
        <v>0.55</v>
      </c>
      <c r="G35" s="237">
        <f>ROUND(E35*F35,2)</f>
        <v/>
      </c>
      <c r="H35" s="261">
        <f>G35/$G$55</f>
        <v/>
      </c>
      <c r="I35" s="237">
        <f>ROUND(F35*'Прил. 10'!$D$12,2)</f>
        <v/>
      </c>
      <c r="J35" s="237">
        <f>ROUND(I35*E35,2)</f>
        <v/>
      </c>
    </row>
    <row r="36" hidden="1" outlineLevel="1" ht="14.25" customFormat="1" customHeight="1" s="320">
      <c r="A36" s="385" t="n">
        <v>18</v>
      </c>
      <c r="B36" s="268" t="inlineStr">
        <is>
          <t>91.06.05-011</t>
        </is>
      </c>
      <c r="C36" s="384" t="inlineStr">
        <is>
          <t>Погрузчик, грузоподъемность 5 т</t>
        </is>
      </c>
      <c r="D36" s="385" t="inlineStr">
        <is>
          <t>маш.час</t>
        </is>
      </c>
      <c r="E36" s="474" t="n">
        <v>5.17</v>
      </c>
      <c r="F36" s="387" t="n">
        <v>89.98999999999999</v>
      </c>
      <c r="G36" s="237">
        <f>ROUND(E36*F36,2)</f>
        <v/>
      </c>
      <c r="H36" s="261">
        <f>G36/$G$55</f>
        <v/>
      </c>
      <c r="I36" s="237">
        <f>ROUND(F36*'Прил. 10'!$D$12,2)</f>
        <v/>
      </c>
      <c r="J36" s="237">
        <f>ROUND(I36*E36,2)</f>
        <v/>
      </c>
    </row>
    <row r="37" hidden="1" outlineLevel="1" ht="25.5" customFormat="1" customHeight="1" s="320">
      <c r="A37" s="385" t="n">
        <v>19</v>
      </c>
      <c r="B37" s="268" t="inlineStr">
        <is>
          <t>91.05.06-007</t>
        </is>
      </c>
      <c r="C37" s="384" t="inlineStr">
        <is>
          <t>Краны на гусеничном ходу, грузоподъемность 25 т</t>
        </is>
      </c>
      <c r="D37" s="385" t="inlineStr">
        <is>
          <t>маш.час</t>
        </is>
      </c>
      <c r="E37" s="474" t="n">
        <v>3.3</v>
      </c>
      <c r="F37" s="387" t="n">
        <v>120.04</v>
      </c>
      <c r="G37" s="237">
        <f>ROUND(E37*F37,2)</f>
        <v/>
      </c>
      <c r="H37" s="261">
        <f>G37/$G$55</f>
        <v/>
      </c>
      <c r="I37" s="237">
        <f>ROUND(F37*'Прил. 10'!$D$12,2)</f>
        <v/>
      </c>
      <c r="J37" s="237">
        <f>ROUND(I37*E37,2)</f>
        <v/>
      </c>
    </row>
    <row r="38" hidden="1" outlineLevel="1" ht="14.25" customFormat="1" customHeight="1" s="320">
      <c r="A38" s="385" t="n">
        <v>20</v>
      </c>
      <c r="B38" s="268" t="inlineStr">
        <is>
          <t>91.21.22-341</t>
        </is>
      </c>
      <c r="C38" s="384" t="inlineStr">
        <is>
          <t>Рефлектометр</t>
        </is>
      </c>
      <c r="D38" s="385" t="inlineStr">
        <is>
          <t>маш.час</t>
        </is>
      </c>
      <c r="E38" s="474" t="n">
        <v>31.65</v>
      </c>
      <c r="F38" s="387" t="n">
        <v>10.62</v>
      </c>
      <c r="G38" s="237">
        <f>ROUND(E38*F38,2)</f>
        <v/>
      </c>
      <c r="H38" s="261">
        <f>G38/$G$55</f>
        <v/>
      </c>
      <c r="I38" s="237">
        <f>ROUND(F38*'Прил. 10'!$D$12,2)</f>
        <v/>
      </c>
      <c r="J38" s="237">
        <f>ROUND(I38*E38,2)</f>
        <v/>
      </c>
    </row>
    <row r="39" hidden="1" outlineLevel="1" ht="14.25" customFormat="1" customHeight="1" s="320">
      <c r="A39" s="385" t="n">
        <v>21</v>
      </c>
      <c r="B39" s="268" t="inlineStr">
        <is>
          <t>91.08.05-082</t>
        </is>
      </c>
      <c r="C39" s="384" t="inlineStr">
        <is>
          <t>Пневмобетоноукладчики: 3,3 м3</t>
        </is>
      </c>
      <c r="D39" s="385" t="inlineStr">
        <is>
          <t>маш.час</t>
        </is>
      </c>
      <c r="E39" s="474" t="n">
        <v>2.64</v>
      </c>
      <c r="F39" s="387" t="n">
        <v>72.38</v>
      </c>
      <c r="G39" s="237">
        <f>ROUND(E39*F39,2)</f>
        <v/>
      </c>
      <c r="H39" s="261">
        <f>G39/$G$55</f>
        <v/>
      </c>
      <c r="I39" s="237">
        <f>ROUND(F39*'Прил. 10'!$D$12,2)</f>
        <v/>
      </c>
      <c r="J39" s="237">
        <f>ROUND(I39*E39,2)</f>
        <v/>
      </c>
    </row>
    <row r="40" hidden="1" outlineLevel="1" ht="25.5" customFormat="1" customHeight="1" s="320">
      <c r="A40" s="385" t="n">
        <v>22</v>
      </c>
      <c r="B40" s="268" t="inlineStr">
        <is>
          <t>91.17.04-194</t>
        </is>
      </c>
      <c r="C40" s="384" t="inlineStr">
        <is>
          <t>Сварочный аппарат для сварки оптических кабелей со скалывателем</t>
        </is>
      </c>
      <c r="D40" s="385" t="inlineStr">
        <is>
          <t>маш.час</t>
        </is>
      </c>
      <c r="E40" s="474" t="n">
        <v>14.39</v>
      </c>
      <c r="F40" s="387" t="n">
        <v>12.14</v>
      </c>
      <c r="G40" s="237">
        <f>ROUND(E40*F40,2)</f>
        <v/>
      </c>
      <c r="H40" s="261">
        <f>G40/$G$55</f>
        <v/>
      </c>
      <c r="I40" s="237">
        <f>ROUND(F40*'Прил. 10'!$D$12,2)</f>
        <v/>
      </c>
      <c r="J40" s="237">
        <f>ROUND(I40*E40,2)</f>
        <v/>
      </c>
    </row>
    <row r="41" hidden="1" outlineLevel="1" ht="38.25" customFormat="1" customHeight="1" s="320">
      <c r="A41" s="385" t="n">
        <v>23</v>
      </c>
      <c r="B41" s="268" t="inlineStr">
        <is>
          <t>91.17.04-036</t>
        </is>
      </c>
      <c r="C41" s="384" t="inlineStr">
        <is>
          <t>Агрегаты сварочные передвижные номинальным сварочным током 250-400 А: с дизельным двигателем</t>
        </is>
      </c>
      <c r="D41" s="385" t="inlineStr">
        <is>
          <t>маш.час</t>
        </is>
      </c>
      <c r="E41" s="474" t="n">
        <v>11.76</v>
      </c>
      <c r="F41" s="387" t="n">
        <v>14</v>
      </c>
      <c r="G41" s="237">
        <f>ROUND(E41*F41,2)</f>
        <v/>
      </c>
      <c r="H41" s="261">
        <f>G41/$G$55</f>
        <v/>
      </c>
      <c r="I41" s="237">
        <f>ROUND(F41*'Прил. 10'!$D$12,2)</f>
        <v/>
      </c>
      <c r="J41" s="237">
        <f>ROUND(I41*E41,2)</f>
        <v/>
      </c>
    </row>
    <row r="42" hidden="1" outlineLevel="1" ht="25.5" customFormat="1" customHeight="1" s="320">
      <c r="A42" s="385" t="n">
        <v>24</v>
      </c>
      <c r="B42" s="268" t="inlineStr">
        <is>
          <t>91.01.02-004</t>
        </is>
      </c>
      <c r="C42" s="384" t="inlineStr">
        <is>
          <t>Автогрейдеры: среднего типа, мощность 99 кВт (135 л.с.)</t>
        </is>
      </c>
      <c r="D42" s="385" t="inlineStr">
        <is>
          <t>маш.час</t>
        </is>
      </c>
      <c r="E42" s="474" t="n">
        <v>0.9399999999999999</v>
      </c>
      <c r="F42" s="387" t="n">
        <v>123</v>
      </c>
      <c r="G42" s="237">
        <f>ROUND(E42*F42,2)</f>
        <v/>
      </c>
      <c r="H42" s="261">
        <f>G42/$G$55</f>
        <v/>
      </c>
      <c r="I42" s="237">
        <f>ROUND(F42*'Прил. 10'!$D$12,2)</f>
        <v/>
      </c>
      <c r="J42" s="237">
        <f>ROUND(I42*E42,2)</f>
        <v/>
      </c>
    </row>
    <row r="43" hidden="1" outlineLevel="1" ht="25.5" customFormat="1" customHeight="1" s="320">
      <c r="A43" s="385" t="n">
        <v>25</v>
      </c>
      <c r="B43" s="268" t="inlineStr">
        <is>
          <t>91.14.04-002</t>
        </is>
      </c>
      <c r="C43" s="384" t="inlineStr">
        <is>
          <t>Тягачи седельные, грузоподъемность: 15 т</t>
        </is>
      </c>
      <c r="D43" s="385" t="inlineStr">
        <is>
          <t>маш.час</t>
        </is>
      </c>
      <c r="E43" s="474" t="n">
        <v>1.03</v>
      </c>
      <c r="F43" s="387" t="n">
        <v>94.38</v>
      </c>
      <c r="G43" s="237">
        <f>ROUND(E43*F43,2)</f>
        <v/>
      </c>
      <c r="H43" s="261">
        <f>G43/$G$55</f>
        <v/>
      </c>
      <c r="I43" s="237">
        <f>ROUND(F43*'Прил. 10'!$D$12,2)</f>
        <v/>
      </c>
      <c r="J43" s="237">
        <f>ROUND(I43*E43,2)</f>
        <v/>
      </c>
    </row>
    <row r="44" hidden="1" outlineLevel="1" ht="25.5" customFormat="1" customHeight="1" s="320">
      <c r="A44" s="385" t="n">
        <v>26</v>
      </c>
      <c r="B44" s="268" t="inlineStr">
        <is>
          <t>91.14.03-001</t>
        </is>
      </c>
      <c r="C44" s="384" t="inlineStr">
        <is>
          <t>Автомобиль-самосвал, грузоподъемность: до 7 т</t>
        </is>
      </c>
      <c r="D44" s="385" t="inlineStr">
        <is>
          <t>маш.час</t>
        </is>
      </c>
      <c r="E44" s="474" t="n">
        <v>0.87</v>
      </c>
      <c r="F44" s="387" t="n">
        <v>89.54000000000001</v>
      </c>
      <c r="G44" s="237">
        <f>ROUND(E44*F44,2)</f>
        <v/>
      </c>
      <c r="H44" s="261">
        <f>G44/$G$55</f>
        <v/>
      </c>
      <c r="I44" s="237">
        <f>ROUND(F44*'Прил. 10'!$D$12,2)</f>
        <v/>
      </c>
      <c r="J44" s="237">
        <f>ROUND(I44*E44,2)</f>
        <v/>
      </c>
    </row>
    <row r="45" hidden="1" outlineLevel="1" ht="14.25" customFormat="1" customHeight="1" s="320">
      <c r="A45" s="385" t="n">
        <v>27</v>
      </c>
      <c r="B45" s="268" t="inlineStr">
        <is>
          <t>91.07.04-002</t>
        </is>
      </c>
      <c r="C45" s="384" t="inlineStr">
        <is>
          <t>Вибратор поверхностный</t>
        </is>
      </c>
      <c r="D45" s="385" t="inlineStr">
        <is>
          <t>маш.час</t>
        </is>
      </c>
      <c r="E45" s="474" t="n">
        <v>141.97</v>
      </c>
      <c r="F45" s="387" t="n">
        <v>0.5</v>
      </c>
      <c r="G45" s="237">
        <f>ROUND(E45*F45,2)</f>
        <v/>
      </c>
      <c r="H45" s="261">
        <f>G45/$G$55</f>
        <v/>
      </c>
      <c r="I45" s="237">
        <f>ROUND(F45*'Прил. 10'!$D$12,2)</f>
        <v/>
      </c>
      <c r="J45" s="237">
        <f>ROUND(I45*E45,2)</f>
        <v/>
      </c>
    </row>
    <row r="46" hidden="1" outlineLevel="1" ht="25.5" customFormat="1" customHeight="1" s="320">
      <c r="A46" s="385" t="n">
        <v>28</v>
      </c>
      <c r="B46" s="268" t="inlineStr">
        <is>
          <t>91.17.04-233</t>
        </is>
      </c>
      <c r="C46" s="384" t="inlineStr">
        <is>
          <t>Установки для сварки: ручной дуговой (постоянного тока)</t>
        </is>
      </c>
      <c r="D46" s="385" t="inlineStr">
        <is>
          <t>маш.час</t>
        </is>
      </c>
      <c r="E46" s="474" t="n">
        <v>8.57</v>
      </c>
      <c r="F46" s="387" t="n">
        <v>8.1</v>
      </c>
      <c r="G46" s="237">
        <f>ROUND(E46*F46,2)</f>
        <v/>
      </c>
      <c r="H46" s="261">
        <f>G46/$G$55</f>
        <v/>
      </c>
      <c r="I46" s="237">
        <f>ROUND(F46*'Прил. 10'!$D$12,2)</f>
        <v/>
      </c>
      <c r="J46" s="237">
        <f>ROUND(I46*E46,2)</f>
        <v/>
      </c>
    </row>
    <row r="47" hidden="1" outlineLevel="1" ht="14.25" customFormat="1" customHeight="1" s="320">
      <c r="A47" s="385" t="n">
        <v>29</v>
      </c>
      <c r="B47" s="268" t="inlineStr">
        <is>
          <t>91.08.04-021</t>
        </is>
      </c>
      <c r="C47" s="384" t="inlineStr">
        <is>
          <t>Котлы битумные: передвижные 400 л</t>
        </is>
      </c>
      <c r="D47" s="385" t="inlineStr">
        <is>
          <t>маш.час</t>
        </is>
      </c>
      <c r="E47" s="474" t="n">
        <v>1.54</v>
      </c>
      <c r="F47" s="387" t="n">
        <v>30</v>
      </c>
      <c r="G47" s="237">
        <f>ROUND(E47*F47,2)</f>
        <v/>
      </c>
      <c r="H47" s="261">
        <f>G47/$G$55</f>
        <v/>
      </c>
      <c r="I47" s="237">
        <f>ROUND(F47*'Прил. 10'!$D$12,2)</f>
        <v/>
      </c>
      <c r="J47" s="237">
        <f>ROUND(I47*E47,2)</f>
        <v/>
      </c>
    </row>
    <row r="48" hidden="1" outlineLevel="1" ht="14.25" customFormat="1" customHeight="1" s="320">
      <c r="A48" s="385" t="n">
        <v>30</v>
      </c>
      <c r="B48" s="268" t="inlineStr">
        <is>
          <t>91.13.01-038</t>
        </is>
      </c>
      <c r="C48" s="384" t="inlineStr">
        <is>
          <t>Машины поливомоечные 6000 л</t>
        </is>
      </c>
      <c r="D48" s="385" t="inlineStr">
        <is>
          <t>маш.час</t>
        </is>
      </c>
      <c r="E48" s="474" t="n">
        <v>0.39</v>
      </c>
      <c r="F48" s="387" t="n">
        <v>110</v>
      </c>
      <c r="G48" s="237">
        <f>ROUND(E48*F48,2)</f>
        <v/>
      </c>
      <c r="H48" s="261">
        <f>G48/$G$55</f>
        <v/>
      </c>
      <c r="I48" s="237">
        <f>ROUND(F48*'Прил. 10'!$D$12,2)</f>
        <v/>
      </c>
      <c r="J48" s="237">
        <f>ROUND(I48*E48,2)</f>
        <v/>
      </c>
    </row>
    <row r="49" hidden="1" outlineLevel="1" ht="38.25" customFormat="1" customHeight="1" s="320">
      <c r="A49" s="385" t="n">
        <v>31</v>
      </c>
      <c r="B49" s="268" t="inlineStr">
        <is>
          <t>91.06.05-057</t>
        </is>
      </c>
      <c r="C49" s="384" t="inlineStr">
        <is>
          <t>Погрузчики одноковшовые универсальные фронтальные пневмоколесные, грузоподъемность 3 т</t>
        </is>
      </c>
      <c r="D49" s="385" t="inlineStr">
        <is>
          <t>маш.час</t>
        </is>
      </c>
      <c r="E49" s="474" t="n">
        <v>0.46</v>
      </c>
      <c r="F49" s="387" t="n">
        <v>90.40000000000001</v>
      </c>
      <c r="G49" s="237">
        <f>ROUND(E49*F49,2)</f>
        <v/>
      </c>
      <c r="H49" s="261">
        <f>G49/$G$55</f>
        <v/>
      </c>
      <c r="I49" s="237">
        <f>ROUND(F49*'Прил. 10'!$D$12,2)</f>
        <v/>
      </c>
      <c r="J49" s="237">
        <f>ROUND(I49*E49,2)</f>
        <v/>
      </c>
    </row>
    <row r="50" hidden="1" outlineLevel="1" ht="25.5" customFormat="1" customHeight="1" s="320">
      <c r="A50" s="385" t="n">
        <v>32</v>
      </c>
      <c r="B50" s="268" t="inlineStr">
        <is>
          <t>91.14.05-002</t>
        </is>
      </c>
      <c r="C50" s="384" t="inlineStr">
        <is>
          <t>Полуприцепы-тяжеловозы, грузоподъемность: 40 т</t>
        </is>
      </c>
      <c r="D50" s="385" t="inlineStr">
        <is>
          <t>маш.час</t>
        </is>
      </c>
      <c r="E50" s="474" t="n">
        <v>1.03</v>
      </c>
      <c r="F50" s="387" t="n">
        <v>28.65</v>
      </c>
      <c r="G50" s="237">
        <f>ROUND(E50*F50,2)</f>
        <v/>
      </c>
      <c r="H50" s="261">
        <f>G50/$G$55</f>
        <v/>
      </c>
      <c r="I50" s="237">
        <f>ROUND(F50*'Прил. 10'!$D$12,2)</f>
        <v/>
      </c>
      <c r="J50" s="237">
        <f>ROUND(I50*E50,2)</f>
        <v/>
      </c>
    </row>
    <row r="51" hidden="1" outlineLevel="1" ht="38.25" customFormat="1" customHeight="1" s="320">
      <c r="A51" s="385" t="n">
        <v>33</v>
      </c>
      <c r="B51" s="268" t="inlineStr">
        <is>
          <t>91.18.01-012</t>
        </is>
      </c>
      <c r="C51" s="384" t="inlineStr">
        <is>
          <t>Компрессоры передвижные с электродвигателем давлением 600 кПа (6 ат), производительность: до 3,5 м3/мин</t>
        </is>
      </c>
      <c r="D51" s="385" t="inlineStr">
        <is>
          <t>маш.час</t>
        </is>
      </c>
      <c r="E51" s="474" t="n">
        <v>0.35</v>
      </c>
      <c r="F51" s="387" t="n">
        <v>32.5</v>
      </c>
      <c r="G51" s="237">
        <f>ROUND(E51*F51,2)</f>
        <v/>
      </c>
      <c r="H51" s="261">
        <f>G51/$G$55</f>
        <v/>
      </c>
      <c r="I51" s="237">
        <f>ROUND(F51*'Прил. 10'!$D$12,2)</f>
        <v/>
      </c>
      <c r="J51" s="237">
        <f>ROUND(I51*E51,2)</f>
        <v/>
      </c>
    </row>
    <row r="52" hidden="1" outlineLevel="1" ht="25.5" customFormat="1" customHeight="1" s="320">
      <c r="A52" s="385" t="n">
        <v>34</v>
      </c>
      <c r="B52" s="268" t="inlineStr">
        <is>
          <t>91.08.09-024</t>
        </is>
      </c>
      <c r="C52" s="384" t="inlineStr">
        <is>
          <t>Трамбовки пневматические при работе от: стационарного компрессора</t>
        </is>
      </c>
      <c r="D52" s="385" t="inlineStr">
        <is>
          <t>маш.час</t>
        </is>
      </c>
      <c r="E52" s="474" t="n">
        <v>0.35</v>
      </c>
      <c r="F52" s="387" t="n">
        <v>4.91</v>
      </c>
      <c r="G52" s="237">
        <f>ROUND(E52*F52,2)</f>
        <v/>
      </c>
      <c r="H52" s="261">
        <f>G52/$G$55</f>
        <v/>
      </c>
      <c r="I52" s="237">
        <f>ROUND(F52*'Прил. 10'!$D$12,2)</f>
        <v/>
      </c>
      <c r="J52" s="237">
        <f>ROUND(I52*E52,2)</f>
        <v/>
      </c>
    </row>
    <row r="53" hidden="1" outlineLevel="1" ht="25.5" customFormat="1" customHeight="1" s="320">
      <c r="A53" s="385" t="n">
        <v>35</v>
      </c>
      <c r="B53" s="268" t="inlineStr">
        <is>
          <t>91.21.16-012</t>
        </is>
      </c>
      <c r="C53" s="384" t="inlineStr">
        <is>
          <t>Пресс: гидравлический с электроприводом</t>
        </is>
      </c>
      <c r="D53" s="385" t="inlineStr">
        <is>
          <t>маш.час</t>
        </is>
      </c>
      <c r="E53" s="474" t="n">
        <v>0.97</v>
      </c>
      <c r="F53" s="387" t="n">
        <v>1.11</v>
      </c>
      <c r="G53" s="237">
        <f>ROUND(E53*F53,2)</f>
        <v/>
      </c>
      <c r="H53" s="261">
        <f>G53/$G$55</f>
        <v/>
      </c>
      <c r="I53" s="237">
        <f>ROUND(F53*'Прил. 10'!$D$12,2)</f>
        <v/>
      </c>
      <c r="J53" s="237">
        <f>ROUND(I53*E53,2)</f>
        <v/>
      </c>
    </row>
    <row r="54" collapsed="1" ht="14.25" customFormat="1" customHeight="1" s="320">
      <c r="A54" s="385" t="n"/>
      <c r="B54" s="390" t="n"/>
      <c r="C54" s="389" t="inlineStr">
        <is>
          <t>Итого прочие машины и механизмы</t>
        </is>
      </c>
      <c r="D54" s="390" t="n"/>
      <c r="E54" s="391" t="n"/>
      <c r="F54" s="304" t="n"/>
      <c r="G54" s="290">
        <f>SUM(G26:G53)</f>
        <v/>
      </c>
      <c r="H54" s="291">
        <f>G54/G55</f>
        <v/>
      </c>
      <c r="I54" s="237" t="n"/>
      <c r="J54" s="237">
        <f>SUM(J26:J53)</f>
        <v/>
      </c>
    </row>
    <row r="55" ht="25.5" customFormat="1" customHeight="1" s="320">
      <c r="A55" s="385" t="n"/>
      <c r="B55" s="390" t="n"/>
      <c r="C55" s="394" t="inlineStr">
        <is>
          <t>Итого по разделу «Машины и механизмы»</t>
        </is>
      </c>
      <c r="D55" s="390" t="n"/>
      <c r="E55" s="391" t="n"/>
      <c r="F55" s="304" t="n"/>
      <c r="G55" s="304">
        <f>G54+G25</f>
        <v/>
      </c>
      <c r="H55" s="293" t="n">
        <v>1</v>
      </c>
      <c r="I55" s="184" t="n"/>
      <c r="J55" s="198">
        <f>J54+J25</f>
        <v/>
      </c>
    </row>
    <row r="56" ht="14.25" customFormat="1" customHeight="1" s="320">
      <c r="A56" s="385" t="n"/>
      <c r="B56" s="394" t="inlineStr">
        <is>
          <t>Оборудование</t>
        </is>
      </c>
      <c r="C56" s="466" t="n"/>
      <c r="D56" s="466" t="n"/>
      <c r="E56" s="466" t="n"/>
      <c r="F56" s="466" t="n"/>
      <c r="G56" s="466" t="n"/>
      <c r="H56" s="467" t="n"/>
      <c r="I56" s="272" t="n"/>
      <c r="J56" s="272" t="n"/>
    </row>
    <row r="57">
      <c r="A57" s="385" t="n"/>
      <c r="B57" s="389" t="inlineStr">
        <is>
          <t>Основное оборудование</t>
        </is>
      </c>
      <c r="C57" s="466" t="n"/>
      <c r="D57" s="466" t="n"/>
      <c r="E57" s="466" t="n"/>
      <c r="F57" s="466" t="n"/>
      <c r="G57" s="466" t="n"/>
      <c r="H57" s="467" t="n"/>
      <c r="I57" s="272" t="n"/>
      <c r="J57" s="272" t="n"/>
      <c r="K57" s="320" t="n"/>
      <c r="L57" s="320" t="n"/>
    </row>
    <row r="58">
      <c r="A58" s="385" t="n"/>
      <c r="B58" s="390" t="n"/>
      <c r="C58" s="389" t="inlineStr">
        <is>
          <t>Итого основное оборудование</t>
        </is>
      </c>
      <c r="D58" s="390" t="n"/>
      <c r="E58" s="475" t="n"/>
      <c r="F58" s="392" t="n"/>
      <c r="G58" s="304" t="n">
        <v>0</v>
      </c>
      <c r="H58" s="291" t="n">
        <v>0</v>
      </c>
      <c r="I58" s="274" t="n"/>
      <c r="J58" s="237" t="n">
        <v>0</v>
      </c>
      <c r="K58" s="320" t="n"/>
      <c r="L58" s="320" t="n"/>
    </row>
    <row r="59">
      <c r="A59" s="385" t="n"/>
      <c r="B59" s="385" t="n"/>
      <c r="C59" s="384" t="inlineStr">
        <is>
          <t>Итого прочее оборудование</t>
        </is>
      </c>
      <c r="D59" s="385" t="n"/>
      <c r="E59" s="474" t="n"/>
      <c r="F59" s="387" t="n"/>
      <c r="G59" s="237" t="n">
        <v>0</v>
      </c>
      <c r="H59" s="261" t="n">
        <v>0</v>
      </c>
      <c r="I59" s="274" t="n"/>
      <c r="J59" s="237" t="n">
        <v>0</v>
      </c>
      <c r="K59" s="320" t="n"/>
      <c r="L59" s="320" t="n"/>
    </row>
    <row r="60">
      <c r="A60" s="385" t="n"/>
      <c r="B60" s="385" t="n"/>
      <c r="C60" s="371" t="inlineStr">
        <is>
          <t>Итого по разделу «Оборудование»</t>
        </is>
      </c>
      <c r="D60" s="385" t="n"/>
      <c r="E60" s="386" t="n"/>
      <c r="F60" s="387" t="n"/>
      <c r="G60" s="237">
        <f>G58+G59</f>
        <v/>
      </c>
      <c r="H60" s="183" t="n">
        <v>0</v>
      </c>
      <c r="I60" s="274" t="n"/>
      <c r="J60" s="237">
        <f>J59+J58</f>
        <v/>
      </c>
      <c r="K60" s="320" t="n"/>
      <c r="L60" s="320" t="n"/>
    </row>
    <row r="61" ht="25.5" customHeight="1" s="334">
      <c r="A61" s="385" t="n"/>
      <c r="B61" s="385" t="n"/>
      <c r="C61" s="384" t="inlineStr">
        <is>
          <t>в том числе технологическое оборудование</t>
        </is>
      </c>
      <c r="D61" s="385" t="n"/>
      <c r="E61" s="476" t="n"/>
      <c r="F61" s="387" t="n"/>
      <c r="G61" s="237">
        <f>'Прил.6 Расчет ОБ'!G12</f>
        <v/>
      </c>
      <c r="H61" s="388" t="n"/>
      <c r="I61" s="274" t="n"/>
      <c r="J61" s="237">
        <f>J60</f>
        <v/>
      </c>
      <c r="K61" s="320" t="n"/>
      <c r="L61" s="320" t="n"/>
    </row>
    <row r="62" ht="14.25" customFormat="1" customHeight="1" s="320">
      <c r="A62" s="385" t="n"/>
      <c r="B62" s="371" t="inlineStr">
        <is>
          <t>Материалы</t>
        </is>
      </c>
      <c r="C62" s="466" t="n"/>
      <c r="D62" s="466" t="n"/>
      <c r="E62" s="466" t="n"/>
      <c r="F62" s="466" t="n"/>
      <c r="G62" s="466" t="n"/>
      <c r="H62" s="467" t="n"/>
      <c r="I62" s="272" t="n"/>
      <c r="J62" s="272" t="n"/>
    </row>
    <row r="63" ht="14.25" customFormat="1" customHeight="1" s="320">
      <c r="A63" s="380" t="n"/>
      <c r="B63" s="379" t="inlineStr">
        <is>
          <t>Основные материалы</t>
        </is>
      </c>
      <c r="C63" s="477" t="n"/>
      <c r="D63" s="477" t="n"/>
      <c r="E63" s="477" t="n"/>
      <c r="F63" s="477" t="n"/>
      <c r="G63" s="477" t="n"/>
      <c r="H63" s="478" t="n"/>
      <c r="I63" s="192" t="n"/>
      <c r="J63" s="192" t="n"/>
    </row>
    <row r="64" ht="14.25" customFormat="1" customHeight="1" s="320">
      <c r="A64" s="385" t="n">
        <v>36</v>
      </c>
      <c r="B64" s="294" t="inlineStr">
        <is>
          <t>Прайс из СД ОП</t>
        </is>
      </c>
      <c r="C64" s="389" t="inlineStr">
        <is>
          <t>Маркероискатель 2273М-ID</t>
        </is>
      </c>
      <c r="D64" s="390" t="inlineStr">
        <is>
          <t>шт.</t>
        </is>
      </c>
      <c r="E64" s="479" t="n">
        <v>1</v>
      </c>
      <c r="F64" s="392" t="n">
        <v>56055.56</v>
      </c>
      <c r="G64" s="304">
        <f>ROUND(E64*F64,2)</f>
        <v/>
      </c>
      <c r="H64" s="261">
        <f>G64/$G$124</f>
        <v/>
      </c>
      <c r="I64" s="237">
        <f>ROUND(F64*'Прил. 10'!$D$13,2)</f>
        <v/>
      </c>
      <c r="J64" s="237">
        <f>ROUND(I64*E64,2)</f>
        <v/>
      </c>
    </row>
    <row r="65" ht="14.25" customFormat="1" customHeight="1" s="320">
      <c r="A65" s="385" t="n">
        <v>37</v>
      </c>
      <c r="B65" s="294" t="inlineStr">
        <is>
          <t>Прайс из СД ОП</t>
        </is>
      </c>
      <c r="C65" s="389" t="inlineStr">
        <is>
          <t>Маркеры 1422-XR/ID 60984/30</t>
        </is>
      </c>
      <c r="D65" s="390" t="inlineStr">
        <is>
          <t>шт.</t>
        </is>
      </c>
      <c r="E65" s="479" t="n">
        <v>109</v>
      </c>
      <c r="F65" s="392" t="n">
        <v>389.53</v>
      </c>
      <c r="G65" s="304">
        <f>ROUND(E65*F65,2)</f>
        <v/>
      </c>
      <c r="H65" s="261">
        <f>G65/$G$124</f>
        <v/>
      </c>
      <c r="I65" s="237">
        <f>ROUND(F65*'Прил. 10'!$D$13,2)</f>
        <v/>
      </c>
      <c r="J65" s="237">
        <f>ROUND(I65*E65,2)</f>
        <v/>
      </c>
    </row>
    <row r="66" ht="38.25" customFormat="1" customHeight="1" s="320">
      <c r="A66" s="385" t="n">
        <v>38</v>
      </c>
      <c r="B66" s="385" t="inlineStr">
        <is>
          <t>20.1.02.23-0194</t>
        </is>
      </c>
      <c r="C66" s="384" t="inlineStr">
        <is>
          <t>Устройство транспозиции экранов кабеля с ОПН для кабеля с сечением жилы 400 мм2</t>
        </is>
      </c>
      <c r="D66" s="385" t="inlineStr">
        <is>
          <t>шт.</t>
        </is>
      </c>
      <c r="E66" s="476" t="n">
        <v>3</v>
      </c>
      <c r="F66" s="387" t="n">
        <v>96319.44</v>
      </c>
      <c r="G66" s="237">
        <f>ROUND(E66*F66,2)</f>
        <v/>
      </c>
      <c r="H66" s="261">
        <f>G66/$G$124</f>
        <v/>
      </c>
      <c r="I66" s="237">
        <f>ROUND(F66*'Прил. 10'!$D$13,2)</f>
        <v/>
      </c>
      <c r="J66" s="237">
        <f>ROUND(I66*E66,2)</f>
        <v/>
      </c>
    </row>
    <row r="67" ht="38.25" customFormat="1" customHeight="1" s="320">
      <c r="A67" s="385" t="n">
        <v>39</v>
      </c>
      <c r="B67" s="385" t="inlineStr">
        <is>
          <t>04.3.02.04-0143</t>
        </is>
      </c>
      <c r="C67" s="384" t="inlineStr">
        <is>
          <t>Смеси бетонные, БСГ, тяжелого бетона на гранитном щебне, фракция 5-20 мм, класс: В7,5 (М100), П3</t>
        </is>
      </c>
      <c r="D67" s="385" t="inlineStr">
        <is>
          <t>м3</t>
        </is>
      </c>
      <c r="E67" s="476" t="n">
        <v>311.508</v>
      </c>
      <c r="F67" s="387" t="n">
        <v>517.14</v>
      </c>
      <c r="G67" s="237">
        <f>ROUND(E67*F67,2)</f>
        <v/>
      </c>
      <c r="H67" s="261">
        <f>G67/$G$124</f>
        <v/>
      </c>
      <c r="I67" s="237">
        <f>ROUND(F67*'Прил. 10'!$D$13,2)</f>
        <v/>
      </c>
      <c r="J67" s="237">
        <f>ROUND(I67*E67,2)</f>
        <v/>
      </c>
    </row>
    <row r="68" ht="25.5" customFormat="1" customHeight="1" s="320">
      <c r="A68" s="385" t="n">
        <v>40</v>
      </c>
      <c r="B68" s="385" t="inlineStr">
        <is>
          <t>05.1.08.06-0071</t>
        </is>
      </c>
      <c r="C68" s="384" t="inlineStr">
        <is>
          <t>Плиты железобетонные для покрытий автомобильных дорог</t>
        </is>
      </c>
      <c r="D68" s="385" t="inlineStr">
        <is>
          <t>м3</t>
        </is>
      </c>
      <c r="E68" s="476" t="n">
        <v>108</v>
      </c>
      <c r="F68" s="387" t="n">
        <v>964</v>
      </c>
      <c r="G68" s="237">
        <f>ROUND(E68*F68,2)</f>
        <v/>
      </c>
      <c r="H68" s="261">
        <f>G68/$G$124</f>
        <v/>
      </c>
      <c r="I68" s="237">
        <f>ROUND(F68*'Прил. 10'!$D$13,2)</f>
        <v/>
      </c>
      <c r="J68" s="237">
        <f>ROUND(I68*E68,2)</f>
        <v/>
      </c>
    </row>
    <row r="69" ht="25.5" customFormat="1" customHeight="1" s="320">
      <c r="A69" s="385" t="n">
        <v>41</v>
      </c>
      <c r="B69" s="385" t="inlineStr">
        <is>
          <t>02.3.01.02-0003</t>
        </is>
      </c>
      <c r="C69" s="384" t="inlineStr">
        <is>
          <t>Песок для строительных работ природный 50%; обогащенный 50%</t>
        </is>
      </c>
      <c r="D69" s="385" t="inlineStr">
        <is>
          <t>м3</t>
        </is>
      </c>
      <c r="E69" s="476" t="n">
        <v>1872.068</v>
      </c>
      <c r="F69" s="387" t="n">
        <v>54.95</v>
      </c>
      <c r="G69" s="237">
        <f>ROUND(E69*F69,2)</f>
        <v/>
      </c>
      <c r="H69" s="261">
        <f>G69/$G$124</f>
        <v/>
      </c>
      <c r="I69" s="237">
        <f>ROUND(F69*'Прил. 10'!$D$13,2)</f>
        <v/>
      </c>
      <c r="J69" s="237">
        <f>ROUND(I69*E69,2)</f>
        <v/>
      </c>
    </row>
    <row r="70" ht="63.75" customFormat="1" customHeight="1" s="320">
      <c r="A70" s="385" t="n">
        <v>42</v>
      </c>
      <c r="B70" s="385" t="inlineStr">
        <is>
          <t>05.1.06.04-0001</t>
        </is>
      </c>
      <c r="C70" s="384" t="inlineStr">
        <is>
          <t>Плиты перекрытий многопустотные преднапряженные безопалубочного формования из бетона класса: В 22,5, пролетом 1,8-5,4 м, ПБШ, с расходом стали 15,7 кг/м3 (серия ИЖ-723)</t>
        </is>
      </c>
      <c r="D70" s="385" t="inlineStr">
        <is>
          <t>м3</t>
        </is>
      </c>
      <c r="E70" s="476" t="n">
        <v>125.5</v>
      </c>
      <c r="F70" s="387" t="n">
        <v>812.38</v>
      </c>
      <c r="G70" s="237">
        <f>ROUND(E70*F70,2)</f>
        <v/>
      </c>
      <c r="H70" s="261">
        <f>G70/$G$124</f>
        <v/>
      </c>
      <c r="I70" s="237">
        <f>ROUND(F70*'Прил. 10'!$D$13,2)</f>
        <v/>
      </c>
      <c r="J70" s="237">
        <f>ROUND(I70*E70,2)</f>
        <v/>
      </c>
    </row>
    <row r="71" ht="25.5" customFormat="1" customHeight="1" s="320">
      <c r="A71" s="385" t="n">
        <v>43</v>
      </c>
      <c r="B71" s="385" t="inlineStr">
        <is>
          <t>11.2.13.06-0001</t>
        </is>
      </c>
      <c r="C71" s="384" t="inlineStr">
        <is>
          <t>Щиты деревянные реечные, толщиной 27 мм, для покрытия полов, тип 1</t>
        </is>
      </c>
      <c r="D71" s="385" t="inlineStr">
        <is>
          <t>м2</t>
        </is>
      </c>
      <c r="E71" s="476" t="n">
        <v>384.9</v>
      </c>
      <c r="F71" s="387" t="n">
        <v>232.31</v>
      </c>
      <c r="G71" s="237">
        <f>ROUND(E71*F71,2)</f>
        <v/>
      </c>
      <c r="H71" s="261">
        <f>G71/$G$124</f>
        <v/>
      </c>
      <c r="I71" s="237">
        <f>ROUND(F71*'Прил. 10'!$D$13,2)</f>
        <v/>
      </c>
      <c r="J71" s="237">
        <f>ROUND(I71*E71,2)</f>
        <v/>
      </c>
    </row>
    <row r="72" ht="25.5" customFormat="1" customHeight="1" s="320">
      <c r="A72" s="385" t="n">
        <v>44</v>
      </c>
      <c r="B72" s="385" t="inlineStr">
        <is>
          <t>20.2.02.07-0011</t>
        </is>
      </c>
      <c r="C72" s="384" t="inlineStr">
        <is>
          <t>Капа кабельная марки 102L055-R05/S, диаметром 65-95 мм</t>
        </is>
      </c>
      <c r="D72" s="385" t="inlineStr">
        <is>
          <t>100 шт.</t>
        </is>
      </c>
      <c r="E72" s="476" t="n">
        <v>3.38</v>
      </c>
      <c r="F72" s="387" t="n">
        <v>12790</v>
      </c>
      <c r="G72" s="237">
        <f>ROUND(E72*F72,2)</f>
        <v/>
      </c>
      <c r="H72" s="261">
        <f>G72/$G$124</f>
        <v/>
      </c>
      <c r="I72" s="237">
        <f>ROUND(F72*'Прил. 10'!$D$13,2)</f>
        <v/>
      </c>
      <c r="J72" s="237">
        <f>ROUND(I72*E72,2)</f>
        <v/>
      </c>
    </row>
    <row r="73" ht="14.25" customFormat="1" customHeight="1" s="320">
      <c r="A73" s="406" t="n"/>
      <c r="B73" s="194" t="n"/>
      <c r="C73" s="195" t="inlineStr">
        <is>
          <t>Итого основные материалы</t>
        </is>
      </c>
      <c r="D73" s="406" t="n"/>
      <c r="E73" s="480" t="n"/>
      <c r="F73" s="198" t="n"/>
      <c r="G73" s="198">
        <f>SUM(G64:G72)</f>
        <v/>
      </c>
      <c r="H73" s="261">
        <f>G73/$G$124</f>
        <v/>
      </c>
      <c r="I73" s="237" t="n"/>
      <c r="J73" s="198">
        <f>SUM(J64:J72)</f>
        <v/>
      </c>
    </row>
    <row r="74" hidden="1" outlineLevel="1" ht="38.25" customFormat="1" customHeight="1" s="320">
      <c r="A74" s="385" t="n">
        <v>47</v>
      </c>
      <c r="B74" s="385" t="inlineStr">
        <is>
          <t>24.3.05.02-0125</t>
        </is>
      </c>
      <c r="C74" s="384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D74" s="385" t="inlineStr">
        <is>
          <t>шт.</t>
        </is>
      </c>
      <c r="E74" s="476" t="n">
        <v>84</v>
      </c>
      <c r="F74" s="387" t="n">
        <v>427.5</v>
      </c>
      <c r="G74" s="237">
        <f>ROUND(E74*F74,2)</f>
        <v/>
      </c>
      <c r="H74" s="261">
        <f>G74/$G$124</f>
        <v/>
      </c>
      <c r="I74" s="237">
        <f>ROUND(F74*'Прил. 10'!$D$13,2)</f>
        <v/>
      </c>
      <c r="J74" s="237">
        <f>ROUND(I74*E74,2)</f>
        <v/>
      </c>
    </row>
    <row r="75" hidden="1" outlineLevel="1" ht="25.5" customFormat="1" customHeight="1" s="320">
      <c r="A75" s="385" t="n">
        <v>48</v>
      </c>
      <c r="B75" s="385" t="inlineStr">
        <is>
          <t>01.7.14.01-0002</t>
        </is>
      </c>
      <c r="C75" s="384" t="inlineStr">
        <is>
          <t>Пенополиуретан (ППУ) полимер Вилан-405 (баллон 1л)</t>
        </is>
      </c>
      <c r="D75" s="385" t="inlineStr">
        <is>
          <t>шт</t>
        </is>
      </c>
      <c r="E75" s="476" t="n">
        <v>676</v>
      </c>
      <c r="F75" s="387" t="n">
        <v>45.15</v>
      </c>
      <c r="G75" s="237">
        <f>ROUND(E75*F75,2)</f>
        <v/>
      </c>
      <c r="H75" s="261">
        <f>G75/$G$124</f>
        <v/>
      </c>
      <c r="I75" s="237">
        <f>ROUND(F75*'Прил. 10'!$D$13,2)</f>
        <v/>
      </c>
      <c r="J75" s="237">
        <f>ROUND(I75*E75,2)</f>
        <v/>
      </c>
    </row>
    <row r="76" hidden="1" outlineLevel="1" ht="25.5" customFormat="1" customHeight="1" s="320">
      <c r="A76" s="385" t="n">
        <v>49</v>
      </c>
      <c r="B76" s="385" t="inlineStr">
        <is>
          <t>20.2.02.07-0011</t>
        </is>
      </c>
      <c r="C76" s="384" t="inlineStr">
        <is>
          <t>Капа кабельная марки 102L055-R05/S, диаметром 65-95 мм</t>
        </is>
      </c>
      <c r="D76" s="385" t="inlineStr">
        <is>
          <t>100 шт</t>
        </is>
      </c>
      <c r="E76" s="476" t="n">
        <v>2.01</v>
      </c>
      <c r="F76" s="387" t="n">
        <v>12790</v>
      </c>
      <c r="G76" s="237">
        <f>ROUND(E76*F76,2)</f>
        <v/>
      </c>
      <c r="H76" s="261">
        <f>G76/$G$124</f>
        <v/>
      </c>
      <c r="I76" s="237">
        <f>ROUND(F76*'Прил. 10'!$D$13,2)</f>
        <v/>
      </c>
      <c r="J76" s="237">
        <f>ROUND(I76*E76,2)</f>
        <v/>
      </c>
    </row>
    <row r="77" hidden="1" outlineLevel="1" ht="38.25" customFormat="1" customHeight="1" s="320">
      <c r="A77" s="385" t="n">
        <v>50</v>
      </c>
      <c r="B77" s="385" t="inlineStr">
        <is>
          <t>02.2.04.03-0013</t>
        </is>
      </c>
      <c r="C77" s="384" t="inlineStr">
        <is>
          <t>Смесь песчано-гравийная природная обогащенная с содержанием гравия: 35-50%</t>
        </is>
      </c>
      <c r="D77" s="385" t="inlineStr">
        <is>
          <t>м3</t>
        </is>
      </c>
      <c r="E77" s="476" t="n">
        <v>306.9</v>
      </c>
      <c r="F77" s="387" t="n">
        <v>72</v>
      </c>
      <c r="G77" s="237">
        <f>ROUND(E77*F77,2)</f>
        <v/>
      </c>
      <c r="H77" s="261">
        <f>G77/$G$124</f>
        <v/>
      </c>
      <c r="I77" s="237">
        <f>ROUND(F77*'Прил. 10'!$D$13,2)</f>
        <v/>
      </c>
      <c r="J77" s="237">
        <f>ROUND(I77*E77,2)</f>
        <v/>
      </c>
    </row>
    <row r="78" hidden="1" outlineLevel="1" ht="25.5" customFormat="1" customHeight="1" s="320">
      <c r="A78" s="385" t="n">
        <v>51</v>
      </c>
      <c r="B78" s="385" t="inlineStr">
        <is>
          <t>04.3.02.13-0211</t>
        </is>
      </c>
      <c r="C78" s="384" t="inlineStr">
        <is>
          <t>Цементно-песчаные смеси для кладочных работ рецепт: № 1, марка 25</t>
        </is>
      </c>
      <c r="D78" s="385" t="inlineStr">
        <is>
          <t>т</t>
        </is>
      </c>
      <c r="E78" s="476" t="n">
        <v>34.21</v>
      </c>
      <c r="F78" s="387" t="n">
        <v>503.8</v>
      </c>
      <c r="G78" s="237">
        <f>ROUND(E78*F78,2)</f>
        <v/>
      </c>
      <c r="H78" s="261">
        <f>G78/$G$124</f>
        <v/>
      </c>
      <c r="I78" s="237">
        <f>ROUND(F78*'Прил. 10'!$D$13,2)</f>
        <v/>
      </c>
      <c r="J78" s="237">
        <f>ROUND(I78*E78,2)</f>
        <v/>
      </c>
    </row>
    <row r="79" hidden="1" outlineLevel="1" ht="38.25" customFormat="1" customHeight="1" s="320">
      <c r="A79" s="385" t="n">
        <v>52</v>
      </c>
      <c r="B79" s="385" t="inlineStr">
        <is>
          <t>Прайс из СД ОП</t>
        </is>
      </c>
      <c r="C79" s="384" t="inlineStr">
        <is>
          <t>Комплект для ремонта оболочек кабеля CRSM 143/36-1000/239Комплект для ремонта оболочек кабеля</t>
        </is>
      </c>
      <c r="D79" s="385" t="inlineStr">
        <is>
          <t>шт.</t>
        </is>
      </c>
      <c r="E79" s="476" t="n">
        <v>15</v>
      </c>
      <c r="F79" s="387" t="n">
        <v>859.39</v>
      </c>
      <c r="G79" s="237">
        <f>ROUND(E79*F79,2)</f>
        <v/>
      </c>
      <c r="H79" s="261">
        <f>G79/$G$124</f>
        <v/>
      </c>
      <c r="I79" s="237">
        <f>ROUND(F79*'Прил. 10'!$D$13,2)</f>
        <v/>
      </c>
      <c r="J79" s="237">
        <f>ROUND(I79*E79,2)</f>
        <v/>
      </c>
    </row>
    <row r="80" hidden="1" outlineLevel="1" ht="14.25" customFormat="1" customHeight="1" s="320">
      <c r="A80" s="385" t="n">
        <v>53</v>
      </c>
      <c r="B80" s="385" t="inlineStr">
        <is>
          <t>12.1.02.08-0071</t>
        </is>
      </c>
      <c r="C80" s="384" t="inlineStr">
        <is>
          <t>Гидростеклоизол ТПП-3,5, стеклоткань</t>
        </is>
      </c>
      <c r="D80" s="385" t="inlineStr">
        <is>
          <t>м2</t>
        </is>
      </c>
      <c r="E80" s="476" t="n">
        <v>273.46</v>
      </c>
      <c r="F80" s="387" t="n">
        <v>15.56</v>
      </c>
      <c r="G80" s="237">
        <f>ROUND(E80*F80,2)</f>
        <v/>
      </c>
      <c r="H80" s="261">
        <f>G80/$G$124</f>
        <v/>
      </c>
      <c r="I80" s="237">
        <f>ROUND(F80*'Прил. 10'!$D$13,2)</f>
        <v/>
      </c>
      <c r="J80" s="237">
        <f>ROUND(I80*E80,2)</f>
        <v/>
      </c>
    </row>
    <row r="81" hidden="1" outlineLevel="1" ht="25.5" customFormat="1" customHeight="1" s="320">
      <c r="A81" s="385" t="n">
        <v>54</v>
      </c>
      <c r="B81" s="385" t="inlineStr">
        <is>
          <t>08.3.08.02-0052</t>
        </is>
      </c>
      <c r="C81" s="384" t="inlineStr">
        <is>
          <t>Сталь угловая равнополочная, марка стали: ВСт3кп2, размером 50x50x5 мм</t>
        </is>
      </c>
      <c r="D81" s="385" t="inlineStr">
        <is>
          <t>т</t>
        </is>
      </c>
      <c r="E81" s="476" t="n">
        <v>0.5039</v>
      </c>
      <c r="F81" s="387" t="n">
        <v>5763</v>
      </c>
      <c r="G81" s="237">
        <f>ROUND(E81*F81,2)</f>
        <v/>
      </c>
      <c r="H81" s="261">
        <f>G81/$G$124</f>
        <v/>
      </c>
      <c r="I81" s="237">
        <f>ROUND(F81*'Прил. 10'!$D$13,2)</f>
        <v/>
      </c>
      <c r="J81" s="237">
        <f>ROUND(I81*E81,2)</f>
        <v/>
      </c>
    </row>
    <row r="82" hidden="1" outlineLevel="1" ht="25.5" customFormat="1" customHeight="1" s="320">
      <c r="A82" s="385" t="n">
        <v>55</v>
      </c>
      <c r="B82" s="385" t="inlineStr">
        <is>
          <t>01.7.07.12-0024</t>
        </is>
      </c>
      <c r="C82" s="384" t="inlineStr">
        <is>
          <t>Пленка полиэтиленовая толщиной: 0,15 мм</t>
        </is>
      </c>
      <c r="D82" s="385" t="inlineStr">
        <is>
          <t>м2</t>
        </is>
      </c>
      <c r="E82" s="476" t="n">
        <v>739.45</v>
      </c>
      <c r="F82" s="387" t="n">
        <v>3.62</v>
      </c>
      <c r="G82" s="237">
        <f>ROUND(E82*F82,2)</f>
        <v/>
      </c>
      <c r="H82" s="261">
        <f>G82/$G$124</f>
        <v/>
      </c>
      <c r="I82" s="237">
        <f>ROUND(F82*'Прил. 10'!$D$13,2)</f>
        <v/>
      </c>
      <c r="J82" s="237">
        <f>ROUND(I82*E82,2)</f>
        <v/>
      </c>
    </row>
    <row r="83" hidden="1" outlineLevel="1" ht="38.25" customFormat="1" customHeight="1" s="320">
      <c r="A83" s="385" t="n">
        <v>56</v>
      </c>
      <c r="B83" s="385" t="inlineStr">
        <is>
          <t>04.3.02.04-0155</t>
        </is>
      </c>
      <c r="C83" s="384" t="inlineStr">
        <is>
          <t>Смеси бетонные, БСГ, тяжелого бетона на гранитном щебне, фракция 5-20 мм, класс: В30 (М400), П3, F200, W8</t>
        </is>
      </c>
      <c r="D83" s="385" t="inlineStr">
        <is>
          <t>м3</t>
        </is>
      </c>
      <c r="E83" s="476" t="n">
        <v>2.8356</v>
      </c>
      <c r="F83" s="387" t="n">
        <v>787.34</v>
      </c>
      <c r="G83" s="237">
        <f>ROUND(E83*F83,2)</f>
        <v/>
      </c>
      <c r="H83" s="261">
        <f>G83/$G$124</f>
        <v/>
      </c>
      <c r="I83" s="237">
        <f>ROUND(F83*'Прил. 10'!$D$13,2)</f>
        <v/>
      </c>
      <c r="J83" s="237">
        <f>ROUND(I83*E83,2)</f>
        <v/>
      </c>
    </row>
    <row r="84" hidden="1" outlineLevel="1" ht="25.5" customFormat="1" customHeight="1" s="320">
      <c r="A84" s="385" t="n">
        <v>57</v>
      </c>
      <c r="B84" s="385" t="inlineStr">
        <is>
          <t>01.2.03.03-0107</t>
        </is>
      </c>
      <c r="C84" s="384" t="inlineStr">
        <is>
          <t>Мастика клеящая морозостойкая битумно-масляная МБ-50</t>
        </is>
      </c>
      <c r="D84" s="385" t="inlineStr">
        <is>
          <t>т</t>
        </is>
      </c>
      <c r="E84" s="476" t="n">
        <v>0.52206</v>
      </c>
      <c r="F84" s="387" t="n">
        <v>3960</v>
      </c>
      <c r="G84" s="237">
        <f>ROUND(E84*F84,2)</f>
        <v/>
      </c>
      <c r="H84" s="261">
        <f>G84/$G$124</f>
        <v/>
      </c>
      <c r="I84" s="237">
        <f>ROUND(F84*'Прил. 10'!$D$13,2)</f>
        <v/>
      </c>
      <c r="J84" s="237">
        <f>ROUND(I84*E84,2)</f>
        <v/>
      </c>
    </row>
    <row r="85" hidden="1" outlineLevel="1" ht="51" customFormat="1" customHeight="1" s="320">
      <c r="A85" s="385" t="n">
        <v>58</v>
      </c>
      <c r="B85" s="385" t="inlineStr">
        <is>
          <t>07.2.07.12-0021</t>
        </is>
      </c>
      <c r="C85" s="38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85" s="385" t="inlineStr">
        <is>
          <t>т</t>
        </is>
      </c>
      <c r="E85" s="476" t="n">
        <v>0.1925</v>
      </c>
      <c r="F85" s="387" t="n">
        <v>7008.5</v>
      </c>
      <c r="G85" s="237">
        <f>ROUND(E85*F85,2)</f>
        <v/>
      </c>
      <c r="H85" s="261">
        <f>G85/$G$124</f>
        <v/>
      </c>
      <c r="I85" s="237">
        <f>ROUND(F85*'Прил. 10'!$D$13,2)</f>
        <v/>
      </c>
      <c r="J85" s="237">
        <f>ROUND(I85*E85,2)</f>
        <v/>
      </c>
    </row>
    <row r="86" hidden="1" outlineLevel="1" ht="25.5" customFormat="1" customHeight="1" s="320">
      <c r="A86" s="385" t="n">
        <v>59</v>
      </c>
      <c r="B86" s="385" t="inlineStr">
        <is>
          <t>08.3.07.01-0076</t>
        </is>
      </c>
      <c r="C86" s="384" t="inlineStr">
        <is>
          <t>Сталь полосовая, марка стали: Ст3сп шириной 50-200 мм толщиной 4-5 мм</t>
        </is>
      </c>
      <c r="D86" s="385" t="inlineStr">
        <is>
          <t>т</t>
        </is>
      </c>
      <c r="E86" s="476" t="n">
        <v>0.222</v>
      </c>
      <c r="F86" s="387" t="n">
        <v>5000</v>
      </c>
      <c r="G86" s="237">
        <f>ROUND(E86*F86,2)</f>
        <v/>
      </c>
      <c r="H86" s="261">
        <f>G86/$G$124</f>
        <v/>
      </c>
      <c r="I86" s="237">
        <f>ROUND(F86*'Прил. 10'!$D$13,2)</f>
        <v/>
      </c>
      <c r="J86" s="237">
        <f>ROUND(I86*E86,2)</f>
        <v/>
      </c>
    </row>
    <row r="87" hidden="1" outlineLevel="1" ht="25.5" customFormat="1" customHeight="1" s="320">
      <c r="A87" s="385" t="n">
        <v>60</v>
      </c>
      <c r="B87" s="385" t="inlineStr">
        <is>
          <t>01.5.03.06-0012</t>
        </is>
      </c>
      <c r="C87" s="384" t="inlineStr">
        <is>
          <t>Столбики сигнальные дорожные пластиковые</t>
        </is>
      </c>
      <c r="D87" s="385" t="inlineStr">
        <is>
          <t>шт.</t>
        </is>
      </c>
      <c r="E87" s="476" t="n">
        <v>22</v>
      </c>
      <c r="F87" s="387" t="n">
        <v>43.06</v>
      </c>
      <c r="G87" s="237">
        <f>ROUND(E87*F87,2)</f>
        <v/>
      </c>
      <c r="H87" s="261">
        <f>G87/$G$124</f>
        <v/>
      </c>
      <c r="I87" s="237">
        <f>ROUND(F87*'Прил. 10'!$D$13,2)</f>
        <v/>
      </c>
      <c r="J87" s="237">
        <f>ROUND(I87*E87,2)</f>
        <v/>
      </c>
    </row>
    <row r="88" hidden="1" outlineLevel="1" ht="14.25" customFormat="1" customHeight="1" s="320">
      <c r="A88" s="385" t="n">
        <v>61</v>
      </c>
      <c r="B88" s="385" t="inlineStr">
        <is>
          <t>20.1.02.23-0091</t>
        </is>
      </c>
      <c r="C88" s="384" t="inlineStr">
        <is>
          <t>Плакат по ТБ</t>
        </is>
      </c>
      <c r="D88" s="385" t="inlineStr">
        <is>
          <t>100 шт</t>
        </is>
      </c>
      <c r="E88" s="476" t="n">
        <v>0.22</v>
      </c>
      <c r="F88" s="387" t="n">
        <v>4000</v>
      </c>
      <c r="G88" s="237">
        <f>ROUND(E88*F88,2)</f>
        <v/>
      </c>
      <c r="H88" s="261">
        <f>G88/$G$124</f>
        <v/>
      </c>
      <c r="I88" s="237">
        <f>ROUND(F88*'Прил. 10'!$D$13,2)</f>
        <v/>
      </c>
      <c r="J88" s="237">
        <f>ROUND(I88*E88,2)</f>
        <v/>
      </c>
    </row>
    <row r="89" hidden="1" outlineLevel="1" ht="25.5" customFormat="1" customHeight="1" s="320">
      <c r="A89" s="385" t="n">
        <v>62</v>
      </c>
      <c r="B89" s="385" t="inlineStr">
        <is>
          <t>14.4.04.11-0010</t>
        </is>
      </c>
      <c r="C89" s="384" t="inlineStr">
        <is>
          <t>Эмаль ХС-720 серебристая антикоррозийная</t>
        </is>
      </c>
      <c r="D89" s="385" t="inlineStr">
        <is>
          <t>т</t>
        </is>
      </c>
      <c r="E89" s="476" t="n">
        <v>0.0198</v>
      </c>
      <c r="F89" s="387" t="n">
        <v>35001</v>
      </c>
      <c r="G89" s="237">
        <f>ROUND(E89*F89,2)</f>
        <v/>
      </c>
      <c r="H89" s="261">
        <f>G89/$G$124</f>
        <v/>
      </c>
      <c r="I89" s="237">
        <f>ROUND(F89*'Прил. 10'!$D$13,2)</f>
        <v/>
      </c>
      <c r="J89" s="237">
        <f>ROUND(I89*E89,2)</f>
        <v/>
      </c>
    </row>
    <row r="90" hidden="1" outlineLevel="1" ht="14.25" customFormat="1" customHeight="1" s="320">
      <c r="A90" s="385" t="n">
        <v>63</v>
      </c>
      <c r="B90" s="385" t="inlineStr">
        <is>
          <t>01.7.06.12-0004</t>
        </is>
      </c>
      <c r="C90" s="384" t="inlineStr">
        <is>
          <t>Лента киперная, ширина 40 мм</t>
        </is>
      </c>
      <c r="D90" s="385" t="inlineStr">
        <is>
          <t>100 м</t>
        </is>
      </c>
      <c r="E90" s="476" t="n">
        <v>6.76</v>
      </c>
      <c r="F90" s="387" t="n">
        <v>94</v>
      </c>
      <c r="G90" s="237">
        <f>ROUND(E90*F90,2)</f>
        <v/>
      </c>
      <c r="H90" s="261">
        <f>G90/$G$124</f>
        <v/>
      </c>
      <c r="I90" s="237">
        <f>ROUND(F90*'Прил. 10'!$D$13,2)</f>
        <v/>
      </c>
      <c r="J90" s="237">
        <f>ROUND(I90*E90,2)</f>
        <v/>
      </c>
    </row>
    <row r="91" hidden="1" outlineLevel="1" ht="14.25" customFormat="1" customHeight="1" s="320">
      <c r="A91" s="385" t="n">
        <v>64</v>
      </c>
      <c r="B91" s="385" t="inlineStr">
        <is>
          <t>01.2.03.03-0045</t>
        </is>
      </c>
      <c r="C91" s="384" t="inlineStr">
        <is>
          <t>Мастика битумно-полимерная</t>
        </is>
      </c>
      <c r="D91" s="385" t="inlineStr">
        <is>
          <t>т</t>
        </is>
      </c>
      <c r="E91" s="476" t="n">
        <v>0.4034</v>
      </c>
      <c r="F91" s="387" t="n">
        <v>1500</v>
      </c>
      <c r="G91" s="237">
        <f>ROUND(E91*F91,2)</f>
        <v/>
      </c>
      <c r="H91" s="261">
        <f>G91/$G$124</f>
        <v/>
      </c>
      <c r="I91" s="237">
        <f>ROUND(F91*'Прил. 10'!$D$13,2)</f>
        <v/>
      </c>
      <c r="J91" s="237">
        <f>ROUND(I91*E91,2)</f>
        <v/>
      </c>
    </row>
    <row r="92" hidden="1" outlineLevel="1" ht="38.25" customFormat="1" customHeight="1" s="320">
      <c r="A92" s="385" t="n">
        <v>65</v>
      </c>
      <c r="B92" s="385" t="inlineStr">
        <is>
          <t>08.3.05.02-0101</t>
        </is>
      </c>
      <c r="C92" s="384" t="inlineStr">
        <is>
          <t>Сталь листовая углеродистая обыкновенного качества марки ВСт3пс5 толщиной: 4-6 мм</t>
        </is>
      </c>
      <c r="D92" s="385" t="inlineStr">
        <is>
          <t>т</t>
        </is>
      </c>
      <c r="E92" s="476" t="n">
        <v>0.1049</v>
      </c>
      <c r="F92" s="387" t="n">
        <v>5763</v>
      </c>
      <c r="G92" s="237">
        <f>ROUND(E92*F92,2)</f>
        <v/>
      </c>
      <c r="H92" s="261">
        <f>G92/$G$124</f>
        <v/>
      </c>
      <c r="I92" s="237">
        <f>ROUND(F92*'Прил. 10'!$D$13,2)</f>
        <v/>
      </c>
      <c r="J92" s="237">
        <f>ROUND(I92*E92,2)</f>
        <v/>
      </c>
    </row>
    <row r="93" hidden="1" outlineLevel="1" ht="14.25" customFormat="1" customHeight="1" s="320">
      <c r="A93" s="385" t="n">
        <v>66</v>
      </c>
      <c r="B93" s="385" t="inlineStr">
        <is>
          <t>01.7.06.08-0011</t>
        </is>
      </c>
      <c r="C93" s="384" t="inlineStr">
        <is>
          <t>Лента сигнальная "Электра" ЛСЭ 150</t>
        </is>
      </c>
      <c r="D93" s="385" t="inlineStr">
        <is>
          <t>100 м</t>
        </is>
      </c>
      <c r="E93" s="476" t="n">
        <v>8.19</v>
      </c>
      <c r="F93" s="387" t="n">
        <v>70.37</v>
      </c>
      <c r="G93" s="237">
        <f>ROUND(E93*F93,2)</f>
        <v/>
      </c>
      <c r="H93" s="261">
        <f>G93/$G$124</f>
        <v/>
      </c>
      <c r="I93" s="237">
        <f>ROUND(F93*'Прил. 10'!$D$13,2)</f>
        <v/>
      </c>
      <c r="J93" s="237">
        <f>ROUND(I93*E93,2)</f>
        <v/>
      </c>
    </row>
    <row r="94" hidden="1" outlineLevel="1" ht="25.5" customFormat="1" customHeight="1" s="320">
      <c r="A94" s="385" t="n">
        <v>67</v>
      </c>
      <c r="B94" s="385" t="inlineStr">
        <is>
          <t>04.3.01.09-0023</t>
        </is>
      </c>
      <c r="C94" s="384" t="inlineStr">
        <is>
          <t>Раствор готовый отделочный тяжелый,: цементный 1:3</t>
        </is>
      </c>
      <c r="D94" s="385" t="inlineStr">
        <is>
          <t>м3</t>
        </is>
      </c>
      <c r="E94" s="476" t="n">
        <v>0.6399</v>
      </c>
      <c r="F94" s="387" t="n">
        <v>497</v>
      </c>
      <c r="G94" s="237">
        <f>ROUND(E94*F94,2)</f>
        <v/>
      </c>
      <c r="H94" s="261">
        <f>G94/$G$124</f>
        <v/>
      </c>
      <c r="I94" s="237">
        <f>ROUND(F94*'Прил. 10'!$D$13,2)</f>
        <v/>
      </c>
      <c r="J94" s="237">
        <f>ROUND(I94*E94,2)</f>
        <v/>
      </c>
    </row>
    <row r="95" hidden="1" outlineLevel="1" ht="14.25" customFormat="1" customHeight="1" s="320">
      <c r="A95" s="385" t="n">
        <v>68</v>
      </c>
      <c r="B95" s="385" t="inlineStr">
        <is>
          <t>01.7.07.26-0031</t>
        </is>
      </c>
      <c r="C95" s="384" t="inlineStr">
        <is>
          <t>Шнур плетеный хлопчатобумажный</t>
        </is>
      </c>
      <c r="D95" s="385" t="inlineStr">
        <is>
          <t>м</t>
        </is>
      </c>
      <c r="E95" s="476" t="n">
        <v>148.5</v>
      </c>
      <c r="F95" s="387" t="n">
        <v>2.05</v>
      </c>
      <c r="G95" s="237">
        <f>ROUND(E95*F95,2)</f>
        <v/>
      </c>
      <c r="H95" s="261">
        <f>G95/$G$124</f>
        <v/>
      </c>
      <c r="I95" s="237">
        <f>ROUND(F95*'Прил. 10'!$D$13,2)</f>
        <v/>
      </c>
      <c r="J95" s="237">
        <f>ROUND(I95*E95,2)</f>
        <v/>
      </c>
    </row>
    <row r="96" hidden="1" outlineLevel="1" ht="14.25" customFormat="1" customHeight="1" s="320">
      <c r="A96" s="385" t="n">
        <v>69</v>
      </c>
      <c r="B96" s="385" t="inlineStr">
        <is>
          <t>01.7.15.03-0042</t>
        </is>
      </c>
      <c r="C96" s="384" t="inlineStr">
        <is>
          <t>Болты с гайками и шайбами строительные</t>
        </is>
      </c>
      <c r="D96" s="385" t="inlineStr">
        <is>
          <t>кг</t>
        </is>
      </c>
      <c r="E96" s="476" t="n">
        <v>32.229</v>
      </c>
      <c r="F96" s="387" t="n">
        <v>9.039999999999999</v>
      </c>
      <c r="G96" s="237">
        <f>ROUND(E96*F96,2)</f>
        <v/>
      </c>
      <c r="H96" s="261">
        <f>G96/$G$124</f>
        <v/>
      </c>
      <c r="I96" s="237">
        <f>ROUND(F96*'Прил. 10'!$D$13,2)</f>
        <v/>
      </c>
      <c r="J96" s="237">
        <f>ROUND(I96*E96,2)</f>
        <v/>
      </c>
    </row>
    <row r="97" hidden="1" outlineLevel="1" ht="14.25" customFormat="1" customHeight="1" s="320">
      <c r="A97" s="385" t="n">
        <v>70</v>
      </c>
      <c r="B97" s="385" t="inlineStr">
        <is>
          <t>04.1.02.05-0010</t>
        </is>
      </c>
      <c r="C97" s="384" t="inlineStr">
        <is>
          <t>Бетон тяжелый, класс: В27,5 (М350)</t>
        </is>
      </c>
      <c r="D97" s="385" t="inlineStr">
        <is>
          <t>м3</t>
        </is>
      </c>
      <c r="E97" s="476" t="n">
        <v>0.3709</v>
      </c>
      <c r="F97" s="387" t="n">
        <v>730</v>
      </c>
      <c r="G97" s="237">
        <f>ROUND(E97*F97,2)</f>
        <v/>
      </c>
      <c r="H97" s="261">
        <f>G97/$G$124</f>
        <v/>
      </c>
      <c r="I97" s="237">
        <f>ROUND(F97*'Прил. 10'!$D$13,2)</f>
        <v/>
      </c>
      <c r="J97" s="237">
        <f>ROUND(I97*E97,2)</f>
        <v/>
      </c>
    </row>
    <row r="98" hidden="1" outlineLevel="1" ht="25.5" customFormat="1" customHeight="1" s="320">
      <c r="A98" s="385" t="n">
        <v>71</v>
      </c>
      <c r="B98" s="385" t="inlineStr">
        <is>
          <t>01.7.15.03-0045</t>
        </is>
      </c>
      <c r="C98" s="384" t="inlineStr">
        <is>
          <t>Болты строительные с гайками оцинкованные размером 10х100 мм</t>
        </is>
      </c>
      <c r="D98" s="385" t="inlineStr">
        <is>
          <t>т</t>
        </is>
      </c>
      <c r="E98" s="476" t="n">
        <v>0.01865</v>
      </c>
      <c r="F98" s="387" t="n">
        <v>13722.4</v>
      </c>
      <c r="G98" s="237">
        <f>ROUND(E98*F98,2)</f>
        <v/>
      </c>
      <c r="H98" s="261">
        <f>G98/$G$124</f>
        <v/>
      </c>
      <c r="I98" s="237">
        <f>ROUND(F98*'Прил. 10'!$D$13,2)</f>
        <v/>
      </c>
      <c r="J98" s="237">
        <f>ROUND(I98*E98,2)</f>
        <v/>
      </c>
    </row>
    <row r="99" hidden="1" outlineLevel="1" ht="25.5" customFormat="1" customHeight="1" s="320">
      <c r="A99" s="385" t="n">
        <v>72</v>
      </c>
      <c r="B99" s="385" t="inlineStr">
        <is>
          <t>999-9950</t>
        </is>
      </c>
      <c r="C99" s="384" t="inlineStr">
        <is>
          <t>Вспомогательные ненормируемые ресурсы (2% от Оплаты труда рабочих)</t>
        </is>
      </c>
      <c r="D99" s="385" t="inlineStr">
        <is>
          <t>руб.</t>
        </is>
      </c>
      <c r="E99" s="476" t="n">
        <v>213.864</v>
      </c>
      <c r="F99" s="387" t="n">
        <v>1</v>
      </c>
      <c r="G99" s="237">
        <f>ROUND(E99*F99,2)</f>
        <v/>
      </c>
      <c r="H99" s="261">
        <f>G99/$G$124</f>
        <v/>
      </c>
      <c r="I99" s="237">
        <f>ROUND(F99*'Прил. 10'!$D$13,2)</f>
        <v/>
      </c>
      <c r="J99" s="237">
        <f>ROUND(I99*E99,2)</f>
        <v/>
      </c>
    </row>
    <row r="100" hidden="1" outlineLevel="1" ht="25.5" customFormat="1" customHeight="1" s="320">
      <c r="A100" s="385" t="n">
        <v>73</v>
      </c>
      <c r="B100" s="385" t="inlineStr">
        <is>
          <t>07.2.07.04-0007</t>
        </is>
      </c>
      <c r="C100" s="384" t="inlineStr">
        <is>
          <t>Конструкции стальные индивидуальные: решетчатые сварные массой до 0,1 т</t>
        </is>
      </c>
      <c r="D100" s="385" t="inlineStr">
        <is>
          <t>т</t>
        </is>
      </c>
      <c r="E100" s="476" t="n">
        <v>0.015</v>
      </c>
      <c r="F100" s="387" t="n">
        <v>11500</v>
      </c>
      <c r="G100" s="237">
        <f>ROUND(E100*F100,2)</f>
        <v/>
      </c>
      <c r="H100" s="261">
        <f>G100/$G$124</f>
        <v/>
      </c>
      <c r="I100" s="237">
        <f>ROUND(F100*'Прил. 10'!$D$13,2)</f>
        <v/>
      </c>
      <c r="J100" s="237">
        <f>ROUND(I100*E100,2)</f>
        <v/>
      </c>
    </row>
    <row r="101" hidden="1" outlineLevel="1" ht="14.25" customFormat="1" customHeight="1" s="320">
      <c r="A101" s="385" t="n">
        <v>74</v>
      </c>
      <c r="B101" s="385" t="inlineStr">
        <is>
          <t>01.7.11.07-0032</t>
        </is>
      </c>
      <c r="C101" s="384" t="inlineStr">
        <is>
          <t>Электроды диаметром: 4 мм Э42</t>
        </is>
      </c>
      <c r="D101" s="385" t="inlineStr">
        <is>
          <t>т</t>
        </is>
      </c>
      <c r="E101" s="476" t="n">
        <v>0.0163</v>
      </c>
      <c r="F101" s="387" t="n">
        <v>10315.01</v>
      </c>
      <c r="G101" s="237">
        <f>ROUND(E101*F101,2)</f>
        <v/>
      </c>
      <c r="H101" s="261">
        <f>G101/$G$124</f>
        <v/>
      </c>
      <c r="I101" s="237">
        <f>ROUND(F101*'Прил. 10'!$D$13,2)</f>
        <v/>
      </c>
      <c r="J101" s="237">
        <f>ROUND(I101*E101,2)</f>
        <v/>
      </c>
    </row>
    <row r="102" hidden="1" outlineLevel="1" ht="14.25" customFormat="1" customHeight="1" s="320">
      <c r="A102" s="385" t="n">
        <v>75</v>
      </c>
      <c r="B102" s="385" t="inlineStr">
        <is>
          <t>14.4.02.09-0001</t>
        </is>
      </c>
      <c r="C102" s="384" t="inlineStr">
        <is>
          <t>Краска</t>
        </is>
      </c>
      <c r="D102" s="385" t="inlineStr">
        <is>
          <t>кг</t>
        </is>
      </c>
      <c r="E102" s="476" t="n">
        <v>5.862</v>
      </c>
      <c r="F102" s="387" t="n">
        <v>28.6</v>
      </c>
      <c r="G102" s="237">
        <f>ROUND(E102*F102,2)</f>
        <v/>
      </c>
      <c r="H102" s="261">
        <f>G102/$G$124</f>
        <v/>
      </c>
      <c r="I102" s="237">
        <f>ROUND(F102*'Прил. 10'!$D$13,2)</f>
        <v/>
      </c>
      <c r="J102" s="237">
        <f>ROUND(I102*E102,2)</f>
        <v/>
      </c>
    </row>
    <row r="103" hidden="1" outlineLevel="1" ht="14.25" customFormat="1" customHeight="1" s="320">
      <c r="A103" s="385" t="n">
        <v>76</v>
      </c>
      <c r="B103" s="385" t="inlineStr">
        <is>
          <t>01.7.11.07-0034</t>
        </is>
      </c>
      <c r="C103" s="384" t="inlineStr">
        <is>
          <t>Электроды диаметром: 4 мм Э42А</t>
        </is>
      </c>
      <c r="D103" s="385" t="inlineStr">
        <is>
          <t>кг</t>
        </is>
      </c>
      <c r="E103" s="476" t="n">
        <v>14.91</v>
      </c>
      <c r="F103" s="387" t="n">
        <v>10.57</v>
      </c>
      <c r="G103" s="237">
        <f>ROUND(E103*F103,2)</f>
        <v/>
      </c>
      <c r="H103" s="261">
        <f>G103/$G$124</f>
        <v/>
      </c>
      <c r="I103" s="237">
        <f>ROUND(F103*'Прил. 10'!$D$13,2)</f>
        <v/>
      </c>
      <c r="J103" s="237">
        <f>ROUND(I103*E103,2)</f>
        <v/>
      </c>
    </row>
    <row r="104" hidden="1" outlineLevel="1" ht="38.25" customFormat="1" customHeight="1" s="320">
      <c r="A104" s="385" t="n">
        <v>77</v>
      </c>
      <c r="B104" s="385" t="inlineStr">
        <is>
          <t>02.2.05.04-0093</t>
        </is>
      </c>
      <c r="C104" s="384" t="inlineStr">
        <is>
          <t>Щебень из природного камня для строительных работ марка: 800, фракция 20-40 мм</t>
        </is>
      </c>
      <c r="D104" s="385" t="inlineStr">
        <is>
          <t>м3</t>
        </is>
      </c>
      <c r="E104" s="476" t="n">
        <v>1.0969</v>
      </c>
      <c r="F104" s="387" t="n">
        <v>108.4</v>
      </c>
      <c r="G104" s="237">
        <f>ROUND(E104*F104,2)</f>
        <v/>
      </c>
      <c r="H104" s="261">
        <f>G104/$G$124</f>
        <v/>
      </c>
      <c r="I104" s="237">
        <f>ROUND(F104*'Прил. 10'!$D$13,2)</f>
        <v/>
      </c>
      <c r="J104" s="237">
        <f>ROUND(I104*E104,2)</f>
        <v/>
      </c>
    </row>
    <row r="105" hidden="1" outlineLevel="1" ht="25.5" customFormat="1" customHeight="1" s="320">
      <c r="A105" s="385" t="n">
        <v>78</v>
      </c>
      <c r="B105" s="385" t="inlineStr">
        <is>
          <t>01.3.01.06-0050</t>
        </is>
      </c>
      <c r="C105" s="384" t="inlineStr">
        <is>
          <t>Смазка универсальная тугоплавкая УТ (консталин жировой)</t>
        </is>
      </c>
      <c r="D105" s="385" t="inlineStr">
        <is>
          <t>т</t>
        </is>
      </c>
      <c r="E105" s="476" t="n">
        <v>0.006</v>
      </c>
      <c r="F105" s="387" t="n">
        <v>17500</v>
      </c>
      <c r="G105" s="237">
        <f>ROUND(E105*F105,2)</f>
        <v/>
      </c>
      <c r="H105" s="261">
        <f>G105/$G$124</f>
        <v/>
      </c>
      <c r="I105" s="237">
        <f>ROUND(F105*'Прил. 10'!$D$13,2)</f>
        <v/>
      </c>
      <c r="J105" s="237">
        <f>ROUND(I105*E105,2)</f>
        <v/>
      </c>
    </row>
    <row r="106" hidden="1" outlineLevel="1" ht="25.5" customFormat="1" customHeight="1" s="320">
      <c r="A106" s="385" t="n">
        <v>79</v>
      </c>
      <c r="B106" s="385" t="inlineStr">
        <is>
          <t>03.2.01.01-0001</t>
        </is>
      </c>
      <c r="C106" s="384" t="inlineStr">
        <is>
          <t>Портландцемент общестроительного назначения бездобавочный, марки: 400</t>
        </is>
      </c>
      <c r="D106" s="385" t="inlineStr">
        <is>
          <t>т</t>
        </is>
      </c>
      <c r="E106" s="476" t="n">
        <v>0.189</v>
      </c>
      <c r="F106" s="387" t="n">
        <v>412</v>
      </c>
      <c r="G106" s="237">
        <f>ROUND(E106*F106,2)</f>
        <v/>
      </c>
      <c r="H106" s="261">
        <f>G106/$G$124</f>
        <v/>
      </c>
      <c r="I106" s="237">
        <f>ROUND(F106*'Прил. 10'!$D$13,2)</f>
        <v/>
      </c>
      <c r="J106" s="237">
        <f>ROUND(I106*E106,2)</f>
        <v/>
      </c>
    </row>
    <row r="107" hidden="1" outlineLevel="1" ht="14.25" customFormat="1" customHeight="1" s="320">
      <c r="A107" s="385" t="n">
        <v>80</v>
      </c>
      <c r="B107" s="385" t="inlineStr">
        <is>
          <t>01.7.06.08-0008</t>
        </is>
      </c>
      <c r="C107" s="384" t="inlineStr">
        <is>
          <t>Лента сигнальная "Оптика" ЛСО 70</t>
        </is>
      </c>
      <c r="D107" s="385" t="inlineStr">
        <is>
          <t>100 м</t>
        </is>
      </c>
      <c r="E107" s="476" t="n">
        <v>7.2</v>
      </c>
      <c r="F107" s="387" t="n">
        <v>8.84</v>
      </c>
      <c r="G107" s="237">
        <f>ROUND(E107*F107,2)</f>
        <v/>
      </c>
      <c r="H107" s="261">
        <f>G107/$G$124</f>
        <v/>
      </c>
      <c r="I107" s="237">
        <f>ROUND(F107*'Прил. 10'!$D$13,2)</f>
        <v/>
      </c>
      <c r="J107" s="237">
        <f>ROUND(I107*E107,2)</f>
        <v/>
      </c>
    </row>
    <row r="108" hidden="1" outlineLevel="1" ht="25.5" customFormat="1" customHeight="1" s="320">
      <c r="A108" s="385" t="n">
        <v>81</v>
      </c>
      <c r="B108" s="385" t="inlineStr">
        <is>
          <t>02.2.01.02-0012</t>
        </is>
      </c>
      <c r="C108" s="384" t="inlineStr">
        <is>
          <t>Гравий для строительных работ марка 400, фракция 10-20 мм</t>
        </is>
      </c>
      <c r="D108" s="385" t="inlineStr">
        <is>
          <t>м3</t>
        </is>
      </c>
      <c r="E108" s="476" t="n">
        <v>0.4554</v>
      </c>
      <c r="F108" s="387" t="n">
        <v>129.13</v>
      </c>
      <c r="G108" s="237">
        <f>ROUND(E108*F108,2)</f>
        <v/>
      </c>
      <c r="H108" s="261">
        <f>G108/$G$124</f>
        <v/>
      </c>
      <c r="I108" s="237">
        <f>ROUND(F108*'Прил. 10'!$D$13,2)</f>
        <v/>
      </c>
      <c r="J108" s="237">
        <f>ROUND(I108*E108,2)</f>
        <v/>
      </c>
    </row>
    <row r="109" hidden="1" outlineLevel="1" ht="14.25" customFormat="1" customHeight="1" s="320">
      <c r="A109" s="385" t="n">
        <v>82</v>
      </c>
      <c r="B109" s="385" t="inlineStr">
        <is>
          <t>20.2.02.01-0019</t>
        </is>
      </c>
      <c r="C109" s="384" t="inlineStr">
        <is>
          <t>Втулки изолирующие</t>
        </is>
      </c>
      <c r="D109" s="385" t="inlineStr">
        <is>
          <t>1000 шт</t>
        </is>
      </c>
      <c r="E109" s="476" t="n">
        <v>0.189</v>
      </c>
      <c r="F109" s="387" t="n">
        <v>270</v>
      </c>
      <c r="G109" s="237">
        <f>ROUND(E109*F109,2)</f>
        <v/>
      </c>
      <c r="H109" s="261">
        <f>G109/$G$124</f>
        <v/>
      </c>
      <c r="I109" s="237">
        <f>ROUND(F109*'Прил. 10'!$D$13,2)</f>
        <v/>
      </c>
      <c r="J109" s="237">
        <f>ROUND(I109*E109,2)</f>
        <v/>
      </c>
    </row>
    <row r="110" hidden="1" outlineLevel="1" ht="14.25" customFormat="1" customHeight="1" s="320">
      <c r="A110" s="385" t="n">
        <v>83</v>
      </c>
      <c r="B110" s="385" t="inlineStr">
        <is>
          <t>01.2.03.03-0013</t>
        </is>
      </c>
      <c r="C110" s="384" t="inlineStr">
        <is>
          <t>Мастика битумная кровельная горячая</t>
        </is>
      </c>
      <c r="D110" s="385" t="inlineStr">
        <is>
          <t>т</t>
        </is>
      </c>
      <c r="E110" s="476" t="n">
        <v>0.0125</v>
      </c>
      <c r="F110" s="387" t="n">
        <v>3390</v>
      </c>
      <c r="G110" s="237">
        <f>ROUND(E110*F110,2)</f>
        <v/>
      </c>
      <c r="H110" s="261">
        <f>G110/$G$124</f>
        <v/>
      </c>
      <c r="I110" s="237">
        <f>ROUND(F110*'Прил. 10'!$D$13,2)</f>
        <v/>
      </c>
      <c r="J110" s="237">
        <f>ROUND(I110*E110,2)</f>
        <v/>
      </c>
    </row>
    <row r="111" hidden="1" outlineLevel="1" ht="25.5" customFormat="1" customHeight="1" s="320">
      <c r="A111" s="385" t="n">
        <v>84</v>
      </c>
      <c r="B111" s="385" t="inlineStr">
        <is>
          <t>12.2.05.06-0031</t>
        </is>
      </c>
      <c r="C111" s="384" t="inlineStr">
        <is>
          <t>Плиты теплоизоляционные из пенопласта полистирольного ПСБ- С-10</t>
        </is>
      </c>
      <c r="D111" s="385" t="inlineStr">
        <is>
          <t>м3</t>
        </is>
      </c>
      <c r="E111" s="476" t="n">
        <v>0.08956799999999999</v>
      </c>
      <c r="F111" s="387" t="n">
        <v>393.33</v>
      </c>
      <c r="G111" s="237">
        <f>ROUND(E111*F111,2)</f>
        <v/>
      </c>
      <c r="H111" s="261">
        <f>G111/$G$124</f>
        <v/>
      </c>
      <c r="I111" s="237">
        <f>ROUND(F111*'Прил. 10'!$D$13,2)</f>
        <v/>
      </c>
      <c r="J111" s="237">
        <f>ROUND(I111*E111,2)</f>
        <v/>
      </c>
    </row>
    <row r="112" hidden="1" outlineLevel="1" ht="14.25" customFormat="1" customHeight="1" s="320">
      <c r="A112" s="385" t="n">
        <v>85</v>
      </c>
      <c r="B112" s="385" t="inlineStr">
        <is>
          <t>01.7.20.08-0031</t>
        </is>
      </c>
      <c r="C112" s="384" t="inlineStr">
        <is>
          <t>Бязь суровая арт. 6804</t>
        </is>
      </c>
      <c r="D112" s="385" t="inlineStr">
        <is>
          <t>10 м2</t>
        </is>
      </c>
      <c r="E112" s="476" t="n">
        <v>0.42</v>
      </c>
      <c r="F112" s="387" t="n">
        <v>79.09999999999999</v>
      </c>
      <c r="G112" s="237">
        <f>ROUND(E112*F112,2)</f>
        <v/>
      </c>
      <c r="H112" s="261">
        <f>G112/$G$124</f>
        <v/>
      </c>
      <c r="I112" s="237">
        <f>ROUND(F112*'Прил. 10'!$D$13,2)</f>
        <v/>
      </c>
      <c r="J112" s="237">
        <f>ROUND(I112*E112,2)</f>
        <v/>
      </c>
    </row>
    <row r="113" hidden="1" outlineLevel="1" ht="14.25" customFormat="1" customHeight="1" s="320">
      <c r="A113" s="385" t="n">
        <v>86</v>
      </c>
      <c r="B113" s="385" t="inlineStr">
        <is>
          <t>20.1.02.23-0082</t>
        </is>
      </c>
      <c r="C113" s="384" t="inlineStr">
        <is>
          <t>Перемычки гибкие, тип ПГС-50</t>
        </is>
      </c>
      <c r="D113" s="385" t="inlineStr">
        <is>
          <t>10 шт</t>
        </is>
      </c>
      <c r="E113" s="476" t="n">
        <v>0.3</v>
      </c>
      <c r="F113" s="387" t="n">
        <v>39</v>
      </c>
      <c r="G113" s="237">
        <f>ROUND(E113*F113,2)</f>
        <v/>
      </c>
      <c r="H113" s="261">
        <f>G113/$G$124</f>
        <v/>
      </c>
      <c r="I113" s="237">
        <f>ROUND(F113*'Прил. 10'!$D$13,2)</f>
        <v/>
      </c>
      <c r="J113" s="237">
        <f>ROUND(I113*E113,2)</f>
        <v/>
      </c>
    </row>
    <row r="114" hidden="1" outlineLevel="1" ht="14.25" customFormat="1" customHeight="1" s="320">
      <c r="A114" s="385" t="n">
        <v>87</v>
      </c>
      <c r="B114" s="385" t="inlineStr">
        <is>
          <t>01.7.03.01-0001</t>
        </is>
      </c>
      <c r="C114" s="384" t="inlineStr">
        <is>
          <t>Вода</t>
        </is>
      </c>
      <c r="D114" s="385" t="inlineStr">
        <is>
          <t>м3</t>
        </is>
      </c>
      <c r="E114" s="476" t="n">
        <v>4.105</v>
      </c>
      <c r="F114" s="387" t="n">
        <v>2.44</v>
      </c>
      <c r="G114" s="237">
        <f>ROUND(E114*F114,2)</f>
        <v/>
      </c>
      <c r="H114" s="261">
        <f>G114/$G$124</f>
        <v/>
      </c>
      <c r="I114" s="237">
        <f>ROUND(F114*'Прил. 10'!$D$13,2)</f>
        <v/>
      </c>
      <c r="J114" s="237">
        <f>ROUND(I114*E114,2)</f>
        <v/>
      </c>
    </row>
    <row r="115" hidden="1" outlineLevel="1" ht="25.5" customFormat="1" customHeight="1" s="320">
      <c r="A115" s="385" t="n">
        <v>88</v>
      </c>
      <c r="B115" s="385" t="inlineStr">
        <is>
          <t>01.3.01.03-0002</t>
        </is>
      </c>
      <c r="C115" s="384" t="inlineStr">
        <is>
          <t>Керосин для технических целей марок КТ-1, КТ-2</t>
        </is>
      </c>
      <c r="D115" s="385" t="inlineStr">
        <is>
          <t>т</t>
        </is>
      </c>
      <c r="E115" s="476" t="n">
        <v>0.0036</v>
      </c>
      <c r="F115" s="387" t="n">
        <v>2606.9</v>
      </c>
      <c r="G115" s="237">
        <f>ROUND(E115*F115,2)</f>
        <v/>
      </c>
      <c r="H115" s="261">
        <f>G115/$G$124</f>
        <v/>
      </c>
      <c r="I115" s="237">
        <f>ROUND(F115*'Прил. 10'!$D$13,2)</f>
        <v/>
      </c>
      <c r="J115" s="237">
        <f>ROUND(I115*E115,2)</f>
        <v/>
      </c>
    </row>
    <row r="116" hidden="1" outlineLevel="1" ht="38.25" customFormat="1" customHeight="1" s="320">
      <c r="A116" s="385" t="n">
        <v>89</v>
      </c>
      <c r="B116" s="385" t="inlineStr">
        <is>
          <t>01.7.06.05-0041</t>
        </is>
      </c>
      <c r="C116" s="384" t="inlineStr">
        <is>
          <t>Лента изоляционная прорезиненная односторонняя ширина 20 мм, толщина 0,25-0,35 мм</t>
        </is>
      </c>
      <c r="D116" s="385" t="inlineStr">
        <is>
          <t>кг</t>
        </is>
      </c>
      <c r="E116" s="476" t="n">
        <v>0.144</v>
      </c>
      <c r="F116" s="387" t="n">
        <v>30.4</v>
      </c>
      <c r="G116" s="237">
        <f>ROUND(E116*F116,2)</f>
        <v/>
      </c>
      <c r="H116" s="261">
        <f>G116/$G$124</f>
        <v/>
      </c>
      <c r="I116" s="237">
        <f>ROUND(F116*'Прил. 10'!$D$13,2)</f>
        <v/>
      </c>
      <c r="J116" s="237">
        <f>ROUND(I116*E116,2)</f>
        <v/>
      </c>
    </row>
    <row r="117" hidden="1" outlineLevel="1" ht="14.25" customFormat="1" customHeight="1" s="320">
      <c r="A117" s="385" t="n">
        <v>90</v>
      </c>
      <c r="B117" s="385" t="inlineStr">
        <is>
          <t>01.7.15.07-0014</t>
        </is>
      </c>
      <c r="C117" s="384" t="inlineStr">
        <is>
          <t>Дюбели распорные полипропиленовые</t>
        </is>
      </c>
      <c r="D117" s="385" t="inlineStr">
        <is>
          <t>100 шт</t>
        </is>
      </c>
      <c r="E117" s="476" t="n">
        <v>0.042</v>
      </c>
      <c r="F117" s="387" t="n">
        <v>86</v>
      </c>
      <c r="G117" s="237">
        <f>ROUND(E117*F117,2)</f>
        <v/>
      </c>
      <c r="H117" s="261">
        <f>G117/$G$124</f>
        <v/>
      </c>
      <c r="I117" s="237">
        <f>ROUND(F117*'Прил. 10'!$D$13,2)</f>
        <v/>
      </c>
      <c r="J117" s="237">
        <f>ROUND(I117*E117,2)</f>
        <v/>
      </c>
    </row>
    <row r="118" hidden="1" outlineLevel="1" ht="38.25" customFormat="1" customHeight="1" s="320">
      <c r="A118" s="385" t="n">
        <v>91</v>
      </c>
      <c r="B118" s="385" t="inlineStr">
        <is>
          <t>01.2.01.02-0041</t>
        </is>
      </c>
      <c r="C118" s="384" t="inlineStr">
        <is>
          <t>Битумы нефтяные строительные кровельные марки: БНК-45/190, БНК-45/180</t>
        </is>
      </c>
      <c r="D118" s="385" t="inlineStr">
        <is>
          <t>т</t>
        </is>
      </c>
      <c r="E118" s="476" t="n">
        <v>0.0016</v>
      </c>
      <c r="F118" s="387" t="n">
        <v>1530</v>
      </c>
      <c r="G118" s="237">
        <f>ROUND(E118*F118,2)</f>
        <v/>
      </c>
      <c r="H118" s="261">
        <f>G118/$G$124</f>
        <v/>
      </c>
      <c r="I118" s="237">
        <f>ROUND(F118*'Прил. 10'!$D$13,2)</f>
        <v/>
      </c>
      <c r="J118" s="237">
        <f>ROUND(I118*E118,2)</f>
        <v/>
      </c>
    </row>
    <row r="119" hidden="1" outlineLevel="1" ht="14.25" customFormat="1" customHeight="1" s="320">
      <c r="A119" s="385" t="n">
        <v>92</v>
      </c>
      <c r="B119" s="385" t="inlineStr">
        <is>
          <t>01.3.01.02-0002</t>
        </is>
      </c>
      <c r="C119" s="384" t="inlineStr">
        <is>
          <t>Вазелин технический</t>
        </is>
      </c>
      <c r="D119" s="385" t="inlineStr">
        <is>
          <t>кг</t>
        </is>
      </c>
      <c r="E119" s="476" t="n">
        <v>0.036</v>
      </c>
      <c r="F119" s="387" t="n">
        <v>44.97</v>
      </c>
      <c r="G119" s="237">
        <f>ROUND(E119*F119,2)</f>
        <v/>
      </c>
      <c r="H119" s="261">
        <f>G119/$G$124</f>
        <v/>
      </c>
      <c r="I119" s="237">
        <f>ROUND(F119*'Прил. 10'!$D$13,2)</f>
        <v/>
      </c>
      <c r="J119" s="237">
        <f>ROUND(I119*E119,2)</f>
        <v/>
      </c>
    </row>
    <row r="120" hidden="1" outlineLevel="1" ht="14.25" customFormat="1" customHeight="1" s="320">
      <c r="A120" s="385" t="n">
        <v>93</v>
      </c>
      <c r="B120" s="385" t="inlineStr">
        <is>
          <t>14.4.03.17-0011</t>
        </is>
      </c>
      <c r="C120" s="384" t="inlineStr">
        <is>
          <t>Лак электроизоляционный 318</t>
        </is>
      </c>
      <c r="D120" s="385" t="inlineStr">
        <is>
          <t>кг</t>
        </is>
      </c>
      <c r="E120" s="476" t="n">
        <v>0.045</v>
      </c>
      <c r="F120" s="387" t="n">
        <v>35.63</v>
      </c>
      <c r="G120" s="237">
        <f>ROUND(E120*F120,2)</f>
        <v/>
      </c>
      <c r="H120" s="261">
        <f>G120/$G$124</f>
        <v/>
      </c>
      <c r="I120" s="237">
        <f>ROUND(F120*'Прил. 10'!$D$13,2)</f>
        <v/>
      </c>
      <c r="J120" s="237">
        <f>ROUND(I120*E120,2)</f>
        <v/>
      </c>
    </row>
    <row r="121" hidden="1" outlineLevel="1" ht="14.25" customFormat="1" customHeight="1" s="320">
      <c r="A121" s="385" t="n">
        <v>94</v>
      </c>
      <c r="B121" s="385" t="inlineStr">
        <is>
          <t>01.7.20.04-0005</t>
        </is>
      </c>
      <c r="C121" s="384" t="inlineStr">
        <is>
          <t>Нитки швейные</t>
        </is>
      </c>
      <c r="D121" s="385" t="inlineStr">
        <is>
          <t>кг</t>
        </is>
      </c>
      <c r="E121" s="476" t="n">
        <v>0.006</v>
      </c>
      <c r="F121" s="387" t="n">
        <v>133.05</v>
      </c>
      <c r="G121" s="237">
        <f>ROUND(E121*F121,2)</f>
        <v/>
      </c>
      <c r="H121" s="261">
        <f>G121/$G$124</f>
        <v/>
      </c>
      <c r="I121" s="237">
        <f>ROUND(F121*'Прил. 10'!$D$13,2)</f>
        <v/>
      </c>
      <c r="J121" s="237">
        <f>ROUND(I121*E121,2)</f>
        <v/>
      </c>
    </row>
    <row r="122" hidden="1" outlineLevel="1" ht="14.25" customFormat="1" customHeight="1" s="320">
      <c r="A122" s="385" t="n">
        <v>95</v>
      </c>
      <c r="B122" s="385" t="inlineStr">
        <is>
          <t>01.7.02.09-0002</t>
        </is>
      </c>
      <c r="C122" s="384" t="inlineStr">
        <is>
          <t>Шпагат бумажный</t>
        </is>
      </c>
      <c r="D122" s="385" t="inlineStr">
        <is>
          <t>кг</t>
        </is>
      </c>
      <c r="E122" s="476" t="n">
        <v>0.015</v>
      </c>
      <c r="F122" s="387" t="n">
        <v>11.5</v>
      </c>
      <c r="G122" s="237">
        <f>ROUND(E122*F122,2)</f>
        <v/>
      </c>
      <c r="H122" s="261">
        <f>G122/$G$124</f>
        <v/>
      </c>
      <c r="I122" s="237">
        <f>ROUND(F122*'Прил. 10'!$D$13,2)</f>
        <v/>
      </c>
      <c r="J122" s="237">
        <f>ROUND(I122*E122,2)</f>
        <v/>
      </c>
    </row>
    <row r="123" collapsed="1" ht="14.25" customFormat="1" customHeight="1" s="320">
      <c r="A123" s="385" t="n"/>
      <c r="B123" s="385" t="n"/>
      <c r="C123" s="384" t="inlineStr">
        <is>
          <t>Итого прочие материалы</t>
        </is>
      </c>
      <c r="D123" s="385" t="n"/>
      <c r="E123" s="386" t="n"/>
      <c r="F123" s="387" t="n"/>
      <c r="G123" s="237">
        <f>SUM(G74:G122)</f>
        <v/>
      </c>
      <c r="H123" s="261">
        <f>G123/$G$124</f>
        <v/>
      </c>
      <c r="I123" s="237" t="n"/>
      <c r="J123" s="237">
        <f>SUM(J74:J122)</f>
        <v/>
      </c>
    </row>
    <row r="124" ht="14.25" customFormat="1" customHeight="1" s="320">
      <c r="A124" s="385" t="n"/>
      <c r="B124" s="385" t="n"/>
      <c r="C124" s="371" t="inlineStr">
        <is>
          <t>Итого по разделу «Материалы»</t>
        </is>
      </c>
      <c r="D124" s="385" t="n"/>
      <c r="E124" s="386" t="n"/>
      <c r="F124" s="387" t="n"/>
      <c r="G124" s="237">
        <f>G73+G123</f>
        <v/>
      </c>
      <c r="H124" s="388">
        <f>G124/$G$124</f>
        <v/>
      </c>
      <c r="I124" s="237" t="n"/>
      <c r="J124" s="237">
        <f>J73+J123</f>
        <v/>
      </c>
    </row>
    <row r="125" ht="14.25" customFormat="1" customHeight="1" s="320">
      <c r="A125" s="385" t="n"/>
      <c r="B125" s="385" t="n"/>
      <c r="C125" s="384" t="inlineStr">
        <is>
          <t>ИТОГО ПО РМ</t>
        </is>
      </c>
      <c r="D125" s="385" t="n"/>
      <c r="E125" s="386" t="n"/>
      <c r="F125" s="387" t="n"/>
      <c r="G125" s="237">
        <f>G15+G55+G124</f>
        <v/>
      </c>
      <c r="H125" s="388" t="n"/>
      <c r="I125" s="237" t="n"/>
      <c r="J125" s="237">
        <f>J15+J55+J124</f>
        <v/>
      </c>
    </row>
    <row r="126" ht="14.25" customFormat="1" customHeight="1" s="320">
      <c r="A126" s="385" t="n"/>
      <c r="B126" s="385" t="n"/>
      <c r="C126" s="384" t="inlineStr">
        <is>
          <t>Накладные расходы</t>
        </is>
      </c>
      <c r="D126" s="240">
        <f>ROUND(G126/(G$17+$G$15),2)</f>
        <v/>
      </c>
      <c r="E126" s="386" t="n"/>
      <c r="F126" s="387" t="n"/>
      <c r="G126" s="237">
        <f>60666.02+20744.08</f>
        <v/>
      </c>
      <c r="H126" s="388" t="n"/>
      <c r="I126" s="237" t="n"/>
      <c r="J126" s="237">
        <f>ROUND(D126*(J15+J17),2)</f>
        <v/>
      </c>
    </row>
    <row r="127" ht="14.25" customFormat="1" customHeight="1" s="320">
      <c r="A127" s="385" t="n"/>
      <c r="B127" s="385" t="n"/>
      <c r="C127" s="384" t="inlineStr">
        <is>
          <t>Сметная прибыль</t>
        </is>
      </c>
      <c r="D127" s="240">
        <f>ROUND(G127/(G$15+G$17),2)</f>
        <v/>
      </c>
      <c r="E127" s="386" t="n"/>
      <c r="F127" s="387" t="n"/>
      <c r="G127" s="237">
        <f>35438.15+13393.07</f>
        <v/>
      </c>
      <c r="H127" s="388" t="n"/>
      <c r="I127" s="237" t="n"/>
      <c r="J127" s="237">
        <f>ROUND(D127*(J15+J17),2)</f>
        <v/>
      </c>
    </row>
    <row r="128" ht="14.25" customFormat="1" customHeight="1" s="320">
      <c r="A128" s="385" t="n"/>
      <c r="B128" s="385" t="n"/>
      <c r="C128" s="384" t="inlineStr">
        <is>
          <t>Итого СМР (с НР и СП)</t>
        </is>
      </c>
      <c r="D128" s="385" t="n"/>
      <c r="E128" s="386" t="n"/>
      <c r="F128" s="387" t="n"/>
      <c r="G128" s="237">
        <f>G15+G55+G124+G126+G127</f>
        <v/>
      </c>
      <c r="H128" s="388" t="n"/>
      <c r="I128" s="237" t="n"/>
      <c r="J128" s="237">
        <f>J15+J55+J124+J126+J127</f>
        <v/>
      </c>
    </row>
    <row r="129" ht="14.25" customFormat="1" customHeight="1" s="320">
      <c r="A129" s="385" t="n"/>
      <c r="B129" s="385" t="n"/>
      <c r="C129" s="384" t="inlineStr">
        <is>
          <t>ВСЕГО СМР + ОБОРУДОВАНИЕ</t>
        </is>
      </c>
      <c r="D129" s="385" t="n"/>
      <c r="E129" s="386" t="n"/>
      <c r="F129" s="387" t="n"/>
      <c r="G129" s="237">
        <f>G128+G60</f>
        <v/>
      </c>
      <c r="H129" s="388" t="n"/>
      <c r="I129" s="237" t="n"/>
      <c r="J129" s="237">
        <f>J128+J60</f>
        <v/>
      </c>
    </row>
    <row r="130" ht="14.25" customFormat="1" customHeight="1" s="320">
      <c r="A130" s="385" t="n"/>
      <c r="B130" s="385" t="n"/>
      <c r="C130" s="384" t="inlineStr">
        <is>
          <t>ИТОГО ПОКАЗАТЕЛЬ НА ЕД. ИЗМ.</t>
        </is>
      </c>
      <c r="D130" s="385" t="inlineStr">
        <is>
          <t>1 км.</t>
        </is>
      </c>
      <c r="E130" s="476" t="n">
        <v>1.345</v>
      </c>
      <c r="F130" s="387" t="n"/>
      <c r="G130" s="237">
        <f>G129/E130</f>
        <v/>
      </c>
      <c r="H130" s="388" t="n"/>
      <c r="I130" s="237" t="n"/>
      <c r="J130" s="237">
        <f>J129/E130</f>
        <v/>
      </c>
    </row>
    <row r="132" ht="14.25" customFormat="1" customHeight="1" s="320">
      <c r="A132" s="310" t="inlineStr">
        <is>
          <t>Составил ______________________    Д.Ю. Нефедова</t>
        </is>
      </c>
    </row>
    <row r="133" ht="14.25" customFormat="1" customHeight="1" s="320">
      <c r="A133" s="319" t="inlineStr">
        <is>
          <t xml:space="preserve">                         (подпись, инициалы, фамилия)</t>
        </is>
      </c>
    </row>
    <row r="134" ht="14.25" customFormat="1" customHeight="1" s="320">
      <c r="A134" s="310" t="n"/>
    </row>
    <row r="135" ht="14.25" customFormat="1" customHeight="1" s="320">
      <c r="A135" s="310" t="inlineStr">
        <is>
          <t>Проверил ______________________        А.В. Костянецкая</t>
        </is>
      </c>
    </row>
    <row r="136" ht="14.25" customFormat="1" customHeight="1" s="320">
      <c r="A136" s="319" t="inlineStr">
        <is>
          <t xml:space="preserve">                        (подпись, инициалы, фамилия)</t>
        </is>
      </c>
    </row>
    <row r="139">
      <c r="G139" s="481" t="inlineStr">
        <is>
          <t> </t>
        </is>
      </c>
      <c r="H139" s="481" t="n"/>
      <c r="I139" s="481" t="n"/>
      <c r="J139" s="481" t="n"/>
    </row>
  </sheetData>
  <mergeCells count="21">
    <mergeCell ref="F10:G10"/>
    <mergeCell ref="A4:J4"/>
    <mergeCell ref="C10:C11"/>
    <mergeCell ref="H2:J2"/>
    <mergeCell ref="E10:E11"/>
    <mergeCell ref="B63:H63"/>
    <mergeCell ref="A7:H7"/>
    <mergeCell ref="B16:H16"/>
    <mergeCell ref="B62:H62"/>
    <mergeCell ref="B10:B11"/>
    <mergeCell ref="B18:H18"/>
    <mergeCell ref="B56:H56"/>
    <mergeCell ref="D6:J6"/>
    <mergeCell ref="A10:A11"/>
    <mergeCell ref="A8:H8"/>
    <mergeCell ref="D10:D11"/>
    <mergeCell ref="B13:H13"/>
    <mergeCell ref="B57:H57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334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408" t="inlineStr">
        <is>
          <t>Приложение №6</t>
        </is>
      </c>
    </row>
    <row r="2" ht="21.75" customHeight="1" s="334">
      <c r="A2" s="408" t="n"/>
      <c r="B2" s="408" t="n"/>
      <c r="C2" s="408" t="n"/>
      <c r="D2" s="408" t="n"/>
      <c r="E2" s="408" t="n"/>
      <c r="F2" s="408" t="n"/>
      <c r="G2" s="408" t="n"/>
    </row>
    <row r="3">
      <c r="A3" s="351" t="inlineStr">
        <is>
          <t>Расчет стоимости оборудования</t>
        </is>
      </c>
    </row>
    <row r="4" ht="27" customHeight="1" s="334">
      <c r="A4" s="354" t="inlineStr">
        <is>
          <t>Наименование разрабатываемого показателя УНЦ — Устройство траншеи КЛ 330-500 кВ 1ц (Москва, Санкт-Петербург)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" customHeight="1" s="334">
      <c r="A6" s="413" t="inlineStr">
        <is>
          <t>№ пп.</t>
        </is>
      </c>
      <c r="B6" s="413" t="inlineStr">
        <is>
          <t>Код ресурса</t>
        </is>
      </c>
      <c r="C6" s="413" t="inlineStr">
        <is>
          <t>Наименование</t>
        </is>
      </c>
      <c r="D6" s="413" t="inlineStr">
        <is>
          <t>Ед. изм.</t>
        </is>
      </c>
      <c r="E6" s="385" t="inlineStr">
        <is>
          <t>Кол-во единиц по проектным данным</t>
        </is>
      </c>
      <c r="F6" s="413" t="inlineStr">
        <is>
          <t>Сметная стоимость в ценах на 01.01.2000 (руб.)</t>
        </is>
      </c>
      <c r="G6" s="467" t="n"/>
    </row>
    <row r="7">
      <c r="A7" s="469" t="n"/>
      <c r="B7" s="469" t="n"/>
      <c r="C7" s="469" t="n"/>
      <c r="D7" s="469" t="n"/>
      <c r="E7" s="469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34">
      <c r="A9" s="232" t="n"/>
      <c r="B9" s="384" t="inlineStr">
        <is>
          <t>ИНЖЕНЕРНОЕ ОБОРУДОВАНИЕ</t>
        </is>
      </c>
      <c r="C9" s="466" t="n"/>
      <c r="D9" s="466" t="n"/>
      <c r="E9" s="466" t="n"/>
      <c r="F9" s="466" t="n"/>
      <c r="G9" s="467" t="n"/>
    </row>
    <row r="10" ht="27" customHeight="1" s="334">
      <c r="A10" s="385" t="n"/>
      <c r="B10" s="371" t="n"/>
      <c r="C10" s="384" t="inlineStr">
        <is>
          <t>ИТОГО ИНЖЕНЕРНОЕ ОБОРУДОВАНИЕ</t>
        </is>
      </c>
      <c r="D10" s="371" t="n"/>
      <c r="E10" s="234" t="n"/>
      <c r="F10" s="387" t="n"/>
      <c r="G10" s="387" t="n">
        <v>0</v>
      </c>
    </row>
    <row r="11">
      <c r="A11" s="385" t="n"/>
      <c r="B11" s="384" t="inlineStr">
        <is>
          <t>ТЕХНОЛОГИЧЕСКОЕ ОБОРУДОВАНИЕ</t>
        </is>
      </c>
      <c r="C11" s="466" t="n"/>
      <c r="D11" s="466" t="n"/>
      <c r="E11" s="466" t="n"/>
      <c r="F11" s="466" t="n"/>
      <c r="G11" s="467" t="n"/>
    </row>
    <row r="12" ht="25.5" customHeight="1" s="334">
      <c r="A12" s="385" t="n"/>
      <c r="B12" s="384" t="n"/>
      <c r="C12" s="384" t="inlineStr">
        <is>
          <t>ИТОГО ТЕХНОЛОГИЧЕСКОЕ ОБОРУДОВАНИЕ</t>
        </is>
      </c>
      <c r="D12" s="384" t="n"/>
      <c r="E12" s="412" t="n"/>
      <c r="F12" s="387" t="n"/>
      <c r="G12" s="237" t="n">
        <v>0</v>
      </c>
    </row>
    <row r="13" ht="19.5" customHeight="1" s="334">
      <c r="A13" s="385" t="n"/>
      <c r="B13" s="384" t="n"/>
      <c r="C13" s="384" t="inlineStr">
        <is>
          <t>Всего по разделу «Оборудование»</t>
        </is>
      </c>
      <c r="D13" s="384" t="n"/>
      <c r="E13" s="412" t="n"/>
      <c r="F13" s="387" t="n"/>
      <c r="G13" s="237">
        <f>G10+G12</f>
        <v/>
      </c>
    </row>
    <row r="14">
      <c r="A14" s="321" t="n"/>
      <c r="B14" s="316" t="n"/>
      <c r="C14" s="321" t="n"/>
      <c r="D14" s="321" t="n"/>
      <c r="E14" s="321" t="n"/>
      <c r="F14" s="321" t="n"/>
      <c r="G14" s="321" t="n"/>
    </row>
    <row r="15">
      <c r="A15" s="310" t="inlineStr">
        <is>
          <t>Составил ______________________    Д.Ю. Нефедова</t>
        </is>
      </c>
      <c r="B15" s="320" t="n"/>
      <c r="C15" s="320" t="n"/>
      <c r="D15" s="321" t="n"/>
      <c r="E15" s="321" t="n"/>
      <c r="F15" s="321" t="n"/>
      <c r="G15" s="321" t="n"/>
    </row>
    <row r="16">
      <c r="A16" s="319" t="inlineStr">
        <is>
          <t xml:space="preserve">                         (подпись, инициалы, фамилия)</t>
        </is>
      </c>
      <c r="B16" s="320" t="n"/>
      <c r="C16" s="320" t="n"/>
      <c r="D16" s="321" t="n"/>
      <c r="E16" s="321" t="n"/>
      <c r="F16" s="321" t="n"/>
      <c r="G16" s="321" t="n"/>
    </row>
    <row r="17">
      <c r="A17" s="310" t="n"/>
      <c r="B17" s="320" t="n"/>
      <c r="C17" s="320" t="n"/>
      <c r="D17" s="321" t="n"/>
      <c r="E17" s="321" t="n"/>
      <c r="F17" s="321" t="n"/>
      <c r="G17" s="321" t="n"/>
    </row>
    <row r="18">
      <c r="A18" s="310" t="inlineStr">
        <is>
          <t>Проверил ______________________        А.В. Костянецкая</t>
        </is>
      </c>
      <c r="B18" s="320" t="n"/>
      <c r="C18" s="320" t="n"/>
      <c r="D18" s="321" t="n"/>
      <c r="E18" s="321" t="n"/>
      <c r="F18" s="321" t="n"/>
      <c r="G18" s="321" t="n"/>
    </row>
    <row r="19">
      <c r="A19" s="319" t="inlineStr">
        <is>
          <t xml:space="preserve">                        (подпись, инициалы, фамилия)</t>
        </is>
      </c>
      <c r="B19" s="320" t="n"/>
      <c r="C19" s="320" t="n"/>
      <c r="D19" s="321" t="n"/>
      <c r="E19" s="321" t="n"/>
      <c r="F19" s="321" t="n"/>
      <c r="G19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34" min="1" max="1"/>
    <col width="29.7109375" customWidth="1" style="334" min="2" max="2"/>
    <col width="39.140625" customWidth="1" style="334" min="3" max="3"/>
    <col width="24.5703125" customWidth="1" style="334" min="4" max="4"/>
    <col width="8.85546875" customWidth="1" style="334" min="5" max="5"/>
  </cols>
  <sheetData>
    <row r="1">
      <c r="B1" s="310" t="n"/>
      <c r="C1" s="310" t="n"/>
      <c r="D1" s="408" t="inlineStr">
        <is>
          <t>Приложение №7</t>
        </is>
      </c>
    </row>
    <row r="2">
      <c r="A2" s="408" t="n"/>
      <c r="B2" s="408" t="n"/>
      <c r="C2" s="408" t="n"/>
      <c r="D2" s="408" t="n"/>
    </row>
    <row r="3" ht="24.75" customHeight="1" s="334">
      <c r="A3" s="351" t="inlineStr">
        <is>
          <t>Расчет показателя УНЦ</t>
        </is>
      </c>
    </row>
    <row r="4" ht="24.75" customHeight="1" s="334">
      <c r="A4" s="351" t="n"/>
      <c r="B4" s="351" t="n"/>
      <c r="C4" s="351" t="n"/>
      <c r="D4" s="351" t="n"/>
    </row>
    <row r="5" ht="58.5" customHeight="1" s="334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34">
      <c r="A6" s="354" t="inlineStr">
        <is>
          <t>Единица измерения  — 1 км</t>
        </is>
      </c>
      <c r="D6" s="354" t="n"/>
    </row>
    <row r="7">
      <c r="A7" s="310" t="n"/>
      <c r="B7" s="310" t="n"/>
      <c r="C7" s="310" t="n"/>
      <c r="D7" s="310" t="n"/>
    </row>
    <row r="8" ht="14.45" customHeight="1" s="334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 ht="15" customHeight="1" s="334">
      <c r="A9" s="469" t="n"/>
      <c r="B9" s="469" t="n"/>
      <c r="C9" s="469" t="n"/>
      <c r="D9" s="469" t="n"/>
    </row>
    <row r="10">
      <c r="A10" s="385" t="n">
        <v>1</v>
      </c>
      <c r="B10" s="385" t="n">
        <v>2</v>
      </c>
      <c r="C10" s="385" t="n">
        <v>3</v>
      </c>
      <c r="D10" s="385" t="n">
        <v>4</v>
      </c>
    </row>
    <row r="11" ht="53.25" customHeight="1" s="334">
      <c r="A11" s="385" t="inlineStr">
        <is>
          <t>Б2-07-1</t>
        </is>
      </c>
      <c r="B11" s="385" t="inlineStr">
        <is>
          <t xml:space="preserve">УНЦ на устройство траншеи КЛ и восстановление благоустройства по трассе </t>
        </is>
      </c>
      <c r="C11" s="312">
        <f>D5</f>
        <v/>
      </c>
      <c r="D11" s="313">
        <f>'Прил.4 РМ'!C41/1000</f>
        <v/>
      </c>
      <c r="E11" s="314" t="n"/>
    </row>
    <row r="12">
      <c r="A12" s="321" t="n"/>
      <c r="B12" s="316" t="n"/>
      <c r="C12" s="321" t="n"/>
      <c r="D12" s="321" t="n"/>
    </row>
    <row r="13">
      <c r="A13" s="310" t="inlineStr">
        <is>
          <t>Составил ______________________      Д.Ю. Нефедова</t>
        </is>
      </c>
      <c r="B13" s="320" t="n"/>
      <c r="C13" s="320" t="n"/>
      <c r="D13" s="321" t="n"/>
    </row>
    <row r="14">
      <c r="A14" s="319" t="inlineStr">
        <is>
          <t xml:space="preserve">                         (подпись, инициалы, фамилия)</t>
        </is>
      </c>
      <c r="B14" s="320" t="n"/>
      <c r="C14" s="320" t="n"/>
      <c r="D14" s="321" t="n"/>
    </row>
    <row r="15">
      <c r="A15" s="310" t="n"/>
      <c r="B15" s="320" t="n"/>
      <c r="C15" s="320" t="n"/>
      <c r="D15" s="321" t="n"/>
    </row>
    <row r="16">
      <c r="A16" s="310" t="inlineStr">
        <is>
          <t>Проверил ______________________        А.В. Костянецкая</t>
        </is>
      </c>
      <c r="B16" s="320" t="n"/>
      <c r="C16" s="320" t="n"/>
      <c r="D16" s="321" t="n"/>
    </row>
    <row r="17">
      <c r="A17" s="319" t="inlineStr">
        <is>
          <t xml:space="preserve">                        (подпись, инициалы, фамилия)</t>
        </is>
      </c>
      <c r="B17" s="320" t="n"/>
      <c r="C17" s="320" t="n"/>
      <c r="D17" s="32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A24" sqref="D24"/>
    </sheetView>
  </sheetViews>
  <sheetFormatPr baseColWidth="8" defaultRowHeight="15"/>
  <cols>
    <col width="9.140625" customWidth="1" style="334" min="1" max="1"/>
    <col width="40.7109375" customWidth="1" style="334" min="2" max="2"/>
    <col width="37.5703125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61" t="inlineStr">
        <is>
          <t>Приложение № 10</t>
        </is>
      </c>
    </row>
    <row r="5" ht="18.75" customHeight="1" s="334">
      <c r="B5" s="162" t="n"/>
    </row>
    <row r="6" ht="15.75" customHeight="1" s="334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34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4">
      <c r="B10" s="366" t="n">
        <v>1</v>
      </c>
      <c r="C10" s="366" t="n">
        <v>2</v>
      </c>
      <c r="D10" s="366" t="n">
        <v>3</v>
      </c>
    </row>
    <row r="11" ht="45" customHeight="1" s="334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4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10.77</v>
      </c>
    </row>
    <row r="13" ht="29.25" customHeight="1" s="334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4.39</v>
      </c>
    </row>
    <row r="14" ht="30.75" customHeight="1" s="334">
      <c r="B14" s="366" t="inlineStr">
        <is>
          <t>Индекс изменения сметной стоимости на 1 квартал 2023 года. ОБ</t>
        </is>
      </c>
      <c r="C14" s="161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34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5" t="n">
        <v>0.039</v>
      </c>
    </row>
    <row r="16" ht="78.75" customHeight="1" s="334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0.021</v>
      </c>
    </row>
    <row r="17" ht="31.5" customHeight="1" s="334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65" t="n">
        <v>0.0214</v>
      </c>
    </row>
    <row r="18" ht="31.5" customHeight="1" s="334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65" t="n">
        <v>0.002</v>
      </c>
    </row>
    <row r="19" ht="24" customHeight="1" s="334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65" t="n">
        <v>0.03</v>
      </c>
    </row>
    <row r="20" ht="18.75" customHeight="1" s="334">
      <c r="B20" s="229" t="n"/>
    </row>
    <row r="21" ht="18.75" customHeight="1" s="334">
      <c r="B21" s="229" t="n"/>
    </row>
    <row r="22" ht="18.75" customHeight="1" s="334">
      <c r="B22" s="229" t="n"/>
    </row>
    <row r="23" ht="18.75" customHeight="1" s="334">
      <c r="B23" s="229" t="n"/>
    </row>
    <row r="26">
      <c r="B26" s="310" t="inlineStr">
        <is>
          <t>Составил ______________________        Д.Ю. Нефедова</t>
        </is>
      </c>
      <c r="C26" s="320" t="n"/>
    </row>
    <row r="27">
      <c r="B27" s="319" t="inlineStr">
        <is>
          <t xml:space="preserve">                         (подпись, инициалы, фамилия)</t>
        </is>
      </c>
      <c r="C27" s="320" t="n"/>
    </row>
    <row r="28">
      <c r="B28" s="310" t="n"/>
      <c r="C28" s="320" t="n"/>
    </row>
    <row r="29">
      <c r="B29" s="310" t="inlineStr">
        <is>
          <t>Проверил ______________________        А.В. Костянецкая</t>
        </is>
      </c>
      <c r="C29" s="320" t="n"/>
    </row>
    <row r="30">
      <c r="B30" s="319" t="inlineStr">
        <is>
          <t xml:space="preserve">                        (подпись, инициалы, фамилия)</t>
        </is>
      </c>
      <c r="C30" s="3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53.7109375" bestFit="1" customWidth="1" style="334" min="6" max="6"/>
  </cols>
  <sheetData>
    <row r="1" s="334"/>
    <row r="2" ht="17.25" customHeight="1" s="334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336" t="n"/>
    </row>
    <row r="6" ht="15.75" customHeight="1" s="334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336" t="n"/>
    </row>
    <row r="7" ht="110.25" customHeight="1" s="334">
      <c r="A7" s="338" t="inlineStr">
        <is>
          <t>1.1</t>
        </is>
      </c>
      <c r="B7" s="3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41" t="n">
        <v>47872.94</v>
      </c>
      <c r="F7" s="3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338" t="inlineStr">
        <is>
          <t>1.2</t>
        </is>
      </c>
      <c r="B8" s="343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42">
        <f>1973/12</f>
        <v/>
      </c>
      <c r="F8" s="343" t="inlineStr">
        <is>
          <t>Производственный календарь 2023 год
(40-часов.неделя)</t>
        </is>
      </c>
      <c r="G8" s="345" t="n"/>
    </row>
    <row r="9" ht="15.75" customHeight="1" s="334">
      <c r="A9" s="338" t="inlineStr">
        <is>
          <t>1.3</t>
        </is>
      </c>
      <c r="B9" s="343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42" t="n">
        <v>1</v>
      </c>
      <c r="F9" s="343" t="n"/>
      <c r="G9" s="345" t="n"/>
    </row>
    <row r="10" ht="15.75" customHeight="1" s="334">
      <c r="A10" s="338" t="inlineStr">
        <is>
          <t>1.4</t>
        </is>
      </c>
      <c r="B10" s="343" t="inlineStr">
        <is>
          <t>Средний разряд работ</t>
        </is>
      </c>
      <c r="C10" s="366" t="n"/>
      <c r="D10" s="366" t="n"/>
      <c r="E10" s="482" t="n">
        <v>2.8</v>
      </c>
      <c r="F10" s="343" t="inlineStr">
        <is>
          <t>РТМ</t>
        </is>
      </c>
      <c r="G10" s="345" t="n"/>
    </row>
    <row r="11" ht="78.75" customHeight="1" s="334">
      <c r="A11" s="338" t="inlineStr">
        <is>
          <t>1.5</t>
        </is>
      </c>
      <c r="B11" s="343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83" t="n">
        <v>1.166</v>
      </c>
      <c r="F11" s="3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348" t="inlineStr">
        <is>
          <t>1.6</t>
        </is>
      </c>
      <c r="B12" s="458" t="inlineStr">
        <is>
          <t>Коэффициент инфляции, определяемый поквартально</t>
        </is>
      </c>
      <c r="C12" s="367" t="inlineStr">
        <is>
          <t>Кинф</t>
        </is>
      </c>
      <c r="D12" s="367" t="inlineStr">
        <is>
          <t>-</t>
        </is>
      </c>
      <c r="E12" s="484" t="n">
        <v>1.139</v>
      </c>
      <c r="F12" s="46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461" t="inlineStr">
        <is>
          <t>1.7</t>
        </is>
      </c>
      <c r="B13" s="462" t="inlineStr">
        <is>
          <t>Размер средств на оплату труда рабочих-строителей в текущем уровне цен (ФОТр.тек.), руб/чел.-ч</t>
        </is>
      </c>
      <c r="C13" s="463" t="inlineStr">
        <is>
          <t>ФОТр.тек.</t>
        </is>
      </c>
      <c r="D13" s="463" t="inlineStr">
        <is>
          <t>(С1ср/tср*КТ*Т*Кув)*Кинф</t>
        </is>
      </c>
      <c r="E13" s="464">
        <f>((E7*E9/E8)*E11)*E12</f>
        <v/>
      </c>
      <c r="F13" s="46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2025-01-24T11:54:11Z</dcterms:modified>
  <cp:lastModifiedBy>User4</cp:lastModifiedBy>
  <cp:lastPrinted>2023-11-28T08:10:18Z</cp:lastPrinted>
</cp:coreProperties>
</file>