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xlnm.Print_Titles" localSheetId="2">'Прил.3'!$9:$11</definedName>
    <definedName name="_xlnm.Print_Area" localSheetId="2">'Прил.3'!$A$1:$H$35</definedName>
    <definedName name="_xlnm.Print_Titles" localSheetId="4">'Прил.5 Расчет СМР и ОБ'!$9:$11</definedName>
    <definedName name="_xlnm.Print_Area" localSheetId="4">'Прил.5 Расчет СМР и ОБ'!$A$1:$J$53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#,##0.0"/>
    <numFmt numFmtId="166" formatCode="#,##0.000"/>
    <numFmt numFmtId="167" formatCode="0.0000"/>
    <numFmt numFmtId="168" formatCode="_-* #,##0.00\ _₽_-;\-* #,##0.00\ _₽_-;_-* &quot;-&quot;??\ _₽_-;_-@_-"/>
  </numFmts>
  <fonts count="11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Calibri"/>
      <color rgb="FF0563C1"/>
      <sz val="11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0" fontId="1" fillId="0" borderId="1" pivotButton="0" quotePrefix="0" xfId="0"/>
    <xf numFmtId="0" fontId="1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2" fillId="0" borderId="1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/>
    </xf>
    <xf numFmtId="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4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4" fontId="1" fillId="0" borderId="0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applyAlignment="1" pivotButton="0" quotePrefix="0" xfId="0">
      <alignment wrapText="1"/>
    </xf>
    <xf numFmtId="49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167" fontId="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8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14" fontId="1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pivotButton="0" quotePrefix="0" xfId="0"/>
    <xf numFmtId="0" fontId="1" fillId="0" borderId="1" applyAlignment="1" pivotButton="0" quotePrefix="1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168" fontId="2" fillId="0" borderId="0" pivotButton="0" quotePrefix="0" xfId="0"/>
    <xf numFmtId="10" fontId="1" fillId="0" borderId="0" pivotButton="0" quotePrefix="0" xfId="0"/>
    <xf numFmtId="10" fontId="0" fillId="0" borderId="0" pivotButton="0" quotePrefix="0" xfId="0"/>
    <xf numFmtId="4" fontId="0" fillId="0" borderId="0" pivotButton="0" quotePrefix="0" xfId="0"/>
    <xf numFmtId="4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168" fontId="2" fillId="0" borderId="0" pivotButton="0" quotePrefix="0" xfId="0"/>
  </cellXfs>
  <cellStyles count="1">
    <cellStyle name="Обычный" xfId="0" builtinId="0"/>
  </cellStyles>
  <dxfs count="2"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10" zoomScale="60" zoomScaleNormal="100" workbookViewId="0">
      <selection activeCell="E26" sqref="E26"/>
    </sheetView>
  </sheetViews>
  <sheetFormatPr baseColWidth="8" defaultColWidth="9.140625" defaultRowHeight="15.75"/>
  <cols>
    <col width="9.140625" customWidth="1" style="115" min="1" max="2"/>
    <col width="36.85546875" customWidth="1" style="115" min="3" max="3"/>
    <col width="40.28515625" customWidth="1" style="115" min="4" max="4"/>
    <col width="22.42578125" customWidth="1" style="115" min="5" max="5"/>
    <col width="22.140625" customWidth="1" style="115" min="6" max="6"/>
    <col width="9.140625" customWidth="1" style="115" min="7" max="7"/>
  </cols>
  <sheetData>
    <row r="3">
      <c r="B3" s="160" t="inlineStr">
        <is>
          <t>Приложение № 1</t>
        </is>
      </c>
      <c r="F3" s="160" t="n"/>
    </row>
    <row r="4">
      <c r="B4" s="161" t="inlineStr">
        <is>
          <t>Сравнительная таблица отбора объекта-представителя</t>
        </is>
      </c>
      <c r="F4" s="161" t="n"/>
    </row>
    <row r="5" ht="87.59999999999999" customHeight="1" s="90">
      <c r="B5" s="1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90">
      <c r="B7" s="159">
        <f>'Прил.5 Расчет СМР и ОБ'!$A$6&amp;'Прил.5 Расчет СМР и ОБ'!$D$6</f>
        <v/>
      </c>
      <c r="F7" s="159" t="n"/>
      <c r="H7" s="47" t="n"/>
    </row>
    <row r="8" ht="31.5" customHeight="1" s="90">
      <c r="B8" s="141" t="inlineStr">
        <is>
          <t xml:space="preserve">Сопоставимый уровень цен: </t>
        </is>
      </c>
      <c r="C8" s="141" t="n"/>
      <c r="D8" s="142">
        <f>D22</f>
        <v/>
      </c>
      <c r="F8" s="159" t="n"/>
    </row>
    <row r="9" ht="15.6" customHeight="1" s="90">
      <c r="B9" s="158">
        <f>'Прил.5 Расчет СМР и ОБ'!$A$7</f>
        <v/>
      </c>
      <c r="F9" s="159" t="n"/>
      <c r="H9" s="47" t="n"/>
    </row>
    <row r="10">
      <c r="B10" s="159" t="n"/>
    </row>
    <row r="11">
      <c r="B11" s="164" t="inlineStr">
        <is>
          <t>№ п/п</t>
        </is>
      </c>
      <c r="C11" s="164" t="inlineStr">
        <is>
          <t>Параметр</t>
        </is>
      </c>
      <c r="D11" s="164" t="inlineStr">
        <is>
          <t xml:space="preserve">Объект-представитель </t>
        </is>
      </c>
      <c r="E11" s="47" t="n"/>
      <c r="F11" s="162" t="n"/>
      <c r="H11" s="47" t="n"/>
    </row>
    <row r="12" ht="47.25" customHeight="1" s="90">
      <c r="B12" s="164" t="n">
        <v>1</v>
      </c>
      <c r="C12" s="177" t="inlineStr">
        <is>
          <t>Наименование объекта-представителя</t>
        </is>
      </c>
      <c r="D12" s="143" t="inlineStr">
        <is>
          <t>«Строительство КВЛ Ленинградская АЭС-2 – Пулковская – Южная. Корректировка»</t>
        </is>
      </c>
      <c r="F12" s="162" t="n"/>
    </row>
    <row r="13" ht="31.5" customHeight="1" s="90">
      <c r="B13" s="164" t="n">
        <v>2</v>
      </c>
      <c r="C13" s="177" t="inlineStr">
        <is>
          <t>Наименование субъекта Российской Федерации</t>
        </is>
      </c>
      <c r="D13" s="164" t="inlineStr">
        <is>
          <t>г.Санкт-Петербург</t>
        </is>
      </c>
      <c r="F13" s="162" t="n"/>
    </row>
    <row r="14">
      <c r="B14" s="164" t="n">
        <v>3</v>
      </c>
      <c r="C14" s="177" t="inlineStr">
        <is>
          <t>Климатический район и подрайон</t>
        </is>
      </c>
      <c r="D14" s="164" t="inlineStr">
        <is>
          <t>IIВ</t>
        </is>
      </c>
      <c r="F14" s="162" t="n"/>
    </row>
    <row r="15">
      <c r="B15" s="164" t="n">
        <v>4</v>
      </c>
      <c r="C15" s="177" t="inlineStr">
        <is>
          <t>Мощность объекта</t>
        </is>
      </c>
      <c r="D15" s="164" t="n">
        <v>1</v>
      </c>
      <c r="F15" s="162" t="n"/>
    </row>
    <row r="16" ht="94.5" customHeight="1" s="90">
      <c r="B16" s="164" t="n">
        <v>5</v>
      </c>
      <c r="C16" s="2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4" t="inlineStr">
        <is>
          <t>Песок природный обогащенный для строительных работ</t>
        </is>
      </c>
      <c r="F16" s="162" t="n"/>
    </row>
    <row r="17" ht="78.75" customHeight="1" s="90">
      <c r="B17" s="164" t="n">
        <v>6</v>
      </c>
      <c r="C17" s="2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>
        <f>D18+D19+D21+D20</f>
        <v/>
      </c>
      <c r="E17" s="11" t="n"/>
      <c r="F17" s="162" t="n"/>
    </row>
    <row r="18">
      <c r="B18" s="127" t="inlineStr">
        <is>
          <t>6.1</t>
        </is>
      </c>
      <c r="C18" s="177" t="inlineStr">
        <is>
          <t>строительно-монтажные работы</t>
        </is>
      </c>
      <c r="D18" s="144">
        <f>'Прил.2 Расч стоим'!F13</f>
        <v/>
      </c>
      <c r="F18" s="162" t="n"/>
    </row>
    <row r="19">
      <c r="B19" s="127" t="inlineStr">
        <is>
          <t>6.2</t>
        </is>
      </c>
      <c r="C19" s="177" t="inlineStr">
        <is>
          <t>оборудование и инвентарь</t>
        </is>
      </c>
      <c r="D19" s="144" t="n">
        <v>0</v>
      </c>
      <c r="F19" s="162" t="n"/>
    </row>
    <row r="20">
      <c r="B20" s="127" t="inlineStr">
        <is>
          <t>6.3</t>
        </is>
      </c>
      <c r="C20" s="177" t="inlineStr">
        <is>
          <t>пусконаладочные работы</t>
        </is>
      </c>
      <c r="D20" s="144" t="n">
        <v>0</v>
      </c>
      <c r="F20" s="162" t="n"/>
    </row>
    <row r="21">
      <c r="B21" s="127" t="inlineStr">
        <is>
          <t>6.4</t>
        </is>
      </c>
      <c r="C21" s="13" t="inlineStr">
        <is>
          <t>прочие и лимитированные затраты</t>
        </is>
      </c>
      <c r="D21" s="144">
        <f>D18*3.9%+(D18*3.9%+D18)*2.1%</f>
        <v/>
      </c>
      <c r="F21" s="162" t="n"/>
    </row>
    <row r="22">
      <c r="B22" s="164" t="n">
        <v>7</v>
      </c>
      <c r="C22" s="13" t="inlineStr">
        <is>
          <t>Сопоставимый уровень цен</t>
        </is>
      </c>
      <c r="D22" s="14" t="inlineStr">
        <is>
          <t>2 квартал 2017 г</t>
        </is>
      </c>
      <c r="E22" s="15" t="n"/>
      <c r="F22" s="162" t="n"/>
    </row>
    <row r="23" ht="110.25" customHeight="1" s="90">
      <c r="B23" s="164" t="n">
        <v>8</v>
      </c>
      <c r="C23" s="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>
        <f>D17</f>
        <v/>
      </c>
      <c r="E23" s="11" t="n"/>
      <c r="F23" s="162" t="n"/>
    </row>
    <row r="24" ht="47.25" customHeight="1" s="90">
      <c r="B24" s="164" t="n">
        <v>9</v>
      </c>
      <c r="C24" s="25" t="inlineStr">
        <is>
          <t>Приведенная сметная стоимость на единицу мощности, тыс. руб. (строка 8/строку 4)</t>
        </is>
      </c>
      <c r="D24" s="144">
        <f>D23/D15</f>
        <v/>
      </c>
      <c r="E24" s="15" t="n"/>
      <c r="F24" s="162" t="n"/>
    </row>
    <row r="25" ht="37.5" customHeight="1" s="90">
      <c r="B25" s="164" t="n">
        <v>10</v>
      </c>
      <c r="C25" s="177" t="inlineStr">
        <is>
          <t>Примечание</t>
        </is>
      </c>
      <c r="D25" s="164" t="n"/>
    </row>
    <row r="26">
      <c r="B26" s="162" t="n"/>
      <c r="C26" s="17" t="n"/>
      <c r="D26" s="17" t="n"/>
    </row>
    <row r="27">
      <c r="B27" s="141" t="n"/>
    </row>
    <row r="28">
      <c r="B28" s="115" t="inlineStr">
        <is>
          <t>Составил ______________________         М.С. Колотиевская</t>
        </is>
      </c>
      <c r="C28" s="115" t="n"/>
    </row>
    <row r="29">
      <c r="B29" s="141" t="inlineStr">
        <is>
          <t xml:space="preserve">                         (подпись, инициалы, фамилия)</t>
        </is>
      </c>
      <c r="C29" s="115" t="n"/>
    </row>
    <row r="30">
      <c r="B30" s="115" t="n"/>
      <c r="C30" s="115" t="n"/>
    </row>
    <row r="31">
      <c r="B31" s="115" t="inlineStr">
        <is>
          <t>Проверил ______________________         М.С. Колотиевская</t>
        </is>
      </c>
      <c r="C31" s="115" t="n"/>
    </row>
    <row r="32">
      <c r="B32" s="141" t="inlineStr">
        <is>
          <t xml:space="preserve">                        (подпись, инициалы, фамилия)</t>
        </is>
      </c>
      <c r="C32" s="115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60" zoomScaleNormal="100" workbookViewId="0">
      <selection activeCell="F20" sqref="F20"/>
    </sheetView>
  </sheetViews>
  <sheetFormatPr baseColWidth="8" defaultColWidth="9.140625" defaultRowHeight="15.75"/>
  <cols>
    <col width="5.5703125" customWidth="1" style="115" min="1" max="1"/>
    <col width="9.140625" customWidth="1" style="115" min="2" max="2"/>
    <col width="35.28515625" customWidth="1" style="115" min="3" max="3"/>
    <col width="13.85546875" customWidth="1" style="115" min="4" max="4"/>
    <col width="17.42578125" customWidth="1" style="115" min="5" max="5"/>
    <col width="12.7109375" customWidth="1" style="115" min="6" max="6"/>
    <col width="14.85546875" customWidth="1" style="115" min="7" max="7"/>
    <col width="16.7109375" customWidth="1" style="115" min="8" max="8"/>
    <col width="13" customWidth="1" style="115" min="9" max="10"/>
    <col width="18" customWidth="1" style="115" min="11" max="11"/>
    <col width="12.85546875" customWidth="1" style="115" min="12" max="12"/>
  </cols>
  <sheetData>
    <row r="3">
      <c r="B3" s="160" t="inlineStr">
        <is>
          <t>Приложение № 2</t>
        </is>
      </c>
    </row>
    <row r="4">
      <c r="B4" s="161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59">
        <f>'Прил.5 Расчет СМР и ОБ'!$A$6&amp;'Прил.5 Расчет СМР и ОБ'!$D$6</f>
        <v/>
      </c>
      <c r="L6" s="47" t="n"/>
    </row>
    <row r="7">
      <c r="B7" s="158">
        <f>'Прил.5 Расчет СМР и ОБ'!$A$7</f>
        <v/>
      </c>
      <c r="L7" s="47" t="n"/>
    </row>
    <row r="8">
      <c r="B8" s="159" t="n"/>
    </row>
    <row r="9" ht="15.75" customHeight="1" s="90">
      <c r="B9" s="164" t="inlineStr">
        <is>
          <t>№ п/п</t>
        </is>
      </c>
      <c r="C9" s="1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4" t="inlineStr">
        <is>
          <t>Объект-представитель 1</t>
        </is>
      </c>
      <c r="E9" s="190" t="n"/>
      <c r="F9" s="190" t="n"/>
      <c r="G9" s="190" t="n"/>
      <c r="H9" s="190" t="n"/>
      <c r="I9" s="190" t="n"/>
      <c r="J9" s="191" t="n"/>
      <c r="K9" s="115" t="n"/>
    </row>
    <row r="10" ht="15.75" customHeight="1" s="90">
      <c r="B10" s="192" t="n"/>
      <c r="C10" s="192" t="n"/>
      <c r="D10" s="164" t="inlineStr">
        <is>
          <t>Номер сметы</t>
        </is>
      </c>
      <c r="E10" s="164" t="inlineStr">
        <is>
          <t>Наименование сметы</t>
        </is>
      </c>
      <c r="F10" s="164" t="inlineStr">
        <is>
          <t>Сметная стоимость в уровне цен 2 кв. 2017 г., тыс. руб.</t>
        </is>
      </c>
      <c r="G10" s="190" t="n"/>
      <c r="H10" s="190" t="n"/>
      <c r="I10" s="190" t="n"/>
      <c r="J10" s="191" t="n"/>
      <c r="K10" s="115" t="n"/>
    </row>
    <row r="11" ht="31.5" customHeight="1" s="90">
      <c r="B11" s="193" t="n"/>
      <c r="C11" s="193" t="n"/>
      <c r="D11" s="193" t="n"/>
      <c r="E11" s="193" t="n"/>
      <c r="F11" s="164" t="inlineStr">
        <is>
          <t>Строительные работы</t>
        </is>
      </c>
      <c r="G11" s="164" t="inlineStr">
        <is>
          <t>Монтажные работы</t>
        </is>
      </c>
      <c r="H11" s="164" t="inlineStr">
        <is>
          <t>Оборудование</t>
        </is>
      </c>
      <c r="I11" s="164" t="inlineStr">
        <is>
          <t>Прочее</t>
        </is>
      </c>
      <c r="J11" s="164" t="inlineStr">
        <is>
          <t>Всего</t>
        </is>
      </c>
      <c r="K11" s="115" t="n"/>
    </row>
    <row r="12" ht="94.5" customHeight="1" s="90">
      <c r="B12" s="180" t="n">
        <v>1</v>
      </c>
      <c r="C12" s="187">
        <f>'Прил.1 Сравнит табл'!D16</f>
        <v/>
      </c>
      <c r="D12" s="147" t="inlineStr">
        <is>
          <t>02-07-01</t>
        </is>
      </c>
      <c r="E12" s="177" t="inlineStr">
        <is>
          <t xml:space="preserve">Строительные работы на участке от СМ 1 до ПС Пулковская (СПб) </t>
        </is>
      </c>
      <c r="F12" s="149" t="n">
        <v>261.9398816</v>
      </c>
      <c r="G12" s="149" t="n"/>
      <c r="H12" s="149" t="n"/>
      <c r="I12" s="149" t="n"/>
      <c r="J12" s="150">
        <f>SUM(F12:I12)</f>
        <v/>
      </c>
      <c r="K12" s="115" t="n"/>
      <c r="L12" s="106" t="n"/>
    </row>
    <row r="13" ht="15.75" customHeight="1" s="90">
      <c r="B13" s="163" t="inlineStr">
        <is>
          <t>Всего по объекту:</t>
        </is>
      </c>
      <c r="C13" s="190" t="n"/>
      <c r="D13" s="190" t="n"/>
      <c r="E13" s="191" t="n"/>
      <c r="F13" s="152">
        <f>SUM(F12:F12)</f>
        <v/>
      </c>
      <c r="G13" s="152">
        <f>SUM(G12:G12)</f>
        <v/>
      </c>
      <c r="H13" s="152">
        <f>SUM(H12:H12)</f>
        <v/>
      </c>
      <c r="I13" s="152" t="n"/>
      <c r="J13" s="152">
        <f>SUM(F13:I13)</f>
        <v/>
      </c>
      <c r="K13" s="106" t="n"/>
      <c r="L13" s="106" t="n"/>
    </row>
    <row r="14" ht="15.75" customHeight="1" s="90">
      <c r="B14" s="163" t="inlineStr">
        <is>
          <t>Всего по объекту в сопоставимом уровне цен 2 кв. 2017г:</t>
        </is>
      </c>
      <c r="C14" s="190" t="n"/>
      <c r="D14" s="190" t="n"/>
      <c r="E14" s="191" t="n"/>
      <c r="F14" s="152">
        <f>F13</f>
        <v/>
      </c>
      <c r="G14" s="152">
        <f>G13</f>
        <v/>
      </c>
      <c r="H14" s="152">
        <f>H13</f>
        <v/>
      </c>
      <c r="I14" s="152">
        <f>'Прил.1 Сравнит табл'!D21</f>
        <v/>
      </c>
      <c r="J14" s="152">
        <f>SUM(F14:I14)</f>
        <v/>
      </c>
      <c r="K14" s="115" t="n"/>
    </row>
    <row r="15">
      <c r="B15" s="159" t="n"/>
    </row>
    <row r="18">
      <c r="C18" s="115" t="inlineStr">
        <is>
          <t>Составил ______________________         М.С. Колотиевская</t>
        </is>
      </c>
      <c r="D18" s="115" t="n"/>
    </row>
    <row r="19">
      <c r="C19" s="141" t="inlineStr">
        <is>
          <t xml:space="preserve">                         (подпись, инициалы, фамилия)</t>
        </is>
      </c>
      <c r="D19" s="115" t="n"/>
    </row>
    <row r="20">
      <c r="C20" s="115" t="n"/>
      <c r="D20" s="115" t="n"/>
    </row>
    <row r="21">
      <c r="C21" s="115" t="inlineStr">
        <is>
          <t>Проверил ______________________         М.С. Колотиевская</t>
        </is>
      </c>
      <c r="D21" s="115" t="n"/>
    </row>
    <row r="22">
      <c r="C22" s="141" t="inlineStr">
        <is>
          <t xml:space="preserve">                        (подпись, инициалы, фамилия)</t>
        </is>
      </c>
      <c r="D22" s="115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67"/>
  <sheetViews>
    <sheetView view="pageBreakPreview" zoomScale="85" zoomScaleNormal="100" zoomScaleSheetLayoutView="85" workbookViewId="0">
      <selection activeCell="E37" sqref="E37"/>
    </sheetView>
  </sheetViews>
  <sheetFormatPr baseColWidth="8" defaultColWidth="9.140625" defaultRowHeight="15"/>
  <cols>
    <col width="9.140625" customWidth="1" style="90" min="1" max="1"/>
    <col width="12.5703125" customWidth="1" style="90" min="2" max="2"/>
    <col width="17" customWidth="1" style="90" min="3" max="3"/>
    <col width="49.7109375" customWidth="1" style="90" min="4" max="4"/>
    <col width="16.28515625" customWidth="1" style="90" min="5" max="5"/>
    <col width="20.7109375" customWidth="1" style="90" min="6" max="6"/>
    <col width="16.140625" customWidth="1" style="90" min="7" max="7"/>
    <col width="16.7109375" customWidth="1" style="90" min="8" max="8"/>
    <col width="9.140625" customWidth="1" style="90" min="9" max="9"/>
    <col width="10.42578125" customWidth="1" style="90" min="10" max="10"/>
    <col width="10.140625" customWidth="1" style="90" min="11" max="11"/>
  </cols>
  <sheetData>
    <row r="2" s="90"/>
    <row r="3" ht="15.75" customHeight="1" s="90">
      <c r="A3" s="160" t="inlineStr">
        <is>
          <t xml:space="preserve">Приложение № 3 </t>
        </is>
      </c>
    </row>
    <row r="4" ht="18.75" customHeight="1" s="90">
      <c r="A4" s="168" t="inlineStr">
        <is>
          <t>Объектная ресурсная ведомость</t>
        </is>
      </c>
    </row>
    <row r="5" ht="18.75" customHeight="1" s="90">
      <c r="A5" s="168" t="n"/>
      <c r="B5" s="168" t="n"/>
      <c r="C5" s="169" t="n"/>
      <c r="I5" s="115" t="n"/>
      <c r="J5" s="115" t="n"/>
      <c r="K5" s="115" t="n"/>
      <c r="L5" s="115" t="n"/>
    </row>
    <row r="6" ht="18.75" customHeight="1" s="90">
      <c r="A6" s="23" t="n"/>
    </row>
    <row r="7" ht="15.75" customHeight="1" s="90">
      <c r="A7" s="170">
        <f>'Прил.5 Расчет СМР и ОБ'!$A$6&amp;'Прил.5 Расчет СМР и ОБ'!$D$6</f>
        <v/>
      </c>
    </row>
    <row r="8" ht="15.75" customFormat="1" customHeight="1" s="115">
      <c r="A8" s="32" t="n"/>
      <c r="B8" s="32" t="n"/>
      <c r="C8" s="32" t="n"/>
      <c r="D8" s="32" t="n"/>
      <c r="E8" s="32" t="n"/>
      <c r="F8" s="32" t="n"/>
      <c r="G8" s="32" t="n"/>
      <c r="H8" s="32" t="n"/>
    </row>
    <row r="9" ht="38.25" customFormat="1" customHeight="1" s="115">
      <c r="A9" s="164" t="inlineStr">
        <is>
          <t>п/п</t>
        </is>
      </c>
      <c r="B9" s="164" t="inlineStr">
        <is>
          <t>№ЛСР</t>
        </is>
      </c>
      <c r="C9" s="164" t="inlineStr">
        <is>
          <t>Код ресурса</t>
        </is>
      </c>
      <c r="D9" s="164" t="inlineStr">
        <is>
          <t>Наименование ресурса</t>
        </is>
      </c>
      <c r="E9" s="164" t="inlineStr">
        <is>
          <t>Ед. изм.</t>
        </is>
      </c>
      <c r="F9" s="164" t="inlineStr">
        <is>
          <t>Кол-во единиц по данным объекта-представителя</t>
        </is>
      </c>
      <c r="G9" s="164" t="inlineStr">
        <is>
          <t>Сметная стоимость в ценах на 01.01.2000 (руб.)</t>
        </is>
      </c>
      <c r="H9" s="191" t="n"/>
    </row>
    <row r="10" ht="40.5" customFormat="1" customHeight="1" s="115">
      <c r="A10" s="193" t="n"/>
      <c r="B10" s="193" t="n"/>
      <c r="C10" s="193" t="n"/>
      <c r="D10" s="193" t="n"/>
      <c r="E10" s="193" t="n"/>
      <c r="F10" s="193" t="n"/>
      <c r="G10" s="164" t="inlineStr">
        <is>
          <t>на ед.изм.</t>
        </is>
      </c>
      <c r="H10" s="164" t="inlineStr">
        <is>
          <t>общая</t>
        </is>
      </c>
    </row>
    <row r="11" ht="15.75" customFormat="1" customHeight="1" s="115">
      <c r="A11" s="164" t="n">
        <v>1</v>
      </c>
      <c r="B11" s="164" t="n"/>
      <c r="C11" s="164" t="n">
        <v>2</v>
      </c>
      <c r="D11" s="164" t="inlineStr">
        <is>
          <t>З</t>
        </is>
      </c>
      <c r="E11" s="164" t="n">
        <v>4</v>
      </c>
      <c r="F11" s="164" t="n">
        <v>5</v>
      </c>
      <c r="G11" s="144" t="n">
        <v>6</v>
      </c>
      <c r="H11" s="144" t="n">
        <v>7</v>
      </c>
    </row>
    <row r="12" ht="15.75" customFormat="1" customHeight="1" s="29">
      <c r="A12" s="165" t="inlineStr">
        <is>
          <t>Затраты труда рабочих</t>
        </is>
      </c>
      <c r="B12" s="190" t="n"/>
      <c r="C12" s="190" t="n"/>
      <c r="D12" s="190" t="n"/>
      <c r="E12" s="191" t="n"/>
      <c r="F12" s="165" t="n">
        <v>1712.48</v>
      </c>
      <c r="G12" s="34" t="n"/>
      <c r="H12" s="34">
        <f>SUM(H13:H15)</f>
        <v/>
      </c>
      <c r="I12" s="194" t="n"/>
      <c r="J12" s="194" t="n"/>
    </row>
    <row r="13" ht="15.75" customFormat="1" customHeight="1" s="115">
      <c r="A13" s="166" t="n">
        <v>1</v>
      </c>
      <c r="B13" s="166" t="n"/>
      <c r="C13" s="167" t="inlineStr">
        <is>
          <t>1-100-20</t>
        </is>
      </c>
      <c r="D13" s="167" t="inlineStr">
        <is>
          <t>Затраты труда рабочих (ср 2)</t>
        </is>
      </c>
      <c r="E13" s="166" t="inlineStr">
        <is>
          <t>чел.-ч</t>
        </is>
      </c>
      <c r="F13" s="166" t="n">
        <v>1101.93</v>
      </c>
      <c r="G13" s="172" t="n">
        <v>7.8</v>
      </c>
      <c r="H13" s="172">
        <f>ROUND(F13*G13,2)</f>
        <v/>
      </c>
      <c r="L13" s="115" t="n"/>
    </row>
    <row r="14" ht="15.75" customFormat="1" customHeight="1" s="115">
      <c r="A14" s="166" t="n">
        <v>2</v>
      </c>
      <c r="B14" s="166" t="n"/>
      <c r="C14" s="167" t="inlineStr">
        <is>
          <t>1-100-15</t>
        </is>
      </c>
      <c r="D14" s="167" t="inlineStr">
        <is>
          <t>Затраты труда рабочих (ср 1,5)</t>
        </is>
      </c>
      <c r="E14" s="166" t="inlineStr">
        <is>
          <t>чел.-ч</t>
        </is>
      </c>
      <c r="F14" s="166" t="n">
        <v>557.55</v>
      </c>
      <c r="G14" s="172" t="n">
        <v>7.5</v>
      </c>
      <c r="H14" s="172">
        <f>ROUND(F14*G14,2)</f>
        <v/>
      </c>
      <c r="L14" s="115" t="n"/>
    </row>
    <row r="15" ht="15.75" customFormat="1" customHeight="1" s="115">
      <c r="A15" s="166" t="n">
        <v>3</v>
      </c>
      <c r="B15" s="166" t="n"/>
      <c r="C15" s="167" t="inlineStr">
        <is>
          <t>1-100-38</t>
        </is>
      </c>
      <c r="D15" s="167" t="inlineStr">
        <is>
          <t>Затраты труда рабочих (ср 3,8)</t>
        </is>
      </c>
      <c r="E15" s="166" t="inlineStr">
        <is>
          <t>чел.-ч</t>
        </is>
      </c>
      <c r="F15" s="166" t="n">
        <v>53</v>
      </c>
      <c r="G15" s="172" t="n">
        <v>9.4</v>
      </c>
      <c r="H15" s="172">
        <f>ROUND(F15*G15,2)</f>
        <v/>
      </c>
      <c r="L15" s="115" t="n"/>
    </row>
    <row r="16" ht="15.75" customFormat="1" customHeight="1" s="29">
      <c r="A16" s="165" t="inlineStr">
        <is>
          <t>Затраты труда машинистов</t>
        </is>
      </c>
      <c r="B16" s="190" t="n"/>
      <c r="C16" s="190" t="n"/>
      <c r="D16" s="190" t="n"/>
      <c r="E16" s="191" t="n"/>
      <c r="F16" s="165" t="n">
        <v>41.63</v>
      </c>
      <c r="G16" s="34" t="n"/>
      <c r="H16" s="34">
        <f>SUM(H17:H17)</f>
        <v/>
      </c>
      <c r="L16" s="115" t="n"/>
    </row>
    <row r="17" ht="15.75" customFormat="1" customHeight="1" s="115">
      <c r="A17" s="166" t="n">
        <v>4</v>
      </c>
      <c r="B17" s="166" t="n"/>
      <c r="C17" s="167" t="n">
        <v>2</v>
      </c>
      <c r="D17" s="167" t="inlineStr">
        <is>
          <t>Затраты труда машинистов</t>
        </is>
      </c>
      <c r="E17" s="166" t="inlineStr">
        <is>
          <t>чел.-ч</t>
        </is>
      </c>
      <c r="F17" s="166" t="n">
        <v>41.63</v>
      </c>
      <c r="G17" s="172" t="n">
        <v>13.19</v>
      </c>
      <c r="H17" s="172">
        <f>ROUND(F17*G17,2)</f>
        <v/>
      </c>
      <c r="L17" s="115" t="n"/>
    </row>
    <row r="18" ht="15.75" customFormat="1" customHeight="1" s="29">
      <c r="A18" s="165" t="inlineStr">
        <is>
          <t>Машины и механизмы</t>
        </is>
      </c>
      <c r="B18" s="190" t="n"/>
      <c r="C18" s="190" t="n"/>
      <c r="D18" s="190" t="n"/>
      <c r="E18" s="191" t="n"/>
      <c r="F18" s="165" t="n"/>
      <c r="G18" s="34" t="n"/>
      <c r="H18" s="34">
        <f>SUM(H19:H21)</f>
        <v/>
      </c>
      <c r="I18" s="194" t="n"/>
      <c r="J18" s="194" t="n"/>
      <c r="K18" s="115" t="n"/>
      <c r="L18" s="115" t="n"/>
    </row>
    <row r="19" ht="15.75" customFormat="1" customHeight="1" s="115">
      <c r="A19" s="166" t="n">
        <v>5</v>
      </c>
      <c r="B19" s="166" t="n"/>
      <c r="C19" s="39" t="inlineStr">
        <is>
          <t>91.14.02-001</t>
        </is>
      </c>
      <c r="D19" s="167" t="inlineStr">
        <is>
          <t>Автомобили бортовые, грузоподъемность до 5 т</t>
        </is>
      </c>
      <c r="E19" s="166" t="inlineStr">
        <is>
          <t>маш.час</t>
        </is>
      </c>
      <c r="F19" s="166" t="n">
        <v>39</v>
      </c>
      <c r="G19" s="172" t="n">
        <v>65.70999999999999</v>
      </c>
      <c r="H19" s="172">
        <f>ROUND(F19*G19,2)</f>
        <v/>
      </c>
      <c r="I19" s="115" t="n"/>
      <c r="J19" s="115" t="n"/>
      <c r="K19" s="115" t="n"/>
      <c r="L19" s="115" t="n"/>
    </row>
    <row r="20" ht="15.75" customFormat="1" customHeight="1" s="115">
      <c r="A20" s="166" t="n">
        <v>6</v>
      </c>
      <c r="B20" s="166" t="n"/>
      <c r="C20" s="39" t="inlineStr">
        <is>
          <t>91.01.01-035</t>
        </is>
      </c>
      <c r="D20" s="167" t="inlineStr">
        <is>
          <t>Бульдозеры, мощность 79 кВт (108 л.с.)</t>
        </is>
      </c>
      <c r="E20" s="166" t="inlineStr">
        <is>
          <t>маш.час</t>
        </is>
      </c>
      <c r="F20" s="166" t="n">
        <v>2.58</v>
      </c>
      <c r="G20" s="172" t="n">
        <v>79.06999999999999</v>
      </c>
      <c r="H20" s="172">
        <f>ROUND(F20*G20,2)</f>
        <v/>
      </c>
      <c r="I20" s="115" t="n"/>
      <c r="J20" s="115" t="n"/>
      <c r="K20" s="115" t="n"/>
      <c r="L20" s="115" t="n"/>
    </row>
    <row r="21" ht="31.5" customFormat="1" customHeight="1" s="115">
      <c r="A21" s="166" t="n">
        <v>7</v>
      </c>
      <c r="B21" s="166" t="n"/>
      <c r="C21" s="39" t="inlineStr">
        <is>
          <t>91.14.03-001</t>
        </is>
      </c>
      <c r="D21" s="167" t="inlineStr">
        <is>
          <t>Автомобили-самосвалы, грузоподъемность до 7 т</t>
        </is>
      </c>
      <c r="E21" s="166" t="inlineStr">
        <is>
          <t>маш.час</t>
        </is>
      </c>
      <c r="F21" s="166" t="n">
        <v>0.06</v>
      </c>
      <c r="G21" s="172" t="n">
        <v>89.54000000000001</v>
      </c>
      <c r="H21" s="172">
        <f>ROUND(F21*G21,2)</f>
        <v/>
      </c>
      <c r="I21" s="115" t="n"/>
      <c r="J21" s="115" t="n"/>
      <c r="K21" s="115" t="n"/>
      <c r="L21" s="115" t="n"/>
    </row>
    <row r="22" ht="15.75" customFormat="1" customHeight="1" s="29">
      <c r="A22" s="165" t="inlineStr">
        <is>
          <t>Материалы</t>
        </is>
      </c>
      <c r="B22" s="190" t="n"/>
      <c r="C22" s="190" t="n"/>
      <c r="D22" s="190" t="n"/>
      <c r="E22" s="191" t="n"/>
      <c r="F22" s="165" t="n"/>
      <c r="G22" s="34" t="n"/>
      <c r="H22" s="34">
        <f>SUM(H23:H25)</f>
        <v/>
      </c>
      <c r="I22" s="194" t="n"/>
      <c r="J22" s="194" t="n"/>
      <c r="K22" s="115" t="n"/>
      <c r="L22" s="115" t="n"/>
    </row>
    <row r="23" ht="31.5" customFormat="1" customHeight="1" s="115">
      <c r="A23" s="166" t="n">
        <v>8</v>
      </c>
      <c r="B23" s="166" t="n"/>
      <c r="C23" s="39" t="inlineStr">
        <is>
          <t>02.3.01.02-0033</t>
        </is>
      </c>
      <c r="D23" s="167" t="inlineStr">
        <is>
          <t>Песок природный обогащенный для строительных работ средний</t>
        </is>
      </c>
      <c r="E23" s="166" t="inlineStr">
        <is>
          <t>м3</t>
        </is>
      </c>
      <c r="F23" s="166" t="n">
        <v>84</v>
      </c>
      <c r="G23" s="172" t="n">
        <v>70.59999999999999</v>
      </c>
      <c r="H23" s="172">
        <f>ROUND(F23*G23,2)</f>
        <v/>
      </c>
      <c r="I23" s="194" t="n"/>
      <c r="J23" s="194" t="n"/>
      <c r="K23" s="106" t="n"/>
      <c r="L23" s="115" t="n"/>
    </row>
    <row r="24" ht="31.5" customFormat="1" customHeight="1" s="115">
      <c r="A24" s="166" t="n">
        <v>9</v>
      </c>
      <c r="B24" s="166" t="n"/>
      <c r="C24" s="39" t="inlineStr">
        <is>
          <t>999-9950</t>
        </is>
      </c>
      <c r="D24" s="167" t="inlineStr">
        <is>
          <t>Вспомогательные ненормируемые ресурсы (2% от Оплаты труда рабочих)</t>
        </is>
      </c>
      <c r="E24" s="166" t="inlineStr">
        <is>
          <t>руб</t>
        </is>
      </c>
      <c r="F24" s="166" t="n">
        <v>10</v>
      </c>
      <c r="G24" s="172" t="n">
        <v>1</v>
      </c>
      <c r="H24" s="172">
        <f>ROUND(F24*G24,2)</f>
        <v/>
      </c>
      <c r="I24" s="115" t="n"/>
      <c r="J24" s="115" t="n"/>
      <c r="K24" s="115" t="n"/>
      <c r="L24" s="115" t="n"/>
    </row>
    <row r="25" ht="15.75" customFormat="1" customHeight="1" s="115">
      <c r="A25" s="166" t="n">
        <v>10</v>
      </c>
      <c r="B25" s="166" t="n"/>
      <c r="C25" s="39" t="inlineStr">
        <is>
          <t>02.2.05.04-1777</t>
        </is>
      </c>
      <c r="D25" s="167" t="inlineStr">
        <is>
          <t>Щебень М 800, фракция 20-40 мм, группа 2</t>
        </is>
      </c>
      <c r="E25" s="166" t="inlineStr">
        <is>
          <t>м3</t>
        </is>
      </c>
      <c r="F25" s="166" t="n">
        <v>0.02856</v>
      </c>
      <c r="G25" s="172" t="n">
        <v>108.4</v>
      </c>
      <c r="H25" s="172">
        <f>ROUND(F25*G25,2)</f>
        <v/>
      </c>
      <c r="I25" s="115" t="n"/>
      <c r="J25" s="115" t="n"/>
      <c r="K25" s="115" t="n"/>
      <c r="L25" s="115" t="n"/>
    </row>
    <row r="26" ht="15.75" customFormat="1" customHeight="1" s="115">
      <c r="I26" s="115" t="n"/>
      <c r="J26" s="115" t="n"/>
      <c r="K26" s="115" t="n"/>
      <c r="L26" s="115" t="n"/>
    </row>
    <row r="27" ht="15.75" customFormat="1" customHeight="1" s="115">
      <c r="I27" s="194" t="n"/>
      <c r="J27" s="29" t="n"/>
      <c r="K27" s="29" t="n"/>
      <c r="L27" s="29" t="n"/>
    </row>
    <row r="28" ht="15.75" customFormat="1" customHeight="1" s="115">
      <c r="L28" s="155" t="n"/>
    </row>
    <row r="29" ht="15.75" customFormat="1" customHeight="1" s="115">
      <c r="I29" s="29" t="n"/>
      <c r="J29" s="29" t="n"/>
      <c r="K29" s="29" t="n"/>
      <c r="L29" s="155" t="n"/>
    </row>
    <row r="30" ht="15.75" customFormat="1" customHeight="1" s="115">
      <c r="B30" s="115" t="inlineStr">
        <is>
          <t>Составил ______________________        М.С. Колотиевская</t>
        </is>
      </c>
      <c r="C30" s="115" t="n"/>
      <c r="I30" s="29" t="n"/>
      <c r="J30" s="29" t="n"/>
      <c r="K30" s="29" t="n"/>
      <c r="L30" s="155" t="n"/>
    </row>
    <row r="31" ht="15.75" customFormat="1" customHeight="1" s="115">
      <c r="B31" s="141" t="inlineStr">
        <is>
          <t xml:space="preserve">                         (подпись, инициалы, фамилия)</t>
        </is>
      </c>
      <c r="C31" s="115" t="n"/>
      <c r="I31" s="29" t="n"/>
      <c r="J31" s="29" t="n"/>
      <c r="K31" s="29" t="n"/>
      <c r="L31" s="155" t="n"/>
    </row>
    <row r="32" ht="15.75" customFormat="1" customHeight="1" s="115">
      <c r="B32" s="115" t="n"/>
      <c r="C32" s="115" t="n"/>
      <c r="I32" s="29" t="n"/>
      <c r="J32" s="29" t="n"/>
      <c r="K32" s="29" t="n"/>
      <c r="L32" s="155" t="n"/>
    </row>
    <row r="33" ht="15.75" customFormat="1" customHeight="1" s="115">
      <c r="B33" s="115" t="inlineStr">
        <is>
          <t>Проверил ______________________       М.С. Колотиевская</t>
        </is>
      </c>
      <c r="C33" s="115" t="n"/>
      <c r="I33" s="29" t="n"/>
      <c r="J33" s="29" t="n"/>
      <c r="K33" s="29" t="n"/>
      <c r="L33" s="155" t="n"/>
    </row>
    <row r="34" ht="15.75" customFormat="1" customHeight="1" s="115">
      <c r="B34" s="141" t="inlineStr">
        <is>
          <t xml:space="preserve">                        (подпись, инициалы, фамилия)</t>
        </is>
      </c>
      <c r="C34" s="115" t="n"/>
      <c r="I34" s="29" t="n"/>
      <c r="J34" s="29" t="n"/>
      <c r="K34" s="29" t="n"/>
      <c r="L34" s="155" t="n"/>
    </row>
    <row r="35" ht="15.75" customFormat="1" customHeight="1" s="115">
      <c r="I35" s="29" t="n"/>
      <c r="J35" s="29" t="n"/>
      <c r="K35" s="29" t="n"/>
      <c r="L35" s="155" t="n"/>
    </row>
    <row r="36" ht="15.75" customHeight="1" s="90">
      <c r="I36" s="29" t="n"/>
      <c r="J36" s="29" t="n"/>
      <c r="K36" s="29" t="n"/>
      <c r="L36" s="155" t="n"/>
    </row>
    <row r="37" ht="15.75" customHeight="1" s="90">
      <c r="I37" s="29" t="n"/>
      <c r="J37" s="29" t="n"/>
      <c r="K37" s="29" t="n"/>
      <c r="L37" s="155" t="n"/>
    </row>
    <row r="38" ht="15.75" customHeight="1" s="90">
      <c r="I38" s="29" t="n"/>
      <c r="J38" s="29" t="n"/>
      <c r="K38" s="29" t="n"/>
      <c r="L38" s="155" t="n"/>
    </row>
    <row r="39" ht="15.75" customHeight="1" s="90">
      <c r="I39" s="29" t="n"/>
      <c r="J39" s="29" t="n"/>
      <c r="K39" s="29" t="n"/>
      <c r="L39" s="155" t="n"/>
    </row>
    <row r="40" ht="15.75" customHeight="1" s="90">
      <c r="I40" s="29" t="n"/>
      <c r="J40" s="29" t="n"/>
      <c r="K40" s="29" t="n"/>
      <c r="L40" s="155" t="n"/>
    </row>
    <row r="41" ht="15.75" customHeight="1" s="90">
      <c r="L41" s="155" t="n"/>
    </row>
    <row r="42" ht="15.75" customHeight="1" s="90">
      <c r="I42" s="29" t="n"/>
      <c r="J42" s="29" t="n"/>
      <c r="K42" s="29" t="n"/>
      <c r="L42" s="155" t="n"/>
    </row>
    <row r="43" ht="15.75" customHeight="1" s="90">
      <c r="I43" s="29" t="n"/>
      <c r="J43" s="29" t="n"/>
      <c r="K43" s="29" t="n"/>
      <c r="L43" s="155" t="n"/>
    </row>
    <row r="44" ht="15.75" customHeight="1" s="90">
      <c r="I44" s="29" t="n"/>
      <c r="J44" s="29" t="n"/>
      <c r="K44" s="29" t="n"/>
      <c r="L44" s="155" t="n"/>
    </row>
    <row r="45" ht="15.75" customHeight="1" s="90">
      <c r="I45" s="155" t="n"/>
      <c r="J45" s="115" t="n"/>
      <c r="K45" s="29" t="n"/>
      <c r="L45" s="155" t="n"/>
    </row>
    <row r="46" ht="15.75" customHeight="1" s="90">
      <c r="I46" s="155" t="n"/>
      <c r="J46" s="115" t="n"/>
      <c r="K46" s="29" t="n"/>
      <c r="L46" s="155" t="n"/>
    </row>
    <row r="47" ht="15.75" customHeight="1" s="90">
      <c r="I47" s="155" t="n"/>
      <c r="J47" s="115" t="n"/>
      <c r="K47" s="29" t="n"/>
      <c r="L47" s="155" t="n"/>
    </row>
    <row r="48" ht="15.75" customHeight="1" s="90">
      <c r="I48" s="155" t="n"/>
      <c r="J48" s="115" t="n"/>
      <c r="K48" s="29" t="n"/>
      <c r="L48" s="155" t="n"/>
    </row>
    <row r="49" ht="15.75" customHeight="1" s="90">
      <c r="I49" s="155" t="n"/>
      <c r="J49" s="115" t="n"/>
      <c r="K49" s="29" t="n"/>
      <c r="L49" s="155" t="n"/>
    </row>
    <row r="50" ht="15.75" customHeight="1" s="90">
      <c r="I50" s="155" t="n"/>
      <c r="J50" s="115" t="n"/>
      <c r="K50" s="29" t="n"/>
      <c r="L50" s="155" t="n"/>
    </row>
    <row r="51" ht="15.75" customHeight="1" s="90">
      <c r="I51" s="155" t="n"/>
      <c r="J51" s="115" t="n"/>
      <c r="K51" s="29" t="n"/>
      <c r="L51" s="155" t="n"/>
    </row>
    <row r="52" ht="15.75" customHeight="1" s="90">
      <c r="I52" s="155" t="n"/>
      <c r="J52" s="115" t="n"/>
      <c r="K52" s="29" t="n"/>
      <c r="L52" s="155" t="n"/>
    </row>
    <row r="53" ht="15.75" customHeight="1" s="90">
      <c r="I53" s="155" t="n"/>
      <c r="J53" s="115" t="n"/>
      <c r="K53" s="29" t="n"/>
      <c r="L53" s="155" t="n"/>
    </row>
    <row r="54" ht="15.75" customHeight="1" s="90">
      <c r="I54" s="155" t="n"/>
      <c r="J54" s="115" t="n"/>
      <c r="K54" s="29" t="n"/>
      <c r="L54" s="155" t="n"/>
    </row>
    <row r="55" ht="15.75" customHeight="1" s="90">
      <c r="I55" s="155" t="n"/>
      <c r="J55" s="115" t="n"/>
      <c r="K55" s="29" t="n"/>
      <c r="L55" s="155" t="n"/>
    </row>
    <row r="56" ht="15.75" customHeight="1" s="90">
      <c r="I56" s="155" t="n"/>
      <c r="J56" s="115" t="n"/>
      <c r="K56" s="29" t="n"/>
      <c r="L56" s="155" t="n"/>
    </row>
    <row r="57" ht="15.75" customHeight="1" s="90">
      <c r="I57" s="155" t="n"/>
      <c r="J57" s="115" t="n"/>
      <c r="K57" s="29" t="n"/>
      <c r="L57" s="155" t="n"/>
    </row>
    <row r="58" ht="15.75" customHeight="1" s="90">
      <c r="I58" s="155" t="n"/>
      <c r="J58" s="115" t="n"/>
      <c r="K58" s="29" t="n"/>
      <c r="L58" s="155" t="n"/>
    </row>
    <row r="59" ht="15.75" customHeight="1" s="90">
      <c r="I59" s="155" t="n"/>
      <c r="J59" s="115" t="n"/>
      <c r="K59" s="29" t="n"/>
      <c r="L59" s="155" t="n"/>
    </row>
    <row r="60" ht="15.75" customHeight="1" s="90">
      <c r="I60" s="155" t="n"/>
      <c r="J60" s="115" t="n"/>
      <c r="K60" s="29" t="n"/>
      <c r="L60" s="155" t="n"/>
    </row>
    <row r="61" ht="15.75" customHeight="1" s="90">
      <c r="I61" s="194" t="n"/>
      <c r="J61" s="29" t="n"/>
      <c r="K61" s="115" t="n"/>
      <c r="L61" s="115" t="n"/>
    </row>
    <row r="62" ht="15.75" customHeight="1" s="90">
      <c r="I62" s="156" t="n"/>
      <c r="J62" s="115" t="n"/>
      <c r="K62" s="155" t="n"/>
      <c r="L62" s="115" t="n"/>
    </row>
    <row r="63" ht="15.75" customHeight="1" s="90">
      <c r="I63" s="156" t="n"/>
      <c r="J63" s="115" t="n"/>
      <c r="K63" s="155" t="n"/>
      <c r="L63" s="115" t="n"/>
    </row>
    <row r="64" ht="15.75" customHeight="1" s="90">
      <c r="I64" s="156" t="n"/>
      <c r="J64" s="115" t="n"/>
      <c r="K64" s="155" t="n"/>
      <c r="L64" s="115" t="n"/>
    </row>
    <row r="65" ht="15.75" customHeight="1" s="90">
      <c r="I65" s="194" t="n"/>
      <c r="J65" s="29" t="n"/>
      <c r="L65" s="115" t="n"/>
    </row>
    <row r="66" ht="15.75" customHeight="1" s="90">
      <c r="I66" s="194" t="n"/>
      <c r="J66" s="29" t="n"/>
      <c r="K66" s="157" t="n"/>
      <c r="L66" s="115" t="n"/>
    </row>
    <row r="67" ht="15.75" customHeight="1" s="90">
      <c r="I67" s="155" t="n"/>
      <c r="J67" s="115" t="n"/>
      <c r="K67" s="29" t="n"/>
      <c r="L67" s="115" t="n"/>
    </row>
  </sheetData>
  <mergeCells count="15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C5:H5"/>
    <mergeCell ref="F9:F10"/>
    <mergeCell ref="G9:H9"/>
    <mergeCell ref="A22:E22"/>
    <mergeCell ref="A18:E18"/>
  </mergeCells>
  <conditionalFormatting sqref="F11:F25">
    <cfRule type="expression" priority="1" dxfId="0" stopIfTrue="1">
      <formula>ROUND(F11*10000,0)/10000=F11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2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1" zoomScale="60" zoomScaleNormal="100" workbookViewId="0">
      <selection activeCell="B42" sqref="B42:D47"/>
    </sheetView>
  </sheetViews>
  <sheetFormatPr baseColWidth="8" defaultColWidth="9.140625" defaultRowHeight="15"/>
  <cols>
    <col width="4.140625" customWidth="1" style="90" min="1" max="1"/>
    <col width="36.28515625" customWidth="1" style="90" min="2" max="2"/>
    <col width="18.85546875" customWidth="1" style="90" min="3" max="3"/>
    <col width="18.28515625" customWidth="1" style="90" min="4" max="4"/>
    <col width="20.85546875" customWidth="1" style="90" min="5" max="5"/>
    <col width="9.140625" customWidth="1" style="90" min="6" max="10"/>
    <col width="13.5703125" customWidth="1" style="90" min="11" max="11"/>
    <col width="9.140625" customWidth="1" style="90" min="12" max="12"/>
  </cols>
  <sheetData>
    <row r="1" ht="15.75" customHeight="1" s="90">
      <c r="A1" s="88" t="n"/>
      <c r="B1" s="115" t="n"/>
      <c r="C1" s="115" t="n"/>
      <c r="D1" s="115" t="n"/>
      <c r="E1" s="115" t="n"/>
    </row>
    <row r="2" ht="15.75" customHeight="1" s="90">
      <c r="B2" s="115" t="n"/>
      <c r="C2" s="115" t="n"/>
      <c r="D2" s="115" t="n"/>
      <c r="E2" s="173" t="inlineStr">
        <is>
          <t>Приложение № 4</t>
        </is>
      </c>
    </row>
    <row r="3" ht="15.75" customHeight="1" s="90">
      <c r="B3" s="115" t="n"/>
      <c r="C3" s="115" t="n"/>
      <c r="D3" s="115" t="n"/>
      <c r="E3" s="115" t="n"/>
    </row>
    <row r="4" ht="15.75" customHeight="1" s="90">
      <c r="B4" s="115" t="n"/>
      <c r="C4" s="115" t="n"/>
      <c r="D4" s="115" t="n"/>
      <c r="E4" s="115" t="n"/>
    </row>
    <row r="5" ht="15.75" customHeight="1" s="90">
      <c r="B5" s="161" t="inlineStr">
        <is>
          <t>Ресурсная модель</t>
        </is>
      </c>
    </row>
    <row r="6" ht="15.75" customHeight="1" s="90">
      <c r="B6" s="159" t="n"/>
      <c r="C6" s="115" t="n"/>
      <c r="D6" s="115" t="n"/>
      <c r="E6" s="115" t="n"/>
    </row>
    <row r="7" ht="15.75" customHeight="1" s="90">
      <c r="B7" s="170">
        <f>'Прил.5 Расчет СМР и ОБ'!$A$6&amp;'Прил.5 Расчет СМР и ОБ'!$D$6</f>
        <v/>
      </c>
    </row>
    <row r="8" ht="15.75" customHeight="1" s="90">
      <c r="B8" s="171">
        <f>'Прил.5 Расчет СМР и ОБ'!$A$7</f>
        <v/>
      </c>
    </row>
    <row r="9">
      <c r="B9" s="93" t="n"/>
      <c r="C9" s="94" t="n"/>
      <c r="D9" s="94" t="n"/>
      <c r="E9" s="94" t="n"/>
    </row>
    <row r="10" ht="78.75" customFormat="1" customHeight="1" s="115">
      <c r="B10" s="164" t="inlineStr">
        <is>
          <t>Наименование</t>
        </is>
      </c>
      <c r="C10" s="164" t="inlineStr">
        <is>
          <t>Сметная стоимость в ценах на 01.01.2023
 (руб.)</t>
        </is>
      </c>
      <c r="D10" s="164" t="inlineStr">
        <is>
          <t>Удельный вес, 
(в СМР)</t>
        </is>
      </c>
      <c r="E10" s="164" t="inlineStr">
        <is>
          <t>Удельный вес, % 
(от всего по РМ)</t>
        </is>
      </c>
    </row>
    <row r="11" ht="15" customFormat="1" customHeight="1" s="115">
      <c r="B11" s="177" t="inlineStr">
        <is>
          <t>Оплата труда рабочих</t>
        </is>
      </c>
      <c r="C11" s="120">
        <f>'Прил.5 Расчет СМР и ОБ'!J14</f>
        <v/>
      </c>
      <c r="D11" s="98">
        <f>C11/C24</f>
        <v/>
      </c>
      <c r="E11" s="98">
        <f>C11/C40</f>
        <v/>
      </c>
    </row>
    <row r="12" ht="15" customFormat="1" customHeight="1" s="115">
      <c r="B12" s="177" t="inlineStr">
        <is>
          <t>Эксплуатация машин основных</t>
        </is>
      </c>
      <c r="C12" s="120">
        <f>'Прил.5 Расчет СМР и ОБ'!J20</f>
        <v/>
      </c>
      <c r="D12" s="98">
        <f>C12/C24</f>
        <v/>
      </c>
      <c r="E12" s="98">
        <f>C12/C40</f>
        <v/>
      </c>
    </row>
    <row r="13" ht="15" customFormat="1" customHeight="1" s="115">
      <c r="B13" s="177" t="inlineStr">
        <is>
          <t>Эксплуатация машин прочих</t>
        </is>
      </c>
      <c r="C13" s="120">
        <f>'Прил.5 Расчет СМР и ОБ'!J23</f>
        <v/>
      </c>
      <c r="D13" s="98">
        <f>C13/C24</f>
        <v/>
      </c>
      <c r="E13" s="98">
        <f>C13/C40</f>
        <v/>
      </c>
    </row>
    <row r="14" ht="15" customFormat="1" customHeight="1" s="115">
      <c r="B14" s="177" t="inlineStr">
        <is>
          <t>ЭКСПЛУАТАЦИЯ МАШИН, ВСЕГО:</t>
        </is>
      </c>
      <c r="C14" s="120">
        <f>C13+C12</f>
        <v/>
      </c>
      <c r="D14" s="98">
        <f>C14/C24</f>
        <v/>
      </c>
      <c r="E14" s="98">
        <f>C14/C40</f>
        <v/>
      </c>
    </row>
    <row r="15" ht="15" customFormat="1" customHeight="1" s="115">
      <c r="B15" s="177" t="inlineStr">
        <is>
          <t>в том числе зарплата машинистов</t>
        </is>
      </c>
      <c r="C15" s="120">
        <f>'Прил.5 Расчет СМР и ОБ'!J16</f>
        <v/>
      </c>
      <c r="D15" s="98">
        <f>C15/C24</f>
        <v/>
      </c>
      <c r="E15" s="98">
        <f>C15/C40</f>
        <v/>
      </c>
    </row>
    <row r="16" ht="15" customFormat="1" customHeight="1" s="115">
      <c r="B16" s="177" t="inlineStr">
        <is>
          <t>Материалы основные</t>
        </is>
      </c>
      <c r="C16" s="120">
        <f>'Прил.5 Расчет СМР и ОБ'!J35</f>
        <v/>
      </c>
      <c r="D16" s="98">
        <f>C16/C24</f>
        <v/>
      </c>
      <c r="E16" s="98">
        <f>C16/C40</f>
        <v/>
      </c>
    </row>
    <row r="17" ht="15" customFormat="1" customHeight="1" s="115">
      <c r="B17" s="177" t="inlineStr">
        <is>
          <t>Материалы прочие</t>
        </is>
      </c>
      <c r="C17" s="120">
        <f>'Прил.5 Расчет СМР и ОБ'!J38</f>
        <v/>
      </c>
      <c r="D17" s="98">
        <f>C17/C24</f>
        <v/>
      </c>
      <c r="E17" s="98">
        <f>C17/C40</f>
        <v/>
      </c>
    </row>
    <row r="18" ht="15" customFormat="1" customHeight="1" s="115">
      <c r="B18" s="177" t="inlineStr">
        <is>
          <t>МАТЕРИАЛЫ, ВСЕГО:</t>
        </is>
      </c>
      <c r="C18" s="120">
        <f>C17+C16</f>
        <v/>
      </c>
      <c r="D18" s="98">
        <f>C18/C24</f>
        <v/>
      </c>
      <c r="E18" s="98">
        <f>C18/C40</f>
        <v/>
      </c>
    </row>
    <row r="19" ht="15" customFormat="1" customHeight="1" s="115">
      <c r="B19" s="177" t="inlineStr">
        <is>
          <t>ИТОГО</t>
        </is>
      </c>
      <c r="C19" s="120">
        <f>C18+C14+C11</f>
        <v/>
      </c>
      <c r="D19" s="98">
        <f>C19/C24</f>
        <v/>
      </c>
      <c r="E19" s="99">
        <f>C19/C40</f>
        <v/>
      </c>
    </row>
    <row r="20" ht="15" customFormat="1" customHeight="1" s="115">
      <c r="B20" s="177" t="inlineStr">
        <is>
          <t>Сметная прибыль, руб.</t>
        </is>
      </c>
      <c r="C20" s="120">
        <f>'Прил.5 Расчет СМР и ОБ'!J42</f>
        <v/>
      </c>
      <c r="D20" s="98">
        <f>C20/C24</f>
        <v/>
      </c>
      <c r="E20" s="98">
        <f>C20/C40</f>
        <v/>
      </c>
    </row>
    <row r="21" ht="15" customFormat="1" customHeight="1" s="115">
      <c r="B21" s="177" t="inlineStr">
        <is>
          <t>Сметная прибыль, %</t>
        </is>
      </c>
      <c r="C21" s="100">
        <f>C20/(C11+C15)</f>
        <v/>
      </c>
      <c r="D21" s="98" t="n"/>
      <c r="E21" s="99" t="n"/>
    </row>
    <row r="22" ht="15" customFormat="1" customHeight="1" s="115">
      <c r="B22" s="177" t="inlineStr">
        <is>
          <t>Накладные расходы, руб.</t>
        </is>
      </c>
      <c r="C22" s="120">
        <f>'Прил.5 Расчет СМР и ОБ'!J41</f>
        <v/>
      </c>
      <c r="D22" s="98">
        <f>C22/C24</f>
        <v/>
      </c>
      <c r="E22" s="98">
        <f>C22/C40</f>
        <v/>
      </c>
    </row>
    <row r="23" ht="15" customFormat="1" customHeight="1" s="115">
      <c r="B23" s="177" t="inlineStr">
        <is>
          <t>Накладные расходы, %</t>
        </is>
      </c>
      <c r="C23" s="100">
        <f>C22/(C11+C15)</f>
        <v/>
      </c>
      <c r="D23" s="98" t="n"/>
      <c r="E23" s="99" t="n"/>
    </row>
    <row r="24" ht="15" customFormat="1" customHeight="1" s="115">
      <c r="B24" s="177" t="inlineStr">
        <is>
          <t>ВСЕГО СМР с НР и СП</t>
        </is>
      </c>
      <c r="C24" s="120">
        <f>C19+C20+C22</f>
        <v/>
      </c>
      <c r="D24" s="98">
        <f>C24/C24</f>
        <v/>
      </c>
      <c r="E24" s="98">
        <f>C24/C40</f>
        <v/>
      </c>
    </row>
    <row r="25" ht="31.5" customFormat="1" customHeight="1" s="115">
      <c r="B25" s="177" t="inlineStr">
        <is>
          <t>ВСЕГО стоимость оборудования, в том числе</t>
        </is>
      </c>
      <c r="C25" s="120">
        <f>'Прил.5 Расчет СМР и ОБ'!J30</f>
        <v/>
      </c>
      <c r="D25" s="98" t="n"/>
      <c r="E25" s="98">
        <f>C25/C40</f>
        <v/>
      </c>
    </row>
    <row r="26" ht="31.5" customFormat="1" customHeight="1" s="115">
      <c r="B26" s="177" t="inlineStr">
        <is>
          <t>стоимость оборудования технологического</t>
        </is>
      </c>
      <c r="C26" s="120">
        <f>C25</f>
        <v/>
      </c>
      <c r="D26" s="98" t="n"/>
      <c r="E26" s="98">
        <f>C26/C40</f>
        <v/>
      </c>
    </row>
    <row r="27" ht="15" customFormat="1" customHeight="1" s="115">
      <c r="B27" s="177" t="inlineStr">
        <is>
          <t>ИТОГО (СМР + ОБОРУДОВАНИЕ)</t>
        </is>
      </c>
      <c r="C27" s="149">
        <f>C24+C25</f>
        <v/>
      </c>
      <c r="D27" s="98" t="n"/>
      <c r="E27" s="98">
        <f>C27/C40</f>
        <v/>
      </c>
    </row>
    <row r="28" ht="33" customFormat="1" customHeight="1" s="115">
      <c r="B28" s="177" t="inlineStr">
        <is>
          <t>ПРОЧ. ЗАТР., УЧТЕННЫЕ ПОКАЗАТЕЛЕМ,  в том числе</t>
        </is>
      </c>
      <c r="C28" s="177" t="n"/>
      <c r="D28" s="99" t="n"/>
      <c r="E28" s="99" t="n"/>
    </row>
    <row r="29" ht="31.5" customFormat="1" customHeight="1" s="115">
      <c r="B29" s="177" t="inlineStr">
        <is>
          <t>Временные здания и сооружения - 2,5%</t>
        </is>
      </c>
      <c r="C29" s="149">
        <f>ROUND(C24*0.025,2)</f>
        <v/>
      </c>
      <c r="D29" s="99" t="n"/>
      <c r="E29" s="98">
        <f>C29/C40</f>
        <v/>
      </c>
    </row>
    <row r="30" ht="63" customFormat="1" customHeight="1" s="115">
      <c r="B30" s="177" t="inlineStr">
        <is>
          <t>Дополнительные затраты при производстве строительно-монтажных работ в зимнее время - 1,9%</t>
        </is>
      </c>
      <c r="C30" s="149">
        <f>ROUND((C24+C29)*0.019,2)</f>
        <v/>
      </c>
      <c r="D30" s="99" t="n"/>
      <c r="E30" s="98">
        <f>C30/C40</f>
        <v/>
      </c>
    </row>
    <row r="31" ht="15.75" customFormat="1" customHeight="1" s="115">
      <c r="B31" s="177" t="inlineStr">
        <is>
          <t>Пусконаладочные работы</t>
        </is>
      </c>
      <c r="C31" s="149">
        <f>ROUND(C25*7%*0.8,2)</f>
        <v/>
      </c>
      <c r="D31" s="99" t="n"/>
      <c r="E31" s="98">
        <f>C31/C40</f>
        <v/>
      </c>
    </row>
    <row r="32" ht="31.5" customFormat="1" customHeight="1" s="115">
      <c r="B32" s="177" t="inlineStr">
        <is>
          <t>Затраты по перевозке работников к месту работы и обратно</t>
        </is>
      </c>
      <c r="C32" s="149" t="n">
        <v>0</v>
      </c>
      <c r="D32" s="99" t="n"/>
      <c r="E32" s="98">
        <f>C32/C40</f>
        <v/>
      </c>
    </row>
    <row r="33" ht="47.25" customFormat="1" customHeight="1" s="115">
      <c r="B33" s="177" t="inlineStr">
        <is>
          <t>Затраты, связанные с осуществлением работ вахтовым методом</t>
        </is>
      </c>
      <c r="C33" s="149" t="n">
        <v>0</v>
      </c>
      <c r="D33" s="99" t="n"/>
      <c r="E33" s="98">
        <f>C33/C40</f>
        <v/>
      </c>
    </row>
    <row r="34" ht="63" customFormat="1" customHeight="1" s="115">
      <c r="B34" s="17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9" t="n">
        <v>0</v>
      </c>
      <c r="D34" s="99" t="n"/>
      <c r="E34" s="98">
        <f>C34/C40</f>
        <v/>
      </c>
    </row>
    <row r="35" ht="94.5" customFormat="1" customHeight="1" s="115">
      <c r="B35" s="17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9" t="n">
        <v>0</v>
      </c>
      <c r="D35" s="99" t="n"/>
      <c r="E35" s="98">
        <f>C35/C40</f>
        <v/>
      </c>
    </row>
    <row r="36" ht="47.25" customFormat="1" customHeight="1" s="115">
      <c r="B36" s="102" t="inlineStr">
        <is>
          <t>Строительный контроль и содержание службы заказчика - 2,14%</t>
        </is>
      </c>
      <c r="C36" s="103">
        <f>ROUND((C27+C29+C31+C30)*0.0214,2)</f>
        <v/>
      </c>
      <c r="D36" s="104" t="n"/>
      <c r="E36" s="105">
        <f>C36/C40</f>
        <v/>
      </c>
      <c r="K36" s="106" t="n"/>
    </row>
    <row r="37" ht="15.75" customFormat="1" customHeight="1" s="115">
      <c r="B37" s="180" t="inlineStr">
        <is>
          <t>Авторский надзор - 0,2%</t>
        </is>
      </c>
      <c r="C37" s="180">
        <f>ROUND((C27+C29+C30+C31)*0.002,2)</f>
        <v/>
      </c>
      <c r="D37" s="108" t="n"/>
      <c r="E37" s="108">
        <f>C37/C40</f>
        <v/>
      </c>
    </row>
    <row r="38" ht="63" customFormat="1" customHeight="1" s="115">
      <c r="B38" s="109" t="inlineStr">
        <is>
          <t>ИТОГО (СМР+ОБОРУДОВАНИЕ+ПРОЧ. ЗАТР., УЧТЕННЫЕ ПОКАЗАТЕЛЕМ)</t>
        </is>
      </c>
      <c r="C38" s="110">
        <f>C27+C29+C30+C31+C36+C37</f>
        <v/>
      </c>
      <c r="D38" s="111" t="n"/>
      <c r="E38" s="112">
        <f>C38/C40</f>
        <v/>
      </c>
    </row>
    <row r="39" ht="15.75" customFormat="1" customHeight="1" s="115">
      <c r="B39" s="177" t="inlineStr">
        <is>
          <t>Непредвиденные расходы</t>
        </is>
      </c>
      <c r="C39" s="120">
        <f>ROUND(C38*0.03,2)</f>
        <v/>
      </c>
      <c r="D39" s="99" t="n"/>
      <c r="E39" s="98">
        <f>C39/C40</f>
        <v/>
      </c>
    </row>
    <row r="40" ht="15.75" customFormat="1" customHeight="1" s="115">
      <c r="B40" s="177" t="inlineStr">
        <is>
          <t>ВСЕГО:</t>
        </is>
      </c>
      <c r="C40" s="120">
        <f>C39+C38</f>
        <v/>
      </c>
      <c r="D40" s="99" t="n"/>
      <c r="E40" s="98">
        <f>C40/C40</f>
        <v/>
      </c>
    </row>
    <row r="41" ht="31.5" customFormat="1" customHeight="1" s="115">
      <c r="B41" s="177" t="inlineStr">
        <is>
          <t>ИТОГО ПОКАЗАТЕЛЬ НА ЕД. ИЗМ.</t>
        </is>
      </c>
      <c r="C41" s="120">
        <f>C40/'Прил.5 Расчет СМР и ОБ'!E45</f>
        <v/>
      </c>
      <c r="D41" s="99" t="n"/>
      <c r="E41" s="99" t="n"/>
    </row>
    <row r="42" ht="15.75" customFormat="1" customHeight="1" s="115">
      <c r="B42" s="141" t="n"/>
    </row>
    <row r="43" ht="15.75" customFormat="1" customHeight="1" s="115">
      <c r="B43" s="141" t="inlineStr">
        <is>
          <t>Составил ____________________________ М.С. Колотиевская</t>
        </is>
      </c>
    </row>
    <row r="44" ht="15.75" customFormat="1" customHeight="1" s="115">
      <c r="B44" s="141" t="inlineStr">
        <is>
          <t xml:space="preserve">(должность, подпись, инициалы, фамилия) </t>
        </is>
      </c>
    </row>
    <row r="45" ht="15.75" customFormat="1" customHeight="1" s="115">
      <c r="B45" s="141" t="n"/>
    </row>
    <row r="46" ht="15.75" customFormat="1" customHeight="1" s="115">
      <c r="B46" s="141" t="inlineStr">
        <is>
          <t>Проверил ____________________________ М.С. Колотиевская</t>
        </is>
      </c>
    </row>
    <row r="47" ht="15.75" customFormat="1" customHeight="1" s="115">
      <c r="B47" s="170" t="inlineStr">
        <is>
          <t>(должность, подпись, инициалы, фамилия)</t>
        </is>
      </c>
      <c r="C47" s="170" t="n"/>
    </row>
    <row r="48" ht="15.75" customFormat="1" customHeight="1" s="115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52"/>
  <sheetViews>
    <sheetView tabSelected="1" view="pageBreakPreview" zoomScale="55" zoomScaleNormal="100" zoomScaleSheetLayoutView="55" workbookViewId="0">
      <selection activeCell="AB26" sqref="AB26"/>
    </sheetView>
  </sheetViews>
  <sheetFormatPr baseColWidth="8" defaultColWidth="9.140625" defaultRowHeight="15" outlineLevelRow="1"/>
  <cols>
    <col width="5.7109375" customWidth="1" style="43" min="1" max="1"/>
    <col width="22.5703125" customWidth="1" style="43" min="2" max="2"/>
    <col width="39.140625" customWidth="1" style="43" min="3" max="3"/>
    <col width="10.7109375" customWidth="1" style="43" min="4" max="4"/>
    <col width="12.7109375" customWidth="1" style="43" min="5" max="5"/>
    <col width="14.5703125" customWidth="1" style="43" min="6" max="6"/>
    <col width="13.42578125" customWidth="1" style="43" min="7" max="7"/>
    <col width="12.7109375" customWidth="1" style="43" min="8" max="8"/>
    <col width="14.5703125" customWidth="1" style="43" min="9" max="9"/>
    <col width="15.140625" customWidth="1" style="43" min="10" max="10"/>
    <col width="22.42578125" customWidth="1" style="43" min="11" max="11"/>
    <col width="16.28515625" customWidth="1" style="43" min="12" max="12"/>
    <col width="10.85546875" customWidth="1" style="43" min="13" max="13"/>
    <col width="9.140625" customWidth="1" style="43" min="14" max="14"/>
    <col width="9.140625" customWidth="1" style="90" min="15" max="15"/>
  </cols>
  <sheetData>
    <row r="1" ht="14.25" customFormat="1" customHeight="1" s="43">
      <c r="A1" s="94" t="n"/>
    </row>
    <row r="2" ht="15.75" customFormat="1" customHeight="1" s="43">
      <c r="A2" s="115" t="n"/>
      <c r="B2" s="115" t="n"/>
      <c r="C2" s="115" t="n"/>
      <c r="D2" s="115" t="n"/>
      <c r="E2" s="115" t="n"/>
      <c r="F2" s="115" t="n"/>
      <c r="G2" s="115" t="n"/>
      <c r="H2" s="173" t="inlineStr">
        <is>
          <t>Приложение №5</t>
        </is>
      </c>
    </row>
    <row r="3" ht="15.75" customFormat="1" customHeight="1" s="43">
      <c r="A3" s="115" t="n"/>
      <c r="B3" s="115" t="n"/>
      <c r="C3" s="115" t="n"/>
      <c r="D3" s="115" t="n"/>
      <c r="E3" s="115" t="n"/>
      <c r="F3" s="115" t="n"/>
      <c r="G3" s="115" t="n"/>
      <c r="H3" s="115" t="n"/>
      <c r="I3" s="115" t="n"/>
      <c r="J3" s="115" t="n"/>
    </row>
    <row r="4" ht="15.75" customFormat="1" customHeight="1" s="94">
      <c r="A4" s="161" t="inlineStr">
        <is>
          <t>Расчет стоимости СМР и оборудования</t>
        </is>
      </c>
      <c r="I4" s="161" t="n"/>
      <c r="J4" s="161" t="n"/>
    </row>
    <row r="5" ht="15.75" customFormat="1" customHeight="1" s="94">
      <c r="A5" s="161" t="n"/>
      <c r="B5" s="161" t="n"/>
      <c r="C5" s="161" t="n"/>
      <c r="D5" s="161" t="n"/>
      <c r="E5" s="161" t="n"/>
      <c r="F5" s="161" t="n"/>
      <c r="G5" s="161" t="n"/>
      <c r="H5" s="161" t="n"/>
      <c r="I5" s="161" t="n"/>
      <c r="J5" s="161" t="n"/>
    </row>
    <row r="6" customFormat="1" s="94">
      <c r="A6" s="174" t="inlineStr">
        <is>
          <t xml:space="preserve">Наименование разрабатываемого показателя УНЦ — </t>
        </is>
      </c>
      <c r="D6" s="174" t="inlineStr">
        <is>
          <t>Траншея 225</t>
        </is>
      </c>
    </row>
    <row r="7" ht="15.75" customFormat="1" customHeight="1" s="94">
      <c r="A7" s="174" t="inlineStr">
        <is>
          <t>Единица измерения  — м2</t>
        </is>
      </c>
      <c r="D7" s="46" t="n"/>
      <c r="E7" s="46" t="n"/>
      <c r="F7" s="46" t="n"/>
      <c r="G7" s="46" t="n"/>
      <c r="H7" s="46" t="n"/>
      <c r="I7" s="46" t="n"/>
      <c r="J7" s="46" t="n"/>
    </row>
    <row r="8" ht="15.75" customFormat="1" customHeight="1" s="94">
      <c r="A8" s="115" t="n"/>
      <c r="B8" s="115" t="n"/>
      <c r="C8" s="115" t="n"/>
      <c r="D8" s="115" t="n"/>
      <c r="E8" s="115" t="n"/>
      <c r="F8" s="115" t="n"/>
      <c r="G8" s="115" t="n"/>
      <c r="H8" s="115" t="n"/>
      <c r="I8" s="115" t="n"/>
      <c r="J8" s="115" t="n"/>
    </row>
    <row r="9" ht="27" customFormat="1" customHeight="1" s="115">
      <c r="A9" s="177" t="inlineStr">
        <is>
          <t>№ пп.</t>
        </is>
      </c>
      <c r="B9" s="164" t="inlineStr">
        <is>
          <t>Код ресурса</t>
        </is>
      </c>
      <c r="C9" s="164" t="inlineStr">
        <is>
          <t>Наименование</t>
        </is>
      </c>
      <c r="D9" s="164" t="inlineStr">
        <is>
          <t>Ед. изм.</t>
        </is>
      </c>
      <c r="E9" s="164" t="inlineStr">
        <is>
          <t>Кол-во единиц по проектным данным</t>
        </is>
      </c>
      <c r="F9" s="164" t="inlineStr">
        <is>
          <t>Сметная стоимость в ценах на 01.01.2000 (руб.)</t>
        </is>
      </c>
      <c r="G9" s="191" t="n"/>
      <c r="H9" s="164" t="inlineStr">
        <is>
          <t>Удельный вес, %</t>
        </is>
      </c>
      <c r="I9" s="164" t="inlineStr">
        <is>
          <t>Сметная стоимость в ценах на 01.01.2023 (руб.)</t>
        </is>
      </c>
      <c r="J9" s="191" t="n"/>
      <c r="K9" s="47" t="n"/>
    </row>
    <row r="10" ht="28.5" customFormat="1" customHeight="1" s="115">
      <c r="A10" s="193" t="n"/>
      <c r="B10" s="193" t="n"/>
      <c r="C10" s="193" t="n"/>
      <c r="D10" s="193" t="n"/>
      <c r="E10" s="193" t="n"/>
      <c r="F10" s="164" t="inlineStr">
        <is>
          <t>на ед. изм.</t>
        </is>
      </c>
      <c r="G10" s="164" t="inlineStr">
        <is>
          <t>общая</t>
        </is>
      </c>
      <c r="H10" s="193" t="n"/>
      <c r="I10" s="164" t="inlineStr">
        <is>
          <t>на ед. изм.</t>
        </is>
      </c>
      <c r="J10" s="164" t="inlineStr">
        <is>
          <t>общая</t>
        </is>
      </c>
    </row>
    <row r="11" ht="15.75" customFormat="1" customHeight="1" s="115">
      <c r="A11" s="177" t="n">
        <v>1</v>
      </c>
      <c r="B11" s="164" t="n">
        <v>2</v>
      </c>
      <c r="C11" s="164" t="n">
        <v>3</v>
      </c>
      <c r="D11" s="164" t="n">
        <v>4</v>
      </c>
      <c r="E11" s="164" t="n">
        <v>5</v>
      </c>
      <c r="F11" s="164" t="n">
        <v>6</v>
      </c>
      <c r="G11" s="164" t="n">
        <v>7</v>
      </c>
      <c r="H11" s="164" t="n">
        <v>8</v>
      </c>
      <c r="I11" s="164" t="n">
        <v>9</v>
      </c>
      <c r="J11" s="164" t="n">
        <v>10</v>
      </c>
    </row>
    <row r="12" ht="15.75" customFormat="1" customHeight="1" s="115">
      <c r="A12" s="180" t="n"/>
      <c r="B12" s="178" t="inlineStr">
        <is>
          <t>Затраты труда рабочих-строителей</t>
        </is>
      </c>
      <c r="C12" s="190" t="n"/>
      <c r="D12" s="190" t="n"/>
      <c r="E12" s="190" t="n"/>
      <c r="F12" s="190" t="n"/>
      <c r="G12" s="190" t="n"/>
      <c r="H12" s="191" t="n"/>
      <c r="I12" s="180" t="n"/>
      <c r="J12" s="180" t="n"/>
    </row>
    <row r="13" ht="31.5" customFormat="1" customHeight="1" s="115">
      <c r="A13" s="166" t="n">
        <v>1</v>
      </c>
      <c r="B13" s="166" t="inlineStr">
        <is>
          <t>1-100-19</t>
        </is>
      </c>
      <c r="C13" s="167" t="inlineStr">
        <is>
          <t>Затраты труда рабочих (Средний разряд работы 1,9)</t>
        </is>
      </c>
      <c r="D13" s="166" t="inlineStr">
        <is>
          <t>чел.-ч</t>
        </is>
      </c>
      <c r="E13" s="166" t="n">
        <v>1701.9076923077</v>
      </c>
      <c r="F13" s="172" t="n">
        <v>7.8</v>
      </c>
      <c r="G13" s="172">
        <f>ROUND(E13*F13,2)</f>
        <v/>
      </c>
      <c r="H13" s="56">
        <f>G13/G14</f>
        <v/>
      </c>
      <c r="I13" s="172" t="n">
        <v>358.69651245589</v>
      </c>
      <c r="J13" s="172">
        <f>ROUND(E13*I13,2)</f>
        <v/>
      </c>
    </row>
    <row r="14" ht="31.5" customFormat="1" customHeight="1" s="115">
      <c r="A14" s="166" t="n"/>
      <c r="B14" s="166" t="n"/>
      <c r="C14" s="167" t="inlineStr">
        <is>
          <t>Итого по разделу "Затраты труда рабочих-строителей"</t>
        </is>
      </c>
      <c r="D14" s="166" t="inlineStr">
        <is>
          <t>чел.-ч</t>
        </is>
      </c>
      <c r="E14" s="166">
        <f>SUM(E13:E13)</f>
        <v/>
      </c>
      <c r="F14" s="172" t="n"/>
      <c r="G14" s="172">
        <f>SUM(G13:G13)</f>
        <v/>
      </c>
      <c r="H14" s="56" t="n">
        <v>1</v>
      </c>
      <c r="I14" s="172" t="n"/>
      <c r="J14" s="172">
        <f>SUM(J13:J13)</f>
        <v/>
      </c>
    </row>
    <row r="15" ht="15.75" customFormat="1" customHeight="1" s="115">
      <c r="A15" s="166" t="n"/>
      <c r="B15" s="166" t="inlineStr">
        <is>
          <t>Затраты труда машинистов</t>
        </is>
      </c>
      <c r="C15" s="190" t="n"/>
      <c r="D15" s="190" t="n"/>
      <c r="E15" s="190" t="n"/>
      <c r="F15" s="190" t="n"/>
      <c r="G15" s="190" t="n"/>
      <c r="H15" s="191" t="n"/>
      <c r="I15" s="172" t="n"/>
      <c r="J15" s="172" t="n"/>
    </row>
    <row r="16" ht="15.75" customFormat="1" customHeight="1" s="115">
      <c r="A16" s="166" t="n">
        <v>2</v>
      </c>
      <c r="B16" s="166" t="n">
        <v>2</v>
      </c>
      <c r="C16" s="167" t="inlineStr">
        <is>
          <t>Затраты труда машинистов</t>
        </is>
      </c>
      <c r="D16" s="166" t="inlineStr">
        <is>
          <t>чел.-ч</t>
        </is>
      </c>
      <c r="E16" s="166" t="n">
        <v>41.63</v>
      </c>
      <c r="F16" s="172" t="n">
        <v>13.19</v>
      </c>
      <c r="G16" s="172">
        <f>ROUND(E16*F16,2)</f>
        <v/>
      </c>
      <c r="H16" s="56" t="n">
        <v>1</v>
      </c>
      <c r="I16" s="172">
        <f>ROUND(F16*Прил.10!$D$10,2)</f>
        <v/>
      </c>
      <c r="J16" s="172">
        <f>ROUND(E16*I16,2)</f>
        <v/>
      </c>
    </row>
    <row r="17" ht="15.75" customFormat="1" customHeight="1" s="115">
      <c r="A17" s="166" t="n"/>
      <c r="B17" s="165" t="inlineStr">
        <is>
          <t>Машины и механизмы</t>
        </is>
      </c>
      <c r="C17" s="190" t="n"/>
      <c r="D17" s="190" t="n"/>
      <c r="E17" s="190" t="n"/>
      <c r="F17" s="190" t="n"/>
      <c r="G17" s="190" t="n"/>
      <c r="H17" s="191" t="n"/>
      <c r="I17" s="172" t="n"/>
      <c r="J17" s="172" t="n"/>
    </row>
    <row r="18" ht="15.75" customFormat="1" customHeight="1" s="115">
      <c r="A18" s="166" t="n"/>
      <c r="B18" s="166" t="inlineStr">
        <is>
          <t>Основные Машины и механизмы</t>
        </is>
      </c>
      <c r="C18" s="190" t="n"/>
      <c r="D18" s="190" t="n"/>
      <c r="E18" s="190" t="n"/>
      <c r="F18" s="190" t="n"/>
      <c r="G18" s="190" t="n"/>
      <c r="H18" s="191" t="n"/>
      <c r="I18" s="172" t="n"/>
      <c r="J18" s="172" t="n"/>
    </row>
    <row r="19" ht="31.5" customFormat="1" customHeight="1" s="115">
      <c r="A19" s="166" t="n">
        <v>3</v>
      </c>
      <c r="B19" s="181" t="inlineStr">
        <is>
          <t>91.14.02-001</t>
        </is>
      </c>
      <c r="C19" s="183" t="inlineStr">
        <is>
          <t>Автомобили бортовые, грузоподъемность до 5 т</t>
        </is>
      </c>
      <c r="D19" s="186" t="inlineStr">
        <is>
          <t>маш.час</t>
        </is>
      </c>
      <c r="E19" s="184" t="n">
        <v>39</v>
      </c>
      <c r="F19" s="61" t="n">
        <v>65.70999999999999</v>
      </c>
      <c r="G19" s="61">
        <f>ROUND(E19*F19,2)</f>
        <v/>
      </c>
      <c r="H19" s="56">
        <f>G19/G24</f>
        <v/>
      </c>
      <c r="I19" s="172">
        <f>ROUND(F19*Прил.10!$D$11,2)</f>
        <v/>
      </c>
      <c r="J19" s="172">
        <f>ROUND(E19*I19,2)</f>
        <v/>
      </c>
    </row>
    <row r="20" ht="15.75" customFormat="1" customHeight="1" s="115">
      <c r="A20" s="166" t="n"/>
      <c r="B20" s="181" t="inlineStr">
        <is>
          <t>Итого основные Машины и механизмы</t>
        </is>
      </c>
      <c r="C20" s="190" t="n"/>
      <c r="D20" s="190" t="n"/>
      <c r="E20" s="190" t="n"/>
      <c r="F20" s="191" t="n"/>
      <c r="G20" s="61">
        <f>SUM(G19:G19)</f>
        <v/>
      </c>
      <c r="H20" s="56">
        <f>SUM(H19:H19)</f>
        <v/>
      </c>
      <c r="I20" s="172" t="n"/>
      <c r="J20" s="172">
        <f>SUM(J19:J19)</f>
        <v/>
      </c>
    </row>
    <row r="21" hidden="1" outlineLevel="1" ht="31.5" customFormat="1" customHeight="1" s="115">
      <c r="A21" s="166" t="n">
        <v>4</v>
      </c>
      <c r="B21" s="181" t="inlineStr">
        <is>
          <t>91.01.01-035</t>
        </is>
      </c>
      <c r="C21" s="183" t="inlineStr">
        <is>
          <t>Бульдозеры, мощность 79 кВт (108 л.с.)</t>
        </is>
      </c>
      <c r="D21" s="186" t="inlineStr">
        <is>
          <t>маш.час</t>
        </is>
      </c>
      <c r="E21" s="184" t="n">
        <v>2.58</v>
      </c>
      <c r="F21" s="61" t="n">
        <v>79.06999999999999</v>
      </c>
      <c r="G21" s="61">
        <f>ROUND(E21*F21,2)</f>
        <v/>
      </c>
      <c r="H21" s="56">
        <f>G21/G24</f>
        <v/>
      </c>
      <c r="I21" s="172">
        <f>ROUND(F21*Прил.10!$D$11,2)</f>
        <v/>
      </c>
      <c r="J21" s="172">
        <f>ROUND(E21*I21,2)</f>
        <v/>
      </c>
    </row>
    <row r="22" hidden="1" outlineLevel="1" ht="31.5" customFormat="1" customHeight="1" s="115">
      <c r="A22" s="166" t="n">
        <v>5</v>
      </c>
      <c r="B22" s="181" t="inlineStr">
        <is>
          <t>91.14.03-001</t>
        </is>
      </c>
      <c r="C22" s="183" t="inlineStr">
        <is>
          <t>Автомобили-самосвалы, грузоподъемность до 7 т</t>
        </is>
      </c>
      <c r="D22" s="186" t="inlineStr">
        <is>
          <t>маш.час</t>
        </is>
      </c>
      <c r="E22" s="184" t="n">
        <v>0.06</v>
      </c>
      <c r="F22" s="61" t="n">
        <v>89.54000000000001</v>
      </c>
      <c r="G22" s="61">
        <f>ROUND(E22*F22,2)</f>
        <v/>
      </c>
      <c r="H22" s="56">
        <f>G22/G24</f>
        <v/>
      </c>
      <c r="I22" s="172">
        <f>ROUND(F22*Прил.10!$D$11,2)</f>
        <v/>
      </c>
      <c r="J22" s="172">
        <f>ROUND(E22*I22,2)</f>
        <v/>
      </c>
    </row>
    <row r="23" collapsed="1" ht="15.75" customFormat="1" customHeight="1" s="115">
      <c r="A23" s="166" t="n"/>
      <c r="B23" s="166" t="inlineStr">
        <is>
          <t>Итого прочие Машины и механизмы</t>
        </is>
      </c>
      <c r="C23" s="190" t="n"/>
      <c r="D23" s="190" t="n"/>
      <c r="E23" s="190" t="n"/>
      <c r="F23" s="191" t="n"/>
      <c r="G23" s="172">
        <f>SUM(G21:G22)</f>
        <v/>
      </c>
      <c r="H23" s="56">
        <f>SUM(H21:H22)</f>
        <v/>
      </c>
      <c r="I23" s="172" t="n"/>
      <c r="J23" s="172">
        <f>SUM(J21:J22)</f>
        <v/>
      </c>
    </row>
    <row r="24" ht="15.75" customFormat="1" customHeight="1" s="115">
      <c r="A24" s="166" t="n"/>
      <c r="B24" s="166" t="inlineStr">
        <is>
          <t>Итого по разделу "Машины и механизмы"</t>
        </is>
      </c>
      <c r="C24" s="190" t="n"/>
      <c r="D24" s="190" t="n"/>
      <c r="E24" s="190" t="n"/>
      <c r="F24" s="191" t="n"/>
      <c r="G24" s="172">
        <f>G20+G23</f>
        <v/>
      </c>
      <c r="H24" s="56">
        <f>H20+H23</f>
        <v/>
      </c>
      <c r="I24" s="172" t="n"/>
      <c r="J24" s="172">
        <f>J20+J23</f>
        <v/>
      </c>
    </row>
    <row r="25" ht="15.75" customFormat="1" customHeight="1" s="115">
      <c r="A25" s="180" t="n"/>
      <c r="B25" s="178" t="inlineStr">
        <is>
          <t>Оборудование</t>
        </is>
      </c>
      <c r="C25" s="190" t="n"/>
      <c r="D25" s="190" t="n"/>
      <c r="E25" s="190" t="n"/>
      <c r="F25" s="190" t="n"/>
      <c r="G25" s="190" t="n"/>
      <c r="H25" s="190" t="n"/>
      <c r="I25" s="190" t="n"/>
      <c r="J25" s="191" t="n"/>
    </row>
    <row r="26" ht="15.75" customFormat="1" customHeight="1" s="115">
      <c r="A26" s="180" t="n"/>
      <c r="B26" s="180" t="inlineStr">
        <is>
          <t>Основное оборудование</t>
        </is>
      </c>
      <c r="C26" s="190" t="n"/>
      <c r="D26" s="190" t="n"/>
      <c r="E26" s="190" t="n"/>
      <c r="F26" s="190" t="n"/>
      <c r="G26" s="190" t="n"/>
      <c r="H26" s="190" t="n"/>
      <c r="I26" s="190" t="n"/>
      <c r="J26" s="191" t="n"/>
    </row>
    <row r="27" hidden="1" outlineLevel="1" ht="15.75" customFormat="1" customHeight="1" s="115">
      <c r="A27" s="180" t="n"/>
      <c r="B27" s="180" t="n"/>
      <c r="C27" s="180" t="inlineStr">
        <is>
          <t>Итого основное оборудование</t>
        </is>
      </c>
      <c r="D27" s="180" t="n"/>
      <c r="E27" s="180" t="n"/>
      <c r="F27" s="182" t="n"/>
      <c r="G27" s="182" t="n">
        <v>0</v>
      </c>
      <c r="H27" s="180" t="n">
        <v>0</v>
      </c>
      <c r="I27" s="182" t="n"/>
      <c r="J27" s="182" t="n">
        <v>0</v>
      </c>
    </row>
    <row r="28" collapsed="1" ht="15.75" customFormat="1" customHeight="1" s="115">
      <c r="A28" s="180" t="n"/>
      <c r="B28" s="180" t="inlineStr">
        <is>
          <t>Прочее оборудование</t>
        </is>
      </c>
      <c r="C28" s="190" t="n"/>
      <c r="D28" s="190" t="n"/>
      <c r="E28" s="190" t="n"/>
      <c r="F28" s="190" t="n"/>
      <c r="G28" s="190" t="n"/>
      <c r="H28" s="190" t="n"/>
      <c r="I28" s="190" t="n"/>
      <c r="J28" s="191" t="n"/>
    </row>
    <row r="29" hidden="1" outlineLevel="1" ht="15.75" customFormat="1" customHeight="1" s="115">
      <c r="A29" s="180" t="n"/>
      <c r="B29" s="180" t="n"/>
      <c r="C29" s="180" t="inlineStr">
        <is>
          <t>Итого прочее оборудование</t>
        </is>
      </c>
      <c r="D29" s="180" t="n"/>
      <c r="E29" s="180" t="n"/>
      <c r="F29" s="182" t="n"/>
      <c r="G29" s="182" t="n">
        <v>0</v>
      </c>
      <c r="H29" s="180" t="n">
        <v>0</v>
      </c>
      <c r="I29" s="182" t="n"/>
      <c r="J29" s="182" t="n">
        <v>0</v>
      </c>
    </row>
    <row r="30" hidden="1" outlineLevel="1" ht="15.75" customFormat="1" customHeight="1" s="115">
      <c r="A30" s="180" t="n"/>
      <c r="B30" s="180" t="n"/>
      <c r="C30" s="178" t="inlineStr">
        <is>
          <t>Итого по разделу «Оборудование»</t>
        </is>
      </c>
      <c r="D30" s="180" t="n"/>
      <c r="E30" s="180" t="n"/>
      <c r="F30" s="182" t="n"/>
      <c r="G30" s="182" t="n">
        <v>0</v>
      </c>
      <c r="H30" s="180" t="n">
        <v>0</v>
      </c>
      <c r="I30" s="182" t="n"/>
      <c r="J30" s="182" t="n">
        <v>0</v>
      </c>
    </row>
    <row r="31" hidden="1" outlineLevel="1" ht="15.75" customFormat="1" customHeight="1" s="115">
      <c r="A31" s="180" t="n"/>
      <c r="B31" s="180" t="n"/>
      <c r="C31" s="180" t="inlineStr">
        <is>
          <t>в том числе технологическое оборудование</t>
        </is>
      </c>
      <c r="D31" s="180" t="n"/>
      <c r="E31" s="180" t="n"/>
      <c r="F31" s="182" t="n"/>
      <c r="G31" s="182" t="n">
        <v>0</v>
      </c>
      <c r="H31" s="180" t="n"/>
      <c r="I31" s="182" t="n"/>
      <c r="J31" s="182" t="n">
        <v>0</v>
      </c>
    </row>
    <row r="32" collapsed="1" ht="15.75" customFormat="1" customHeight="1" s="115">
      <c r="A32" s="166" t="n"/>
      <c r="B32" s="165" t="inlineStr">
        <is>
          <t>Материалы</t>
        </is>
      </c>
      <c r="C32" s="190" t="n"/>
      <c r="D32" s="190" t="n"/>
      <c r="E32" s="190" t="n"/>
      <c r="F32" s="190" t="n"/>
      <c r="G32" s="190" t="n"/>
      <c r="H32" s="191" t="n"/>
      <c r="I32" s="172" t="n"/>
      <c r="J32" s="172" t="n"/>
    </row>
    <row r="33" ht="15.75" customFormat="1" customHeight="1" s="115">
      <c r="A33" s="166" t="n"/>
      <c r="B33" s="166" t="inlineStr">
        <is>
          <t>Основные Материалы</t>
        </is>
      </c>
      <c r="C33" s="190" t="n"/>
      <c r="D33" s="190" t="n"/>
      <c r="E33" s="190" t="n"/>
      <c r="F33" s="190" t="n"/>
      <c r="G33" s="190" t="n"/>
      <c r="H33" s="191" t="n"/>
      <c r="I33" s="172" t="n"/>
      <c r="J33" s="172" t="n"/>
    </row>
    <row r="34" ht="31.5" customFormat="1" customHeight="1" s="115">
      <c r="A34" s="166" t="n">
        <v>6</v>
      </c>
      <c r="B34" s="181" t="inlineStr">
        <is>
          <t>02.3.01.02-0033</t>
        </is>
      </c>
      <c r="C34" s="183" t="inlineStr">
        <is>
          <t>Песок природный обогащенный для строительных работ средний</t>
        </is>
      </c>
      <c r="D34" s="186" t="inlineStr">
        <is>
          <t>м3</t>
        </is>
      </c>
      <c r="E34" s="184" t="n">
        <v>84</v>
      </c>
      <c r="F34" s="61" t="n">
        <v>70.59999999999999</v>
      </c>
      <c r="G34" s="61">
        <f>ROUND(E34*F34,2)</f>
        <v/>
      </c>
      <c r="H34" s="56">
        <f>G34/G39</f>
        <v/>
      </c>
      <c r="I34" s="172">
        <f>ROUND(F34*Прил.10!$D$12,2)</f>
        <v/>
      </c>
      <c r="J34" s="172">
        <f>ROUND(E34*I34,2)</f>
        <v/>
      </c>
    </row>
    <row r="35" ht="15.75" customFormat="1" customHeight="1" s="115">
      <c r="A35" s="166" t="n"/>
      <c r="B35" s="181" t="inlineStr">
        <is>
          <t>Итого основные Материалы</t>
        </is>
      </c>
      <c r="C35" s="190" t="n"/>
      <c r="D35" s="190" t="n"/>
      <c r="E35" s="190" t="n"/>
      <c r="F35" s="191" t="n"/>
      <c r="G35" s="61">
        <f>SUM(G34:G34)</f>
        <v/>
      </c>
      <c r="H35" s="56">
        <f>SUM(H34:H34)</f>
        <v/>
      </c>
      <c r="I35" s="172" t="n"/>
      <c r="J35" s="172">
        <f>SUM(J34:J34)</f>
        <v/>
      </c>
    </row>
    <row r="36" hidden="1" outlineLevel="1" ht="47.25" customFormat="1" customHeight="1" s="115">
      <c r="A36" s="166" t="n">
        <v>7</v>
      </c>
      <c r="B36" s="181" t="inlineStr">
        <is>
          <t>999-9950</t>
        </is>
      </c>
      <c r="C36" s="183" t="inlineStr">
        <is>
          <t>Вспомогательные ненормируемые ресурсы (2% от Оплаты труда рабочих)</t>
        </is>
      </c>
      <c r="D36" s="186" t="inlineStr">
        <is>
          <t>руб</t>
        </is>
      </c>
      <c r="E36" s="184" t="n">
        <v>10</v>
      </c>
      <c r="F36" s="61" t="n">
        <v>1</v>
      </c>
      <c r="G36" s="61">
        <f>ROUND(E36*F36,2)</f>
        <v/>
      </c>
      <c r="H36" s="56">
        <f>G36/G39</f>
        <v/>
      </c>
      <c r="I36" s="172">
        <f>ROUND(F36*Прил.10!$D$12,2)</f>
        <v/>
      </c>
      <c r="J36" s="172">
        <f>ROUND(E36*I36,2)</f>
        <v/>
      </c>
    </row>
    <row r="37" hidden="1" outlineLevel="1" ht="31.5" customFormat="1" customHeight="1" s="115">
      <c r="A37" s="166" t="n">
        <v>8</v>
      </c>
      <c r="B37" s="181" t="inlineStr">
        <is>
          <t>02.2.05.04-1777</t>
        </is>
      </c>
      <c r="C37" s="183" t="inlineStr">
        <is>
          <t>Щебень М 800, фракция 20-40 мм, группа 2</t>
        </is>
      </c>
      <c r="D37" s="186" t="inlineStr">
        <is>
          <t>м3</t>
        </is>
      </c>
      <c r="E37" s="184" t="n">
        <v>0.02856</v>
      </c>
      <c r="F37" s="61" t="n">
        <v>108.4</v>
      </c>
      <c r="G37" s="61">
        <f>ROUND(E37*F37,2)</f>
        <v/>
      </c>
      <c r="H37" s="56">
        <f>G37/G39</f>
        <v/>
      </c>
      <c r="I37" s="172">
        <f>ROUND(F37*Прил.10!$D$12,2)</f>
        <v/>
      </c>
      <c r="J37" s="172">
        <f>ROUND(E37*I37,2)</f>
        <v/>
      </c>
    </row>
    <row r="38" collapsed="1" ht="15.75" customFormat="1" customHeight="1" s="115">
      <c r="A38" s="166" t="n"/>
      <c r="B38" s="166" t="inlineStr">
        <is>
          <t>Итого прочие Материалы</t>
        </is>
      </c>
      <c r="C38" s="190" t="n"/>
      <c r="D38" s="190" t="n"/>
      <c r="E38" s="190" t="n"/>
      <c r="F38" s="191" t="n"/>
      <c r="G38" s="172">
        <f>SUM(G36:G37)</f>
        <v/>
      </c>
      <c r="H38" s="56">
        <f>SUM(H36:H37)</f>
        <v/>
      </c>
      <c r="I38" s="172" t="n"/>
      <c r="J38" s="172">
        <f>SUM(J36:J37)</f>
        <v/>
      </c>
    </row>
    <row r="39" ht="15.75" customFormat="1" customHeight="1" s="115">
      <c r="A39" s="166" t="n"/>
      <c r="B39" s="166" t="inlineStr">
        <is>
          <t>Итого по разделу "Материалы"</t>
        </is>
      </c>
      <c r="C39" s="190" t="n"/>
      <c r="D39" s="190" t="n"/>
      <c r="E39" s="190" t="n"/>
      <c r="F39" s="191" t="n"/>
      <c r="G39" s="172">
        <f>G35+G38</f>
        <v/>
      </c>
      <c r="H39" s="56">
        <f>H35+H38</f>
        <v/>
      </c>
      <c r="I39" s="172" t="n"/>
      <c r="J39" s="172">
        <f>J35+J38</f>
        <v/>
      </c>
    </row>
    <row r="40" ht="15.75" customFormat="1" customHeight="1" s="115">
      <c r="A40" s="167" t="n"/>
      <c r="B40" s="186" t="n"/>
      <c r="C40" s="183" t="inlineStr">
        <is>
          <t>ИТОГО ПО РМ</t>
        </is>
      </c>
      <c r="D40" s="186" t="n"/>
      <c r="E40" s="186" t="n"/>
      <c r="F40" s="185" t="n"/>
      <c r="G40" s="185">
        <f>+G14+G24+G39</f>
        <v/>
      </c>
      <c r="H40" s="72" t="n"/>
      <c r="I40" s="172" t="n"/>
      <c r="J40" s="185">
        <f>+J14+J24+J39</f>
        <v/>
      </c>
    </row>
    <row r="41" ht="15.75" customFormat="1" customHeight="1" s="115">
      <c r="A41" s="167" t="n"/>
      <c r="B41" s="186" t="n"/>
      <c r="C41" s="183" t="inlineStr">
        <is>
          <t>Накладные расходы</t>
        </is>
      </c>
      <c r="D41" s="74" t="n">
        <v>0.89167591388298</v>
      </c>
      <c r="E41" s="186" t="n"/>
      <c r="F41" s="185" t="n"/>
      <c r="G41" s="185">
        <f>(G14+G16)*D41</f>
        <v/>
      </c>
      <c r="H41" s="72" t="n"/>
      <c r="I41" s="172" t="n"/>
      <c r="J41" s="172">
        <f>(J14+J16)*D41</f>
        <v/>
      </c>
    </row>
    <row r="42" ht="15.75" customFormat="1" customHeight="1" s="115">
      <c r="A42" s="167" t="n"/>
      <c r="B42" s="186" t="n"/>
      <c r="C42" s="183" t="inlineStr">
        <is>
          <t>Сметная прибыль</t>
        </is>
      </c>
      <c r="D42" s="74" t="n">
        <v>0.40602706311786</v>
      </c>
      <c r="E42" s="186" t="n"/>
      <c r="F42" s="185" t="n"/>
      <c r="G42" s="185">
        <f>(G14+G16)*D42</f>
        <v/>
      </c>
      <c r="H42" s="72" t="n"/>
      <c r="I42" s="172" t="n"/>
      <c r="J42" s="172">
        <f>(J14+J16)*D42</f>
        <v/>
      </c>
    </row>
    <row r="43" ht="15.75" customFormat="1" customHeight="1" s="115">
      <c r="A43" s="167" t="n"/>
      <c r="B43" s="186" t="n"/>
      <c r="C43" s="183" t="inlineStr">
        <is>
          <t>Итого СМР (с НР и СП)</t>
        </is>
      </c>
      <c r="D43" s="186" t="n"/>
      <c r="E43" s="186" t="n"/>
      <c r="F43" s="185" t="n"/>
      <c r="G43" s="185">
        <f>G40+G41+G42</f>
        <v/>
      </c>
      <c r="H43" s="72" t="n"/>
      <c r="I43" s="172" t="n"/>
      <c r="J43" s="185">
        <f>J40+J41+J42</f>
        <v/>
      </c>
    </row>
    <row r="44" ht="15.75" customFormat="1" customHeight="1" s="115">
      <c r="A44" s="167" t="n"/>
      <c r="B44" s="186" t="n"/>
      <c r="C44" s="183" t="inlineStr">
        <is>
          <t>ВСЕГО СМР + ОБОРУДОВАНИЕ</t>
        </is>
      </c>
      <c r="D44" s="186" t="n"/>
      <c r="E44" s="186" t="n"/>
      <c r="F44" s="185" t="n"/>
      <c r="G44" s="185">
        <f>G30+G43</f>
        <v/>
      </c>
      <c r="H44" s="72" t="n"/>
      <c r="I44" s="172" t="n"/>
      <c r="J44" s="172">
        <f>J30+J43</f>
        <v/>
      </c>
    </row>
    <row r="45" ht="15.75" customFormat="1" customHeight="1" s="115">
      <c r="A45" s="167" t="n"/>
      <c r="B45" s="186" t="n"/>
      <c r="C45" s="183" t="inlineStr">
        <is>
          <t>ИТОГО ПОКАЗАТЕЛЬ НА ЕД. ИЗМ.</t>
        </is>
      </c>
      <c r="D45" s="186" t="inlineStr">
        <is>
          <t>ед.</t>
        </is>
      </c>
      <c r="E45" s="186" t="n">
        <v>1</v>
      </c>
      <c r="F45" s="185" t="n"/>
      <c r="G45" s="185">
        <f>G44/E45</f>
        <v/>
      </c>
      <c r="H45" s="72" t="n"/>
      <c r="I45" s="172" t="n"/>
      <c r="J45" s="185">
        <f>J44/E45</f>
        <v/>
      </c>
    </row>
    <row r="46" ht="15.75" customFormat="1" customHeight="1" s="115">
      <c r="E46" s="115" t="n"/>
      <c r="F46" s="106" t="n"/>
      <c r="G46" s="106" t="n"/>
      <c r="I46" s="106" t="n"/>
      <c r="J46" s="106" t="n"/>
    </row>
    <row r="47" ht="15.75" customFormat="1" customHeight="1" s="115">
      <c r="B47" s="141" t="n"/>
      <c r="C47" s="115" t="n"/>
      <c r="D47" s="115" t="n"/>
      <c r="E47" s="115" t="n"/>
      <c r="F47" s="106" t="n"/>
      <c r="G47" s="106" t="n"/>
      <c r="I47" s="106" t="n"/>
      <c r="J47" s="106" t="n"/>
    </row>
    <row r="48" ht="15.75" customFormat="1" customHeight="1" s="115">
      <c r="A48" s="141" t="n"/>
      <c r="B48" s="141" t="inlineStr">
        <is>
          <t>Составил ____________________________ М.С. Колотиевская</t>
        </is>
      </c>
      <c r="C48" s="115" t="n"/>
      <c r="D48" s="115" t="n"/>
      <c r="E48" s="115" t="n"/>
      <c r="F48" s="106" t="n"/>
      <c r="G48" s="106" t="n"/>
      <c r="I48" s="106" t="n"/>
      <c r="J48" s="106" t="n"/>
    </row>
    <row r="49" ht="15.75" customFormat="1" customHeight="1" s="115">
      <c r="B49" s="141" t="inlineStr">
        <is>
          <t xml:space="preserve">(должность, подпись, инициалы, фамилия) </t>
        </is>
      </c>
      <c r="C49" s="115" t="n"/>
      <c r="D49" s="115" t="n"/>
      <c r="E49" s="115" t="n"/>
      <c r="F49" s="106" t="n"/>
      <c r="G49" s="106" t="n"/>
      <c r="I49" s="106" t="n"/>
      <c r="J49" s="106" t="n"/>
    </row>
    <row r="50" ht="15.75" customFormat="1" customHeight="1" s="115">
      <c r="B50" s="141" t="n"/>
      <c r="C50" s="115" t="n"/>
      <c r="D50" s="115" t="n"/>
      <c r="E50" s="115" t="n"/>
      <c r="F50" s="106" t="n"/>
      <c r="G50" s="106" t="n"/>
      <c r="I50" s="106" t="n"/>
      <c r="J50" s="106" t="n"/>
    </row>
    <row r="51" ht="15.75" customFormat="1" customHeight="1" s="115">
      <c r="A51" s="141" t="n"/>
      <c r="B51" s="141" t="inlineStr">
        <is>
          <t>Проверил ____________________________ М.С. Колотиевская</t>
        </is>
      </c>
      <c r="C51" s="115" t="n"/>
      <c r="D51" s="115" t="n"/>
      <c r="E51" s="115" t="n"/>
      <c r="F51" s="106" t="n"/>
      <c r="G51" s="106" t="n"/>
      <c r="I51" s="106" t="n"/>
      <c r="J51" s="106" t="n"/>
    </row>
    <row r="52" ht="15.75" customFormat="1" customHeight="1" s="115">
      <c r="B52" s="170" t="inlineStr">
        <is>
          <t>(должность, подпись, инициалы, фамилия)</t>
        </is>
      </c>
      <c r="C52" s="170" t="n"/>
      <c r="D52" s="115" t="n"/>
      <c r="E52" s="115" t="n"/>
      <c r="F52" s="106" t="n"/>
      <c r="G52" s="106" t="n"/>
      <c r="I52" s="106" t="n"/>
      <c r="J52" s="106" t="n"/>
    </row>
  </sheetData>
  <mergeCells count="28">
    <mergeCell ref="H9:H10"/>
    <mergeCell ref="B15:H15"/>
    <mergeCell ref="B33:H33"/>
    <mergeCell ref="H2:J2"/>
    <mergeCell ref="C9:C10"/>
    <mergeCell ref="B32:H32"/>
    <mergeCell ref="B39:F39"/>
    <mergeCell ref="E9:E10"/>
    <mergeCell ref="B28:J28"/>
    <mergeCell ref="B23:F23"/>
    <mergeCell ref="B9:B10"/>
    <mergeCell ref="D9:D10"/>
    <mergeCell ref="B18:H18"/>
    <mergeCell ref="B38:F38"/>
    <mergeCell ref="B12:H12"/>
    <mergeCell ref="D6:J6"/>
    <mergeCell ref="B26:J26"/>
    <mergeCell ref="F9:G9"/>
    <mergeCell ref="A4:H4"/>
    <mergeCell ref="B25:J25"/>
    <mergeCell ref="B17:H17"/>
    <mergeCell ref="B24:F24"/>
    <mergeCell ref="B20:F20"/>
    <mergeCell ref="A9:A10"/>
    <mergeCell ref="A6:C6"/>
    <mergeCell ref="A7:C7"/>
    <mergeCell ref="I9:J9"/>
    <mergeCell ref="B35:F35"/>
  </mergeCells>
  <conditionalFormatting sqref="E13:E52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31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zoomScale="60" zoomScaleNormal="100" workbookViewId="0">
      <selection activeCell="D25" sqref="D25"/>
    </sheetView>
  </sheetViews>
  <sheetFormatPr baseColWidth="8" defaultColWidth="9.140625" defaultRowHeight="15"/>
  <cols>
    <col width="5.7109375" customWidth="1" style="90" min="1" max="1"/>
    <col width="14.85546875" customWidth="1" style="90" min="2" max="2"/>
    <col width="39.140625" customWidth="1" style="90" min="3" max="3"/>
    <col width="8.28515625" customWidth="1" style="90" min="4" max="4"/>
    <col width="13.5703125" customWidth="1" style="90" min="5" max="5"/>
    <col width="12.42578125" customWidth="1" style="90" min="6" max="6"/>
    <col width="14.140625" customWidth="1" style="90" min="7" max="7"/>
    <col width="9.140625" customWidth="1" style="90" min="8" max="8"/>
  </cols>
  <sheetData>
    <row r="1" ht="15.75" customHeight="1" s="90">
      <c r="A1" s="173" t="inlineStr">
        <is>
          <t>Приложение №6</t>
        </is>
      </c>
    </row>
    <row r="2" ht="21.75" customHeight="1" s="90">
      <c r="A2" s="173" t="n"/>
      <c r="B2" s="173" t="n"/>
      <c r="C2" s="173" t="n"/>
      <c r="D2" s="173" t="n"/>
      <c r="E2" s="173" t="n"/>
      <c r="F2" s="173" t="n"/>
      <c r="G2" s="173" t="n"/>
    </row>
    <row r="3" ht="15.75" customHeight="1" s="90">
      <c r="A3" s="161" t="inlineStr">
        <is>
          <t>Расчет стоимости оборудования</t>
        </is>
      </c>
    </row>
    <row r="4" ht="25.5" customHeight="1" s="90">
      <c r="A4" s="174">
        <f>'Прил.5 Расчет СМР и ОБ'!$A$6&amp;'Прил.5 Расчет СМР и ОБ'!$D$6</f>
        <v/>
      </c>
    </row>
    <row r="5" ht="15.75" customHeight="1" s="90">
      <c r="A5" s="115" t="n"/>
      <c r="B5" s="115" t="n"/>
      <c r="C5" s="115" t="n"/>
      <c r="D5" s="115" t="n"/>
      <c r="E5" s="115" t="n"/>
      <c r="F5" s="115" t="n"/>
      <c r="G5" s="115" t="n"/>
    </row>
    <row r="6" ht="30" customFormat="1" customHeight="1" s="115">
      <c r="A6" s="186" t="inlineStr">
        <is>
          <t>№ пп.</t>
        </is>
      </c>
      <c r="B6" s="186" t="inlineStr">
        <is>
          <t>Код ресурса</t>
        </is>
      </c>
      <c r="C6" s="186" t="inlineStr">
        <is>
          <t>Наименование</t>
        </is>
      </c>
      <c r="D6" s="186" t="inlineStr">
        <is>
          <t>Ед. изм.</t>
        </is>
      </c>
      <c r="E6" s="164" t="inlineStr">
        <is>
          <t>Кол-во единиц по проектным данным</t>
        </is>
      </c>
      <c r="F6" s="186" t="inlineStr">
        <is>
          <t>Сметная стоимость в ценах на 01.01.2000 (руб.)</t>
        </is>
      </c>
      <c r="G6" s="191" t="n"/>
    </row>
    <row r="7" ht="15.75" customFormat="1" customHeight="1" s="115">
      <c r="A7" s="193" t="n"/>
      <c r="B7" s="193" t="n"/>
      <c r="C7" s="193" t="n"/>
      <c r="D7" s="193" t="n"/>
      <c r="E7" s="193" t="n"/>
      <c r="F7" s="164" t="inlineStr">
        <is>
          <t>на ед. изм.</t>
        </is>
      </c>
      <c r="G7" s="164" t="inlineStr">
        <is>
          <t>общая</t>
        </is>
      </c>
    </row>
    <row r="8" ht="15.75" customFormat="1" customHeight="1" s="115">
      <c r="A8" s="164" t="n">
        <v>1</v>
      </c>
      <c r="B8" s="164" t="n">
        <v>2</v>
      </c>
      <c r="C8" s="164" t="n">
        <v>3</v>
      </c>
      <c r="D8" s="164" t="n">
        <v>4</v>
      </c>
      <c r="E8" s="164" t="n">
        <v>5</v>
      </c>
      <c r="F8" s="164" t="n">
        <v>6</v>
      </c>
      <c r="G8" s="164" t="n">
        <v>7</v>
      </c>
    </row>
    <row r="9" ht="15.75" customFormat="1" customHeight="1" s="115">
      <c r="A9" s="167" t="n"/>
      <c r="B9" s="183" t="inlineStr">
        <is>
          <t>ИНЖЕНЕРНОЕ ОБОРУДОВАНИЕ</t>
        </is>
      </c>
      <c r="C9" s="190" t="n"/>
      <c r="D9" s="190" t="n"/>
      <c r="E9" s="190" t="n"/>
      <c r="F9" s="190" t="n"/>
      <c r="G9" s="191" t="n"/>
    </row>
    <row r="10" ht="31.5" customFormat="1" customHeight="1" s="115">
      <c r="A10" s="186" t="n"/>
      <c r="B10" s="81" t="n"/>
      <c r="C10" s="183" t="inlineStr">
        <is>
          <t>ИТОГО ИНЖЕНЕРНОЕ ОБОРУДОВАНИЕ</t>
        </is>
      </c>
      <c r="D10" s="81" t="n"/>
      <c r="E10" s="82" t="n"/>
      <c r="F10" s="185" t="n"/>
      <c r="G10" s="185" t="n">
        <v>0</v>
      </c>
    </row>
    <row r="11" ht="15.75" customFormat="1" customHeight="1" s="115">
      <c r="A11" s="186" t="n"/>
      <c r="B11" s="183" t="inlineStr">
        <is>
          <t>ТЕХНОЛОГИЧЕСКОЕ ОБОРУДОВАНИЕ</t>
        </is>
      </c>
      <c r="C11" s="190" t="n"/>
      <c r="D11" s="190" t="n"/>
      <c r="E11" s="190" t="n"/>
      <c r="F11" s="190" t="n"/>
      <c r="G11" s="191" t="n"/>
    </row>
    <row r="12" ht="31.5" customFormat="1" customHeight="1" s="115">
      <c r="A12" s="186" t="n"/>
      <c r="B12" s="183" t="n"/>
      <c r="C12" s="183" t="inlineStr">
        <is>
          <t>ИТОГО ТЕХНОЛОГИЧЕСКОЕ ОБОРУДОВАНИЕ</t>
        </is>
      </c>
      <c r="D12" s="183" t="n"/>
      <c r="E12" s="184" t="n"/>
      <c r="F12" s="185" t="n"/>
      <c r="G12" s="185" t="n">
        <v>0</v>
      </c>
    </row>
    <row r="13" ht="15.75" customFormat="1" customHeight="1" s="115">
      <c r="A13" s="186" t="n"/>
      <c r="B13" s="183" t="n"/>
      <c r="C13" s="183" t="inlineStr">
        <is>
          <t>Итого по разделу "Оборудование"</t>
        </is>
      </c>
      <c r="D13" s="183" t="n"/>
      <c r="E13" s="184" t="n"/>
      <c r="F13" s="185" t="n"/>
      <c r="G13" s="185" t="n">
        <v>0</v>
      </c>
    </row>
    <row r="14" ht="15.75" customFormat="1" customHeight="1" s="115">
      <c r="B14" s="173" t="n"/>
    </row>
    <row r="15" ht="15.75" customFormat="1" customHeight="1" s="115">
      <c r="A15" s="115" t="inlineStr">
        <is>
          <t>Составил ______________________        М.С. Колотиевская</t>
        </is>
      </c>
      <c r="B15" s="115" t="n"/>
      <c r="C15" s="115" t="n"/>
    </row>
    <row r="16" ht="15.75" customFormat="1" customHeight="1" s="115">
      <c r="A16" s="141" t="inlineStr">
        <is>
          <t xml:space="preserve">                         (подпись, инициалы, фамилия)</t>
        </is>
      </c>
      <c r="B16" s="115" t="n"/>
      <c r="C16" s="115" t="n"/>
    </row>
    <row r="17" ht="15.75" customFormat="1" customHeight="1" s="115">
      <c r="A17" s="115" t="n"/>
      <c r="B17" s="115" t="n"/>
      <c r="C17" s="115" t="n"/>
    </row>
    <row r="18" ht="15.75" customFormat="1" customHeight="1" s="115">
      <c r="A18" s="115" t="inlineStr">
        <is>
          <t>Проверил ______________________       М.С. Колотиевская</t>
        </is>
      </c>
      <c r="B18" s="115" t="n"/>
      <c r="C18" s="115" t="n"/>
    </row>
    <row r="19" ht="15.75" customFormat="1" customHeight="1" s="115">
      <c r="A19" s="141" t="inlineStr">
        <is>
          <t xml:space="preserve">                        (подпись, инициалы, фамилия)</t>
        </is>
      </c>
      <c r="B19" s="115" t="n"/>
      <c r="C19" s="115" t="n"/>
    </row>
    <row r="20" ht="15.75" customFormat="1" customHeight="1" s="115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zoomScale="60" zoomScaleNormal="100" workbookViewId="0">
      <selection activeCell="D14" sqref="D14"/>
    </sheetView>
  </sheetViews>
  <sheetFormatPr baseColWidth="8" defaultColWidth="8.85546875" defaultRowHeight="15.75"/>
  <cols>
    <col width="14.42578125" customWidth="1" style="115" min="1" max="1"/>
    <col width="29.7109375" customWidth="1" style="115" min="2" max="2"/>
    <col width="39.140625" customWidth="1" style="115" min="3" max="3"/>
    <col width="24.5703125" customWidth="1" style="115" min="4" max="4"/>
    <col width="8.85546875" customWidth="1" style="115" min="5" max="5"/>
  </cols>
  <sheetData>
    <row r="1">
      <c r="D1" s="173" t="inlineStr">
        <is>
          <t>Приложение №7</t>
        </is>
      </c>
    </row>
    <row r="2">
      <c r="A2" s="173" t="n"/>
      <c r="B2" s="173" t="n"/>
      <c r="C2" s="173" t="n"/>
      <c r="D2" s="173" t="n"/>
    </row>
    <row r="3" ht="24.75" customHeight="1" s="90">
      <c r="A3" s="161" t="inlineStr">
        <is>
          <t>Расчет показателя УНЦ</t>
        </is>
      </c>
    </row>
    <row r="4" ht="24.75" customHeight="1" s="90">
      <c r="A4" s="161" t="n"/>
      <c r="B4" s="161" t="n"/>
      <c r="C4" s="161" t="n"/>
      <c r="D4" s="161" t="n"/>
    </row>
    <row r="5" ht="24.6" customHeight="1" s="90">
      <c r="A5" s="174">
        <f>'Прил.5 Расчет СМР и ОБ'!$A$6&amp;'Прил.5 Расчет СМР и ОБ'!$D$6</f>
        <v/>
      </c>
      <c r="D5" s="174" t="n"/>
    </row>
    <row r="6" ht="19.9" customHeight="1" s="90">
      <c r="A6" s="174">
        <f>'Прил.5 Расчет СМР и ОБ'!$A$7</f>
        <v/>
      </c>
      <c r="D6" s="174" t="n"/>
    </row>
    <row r="8" ht="14.45" customHeight="1" s="90">
      <c r="A8" s="164" t="inlineStr">
        <is>
          <t>Код показателя</t>
        </is>
      </c>
      <c r="B8" s="164" t="inlineStr">
        <is>
          <t>Наименование показателя</t>
        </is>
      </c>
      <c r="C8" s="164" t="inlineStr">
        <is>
          <t>Наименование РМ, входящих в состав показателя</t>
        </is>
      </c>
      <c r="D8" s="164" t="inlineStr">
        <is>
          <t>Норматив цены на 01.01.2023, тыс.руб.</t>
        </is>
      </c>
    </row>
    <row r="9" ht="15" customHeight="1" s="90">
      <c r="A9" s="193" t="n"/>
      <c r="B9" s="193" t="n"/>
      <c r="C9" s="193" t="n"/>
      <c r="D9" s="193" t="n"/>
    </row>
    <row r="10">
      <c r="A10" s="164" t="n">
        <v>1</v>
      </c>
      <c r="B10" s="164" t="n">
        <v>2</v>
      </c>
      <c r="C10" s="164" t="n">
        <v>3</v>
      </c>
      <c r="D10" s="164" t="n">
        <v>4</v>
      </c>
    </row>
    <row r="11" ht="41.45" customHeight="1" s="90">
      <c r="A11" s="164" t="inlineStr">
        <is>
          <t>Траншея</t>
        </is>
      </c>
      <c r="B11" s="164" t="n">
        <v>225</v>
      </c>
      <c r="C11" s="120">
        <f>B11</f>
        <v/>
      </c>
      <c r="D11" s="138">
        <f>ROUND('Прил.4 РМ'!$C$41/1000,2)</f>
        <v/>
      </c>
      <c r="E11" s="141" t="n"/>
    </row>
    <row r="12">
      <c r="B12" s="173" t="n"/>
    </row>
    <row r="13">
      <c r="A13" s="115" t="inlineStr">
        <is>
          <t>Составил ______________________        М.С. Колотиевская</t>
        </is>
      </c>
    </row>
    <row r="14">
      <c r="A14" s="141" t="inlineStr">
        <is>
          <t xml:space="preserve">                         (подпись, инициалы, фамилия)</t>
        </is>
      </c>
    </row>
    <row r="16">
      <c r="A16" s="115" t="inlineStr">
        <is>
          <t>Проверил ______________________       М.С. Колотиевская</t>
        </is>
      </c>
    </row>
    <row r="17">
      <c r="A17" s="141" t="inlineStr">
        <is>
          <t xml:space="preserve">                        (подпись, инициалы, фамилия)</t>
        </is>
      </c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D27" sqref="D27"/>
    </sheetView>
  </sheetViews>
  <sheetFormatPr baseColWidth="8" defaultRowHeight="15"/>
  <cols>
    <col width="9.140625" customWidth="1" style="90" min="1" max="1"/>
    <col width="40.7109375" customWidth="1" style="90" min="2" max="2"/>
    <col width="37" customWidth="1" style="90" min="3" max="3"/>
    <col width="32" customWidth="1" style="90" min="4" max="4"/>
    <col width="9.140625" customWidth="1" style="90" min="5" max="5"/>
  </cols>
  <sheetData>
    <row r="4" ht="15.75" customHeight="1" s="90">
      <c r="B4" s="160" t="inlineStr">
        <is>
          <t>Приложение № 10</t>
        </is>
      </c>
    </row>
    <row r="5" ht="18.75" customHeight="1" s="90">
      <c r="B5" s="22" t="n"/>
    </row>
    <row r="6" ht="15.75" customHeight="1" s="90">
      <c r="B6" s="161" t="inlineStr">
        <is>
          <t>Используемые индексы изменений сметной стоимости и нормы сопутствующих затрат</t>
        </is>
      </c>
    </row>
    <row r="7" ht="18.75" customHeight="1" s="90">
      <c r="B7" s="23" t="n"/>
    </row>
    <row r="8" ht="47.25" customFormat="1" customHeight="1" s="115">
      <c r="B8" s="164" t="inlineStr">
        <is>
          <t>Наименование индекса / норм сопутствующих затрат</t>
        </is>
      </c>
      <c r="C8" s="164" t="inlineStr">
        <is>
          <t>Дата применения и обоснование индекса / норм сопутствующих затрат</t>
        </is>
      </c>
      <c r="D8" s="164" t="inlineStr">
        <is>
          <t>Размер индекса / норма сопутствующих затрат</t>
        </is>
      </c>
    </row>
    <row r="9" ht="15.75" customFormat="1" customHeight="1" s="115">
      <c r="B9" s="164" t="n">
        <v>1</v>
      </c>
      <c r="C9" s="164" t="n">
        <v>2</v>
      </c>
      <c r="D9" s="164" t="n">
        <v>3</v>
      </c>
    </row>
    <row r="10" ht="31.5" customFormat="1" customHeight="1" s="115">
      <c r="B10" s="164" t="inlineStr">
        <is>
          <t xml:space="preserve">Индекс изменения сметной стоимости на 1 квартал 2023 года. ОЗП </t>
        </is>
      </c>
      <c r="C10" s="164" t="inlineStr">
        <is>
          <t>Письмо Минстроя России от 30.03.2023г. №17106-ИФ/09  прил.1</t>
        </is>
      </c>
      <c r="D10" s="164" t="n">
        <v>44.29</v>
      </c>
    </row>
    <row r="11" ht="31.5" customFormat="1" customHeight="1" s="115">
      <c r="B11" s="164" t="inlineStr">
        <is>
          <t>Индекс изменения сметной стоимости на 1 квартал 2023 года. ЭМ</t>
        </is>
      </c>
      <c r="C11" s="164" t="inlineStr">
        <is>
          <t>Письмо Минстроя России от 30.03.2023г. №17106-ИФ/09  прил.1</t>
        </is>
      </c>
      <c r="D11" s="164" t="n">
        <v>10.84</v>
      </c>
    </row>
    <row r="12" ht="31.5" customFormat="1" customHeight="1" s="115">
      <c r="B12" s="164" t="inlineStr">
        <is>
          <t>Индекс изменения сметной стоимости на 1 квартал 2023 года. МАТ</t>
        </is>
      </c>
      <c r="C12" s="164" t="inlineStr">
        <is>
          <t>Письмо Минстроя России от 30.03.2023г. №17106-ИФ/09  прил.1</t>
        </is>
      </c>
      <c r="D12" s="164" t="n">
        <v>5.34</v>
      </c>
    </row>
    <row r="13" ht="31.5" customFormat="1" customHeight="1" s="115">
      <c r="B13" s="164" t="inlineStr">
        <is>
          <t>Индекс изменения сметной стоимости на 1 квартал 2023 года. ОБ</t>
        </is>
      </c>
      <c r="C13" s="25" t="inlineStr">
        <is>
          <t>Письмо Минстроя России от 23.02.2023г. №9791-ИФ/09 прил.6</t>
        </is>
      </c>
      <c r="D13" s="164" t="n">
        <v>6.26</v>
      </c>
    </row>
    <row r="14" ht="78.75" customFormat="1" customHeight="1" s="115">
      <c r="B14" s="164" t="inlineStr">
        <is>
          <t>Временные здания и сооружения</t>
        </is>
      </c>
      <c r="C14" s="16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6" t="n">
        <v>0.025</v>
      </c>
    </row>
    <row r="15" ht="78.75" customFormat="1" customHeight="1" s="115">
      <c r="B15" s="164" t="inlineStr">
        <is>
          <t>Дополнительные затраты при производстве строительно-монтажных работ в зимнее время</t>
        </is>
      </c>
      <c r="C15" s="1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6" t="n">
        <v>0.019</v>
      </c>
      <c r="E15" s="47" t="n"/>
    </row>
    <row r="16" ht="15.75" customFormat="1" customHeight="1" s="115">
      <c r="B16" s="164" t="inlineStr">
        <is>
          <t>Пусконаладочные работы</t>
        </is>
      </c>
      <c r="C16" s="164" t="n"/>
      <c r="D16" s="164" t="inlineStr">
        <is>
          <t>расчёт</t>
        </is>
      </c>
    </row>
    <row r="17" ht="31.5" customFormat="1" customHeight="1" s="115">
      <c r="B17" s="164" t="inlineStr">
        <is>
          <t>Строительный контроль</t>
        </is>
      </c>
      <c r="C17" s="164" t="inlineStr">
        <is>
          <t>Постановление Правительства РФ от 21.06.10 г. № 468</t>
        </is>
      </c>
      <c r="D17" s="26" t="n">
        <v>0.0214</v>
      </c>
    </row>
    <row r="18" ht="15.75" customFormat="1" customHeight="1" s="115">
      <c r="B18" s="164" t="inlineStr">
        <is>
          <t>Авторский надзор</t>
        </is>
      </c>
      <c r="C18" s="164" t="inlineStr">
        <is>
          <t>Приказ от 4.08.2020 № 421/пр п.173</t>
        </is>
      </c>
      <c r="D18" s="26" t="n">
        <v>0.002</v>
      </c>
    </row>
    <row r="19" ht="15.75" customFormat="1" customHeight="1" s="115">
      <c r="B19" s="164" t="inlineStr">
        <is>
          <t>Непредвиденные расходы</t>
        </is>
      </c>
      <c r="C19" s="164" t="inlineStr">
        <is>
          <t>Приказ от 4.08.2020 № 421/пр п.179</t>
        </is>
      </c>
      <c r="D19" s="26" t="n">
        <v>0.03</v>
      </c>
    </row>
    <row r="20" ht="15.75" customFormat="1" customHeight="1" s="115">
      <c r="B20" s="159" t="n"/>
    </row>
    <row r="21" ht="15.75" customFormat="1" customHeight="1" s="115">
      <c r="B21" s="159" t="n"/>
    </row>
    <row r="22" ht="15.75" customFormat="1" customHeight="1" s="115">
      <c r="B22" s="159" t="n"/>
    </row>
    <row r="23" ht="15.75" customFormat="1" customHeight="1" s="115">
      <c r="B23" s="159" t="n"/>
    </row>
    <row r="24" ht="15.75" customFormat="1" customHeight="1" s="115"/>
    <row r="25" ht="15.75" customFormat="1" customHeight="1" s="115"/>
    <row r="26" ht="15.75" customFormat="1" customHeight="1" s="115">
      <c r="B26" s="115" t="inlineStr">
        <is>
          <t>Составил ______________________        М.С. Колотиевская</t>
        </is>
      </c>
      <c r="C26" s="115" t="n"/>
    </row>
    <row r="27" ht="15.75" customFormat="1" customHeight="1" s="115">
      <c r="B27" s="141" t="inlineStr">
        <is>
          <t xml:space="preserve">                         (подпись, инициалы, фамилия)</t>
        </is>
      </c>
      <c r="C27" s="115" t="n"/>
    </row>
    <row r="28" ht="15.75" customFormat="1" customHeight="1" s="115">
      <c r="B28" s="115" t="n"/>
      <c r="C28" s="115" t="n"/>
    </row>
    <row r="29" ht="15.75" customFormat="1" customHeight="1" s="115">
      <c r="B29" s="115" t="inlineStr">
        <is>
          <t>Проверил ______________________        М.С. Колотиевская</t>
        </is>
      </c>
      <c r="C29" s="115" t="n"/>
    </row>
    <row r="30" ht="15.75" customFormat="1" customHeight="1" s="115">
      <c r="B30" s="141" t="inlineStr">
        <is>
          <t xml:space="preserve">                        (подпись, инициалы, фамилия)</t>
        </is>
      </c>
      <c r="C30" s="115" t="n"/>
    </row>
    <row r="31" ht="15.75" customFormat="1" customHeight="1" s="115"/>
    <row r="32" ht="15.75" customFormat="1" customHeight="1" s="115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G12"/>
  <sheetViews>
    <sheetView view="pageBreakPreview" topLeftCell="A10" zoomScale="60" zoomScaleNormal="100" workbookViewId="0">
      <selection activeCell="O35" sqref="O35"/>
    </sheetView>
  </sheetViews>
  <sheetFormatPr baseColWidth="8" defaultRowHeight="15"/>
  <cols>
    <col width="36.5703125" customWidth="1" style="90" min="2" max="2"/>
    <col width="14.42578125" customWidth="1" style="90" min="3" max="3"/>
    <col width="11.7109375" customWidth="1" style="90" min="4" max="4"/>
    <col width="17.85546875" customWidth="1" style="90" min="5" max="5"/>
    <col width="48.42578125" customWidth="1" style="90" min="6" max="6"/>
  </cols>
  <sheetData>
    <row r="1" ht="15.75" customHeight="1" s="90">
      <c r="A1" s="189" t="inlineStr">
        <is>
          <t>Расчет размера средств на оплату труда рабочих-строителей в текущем уровне цен (ФОТр.тек.)</t>
        </is>
      </c>
    </row>
    <row r="2">
      <c r="A2" s="123" t="n"/>
      <c r="B2" s="123" t="n"/>
      <c r="C2" s="123" t="n"/>
      <c r="D2" s="123" t="n"/>
      <c r="E2" s="123" t="n"/>
      <c r="F2" s="123" t="n"/>
    </row>
    <row r="3" ht="15.75" customHeight="1" s="90">
      <c r="A3" s="124" t="inlineStr">
        <is>
          <t>Составлен в уровне цен на 01.01.2023 г.</t>
        </is>
      </c>
      <c r="B3" s="125" t="n"/>
      <c r="C3" s="125" t="n"/>
      <c r="D3" s="125" t="n"/>
      <c r="E3" s="125" t="n"/>
      <c r="F3" s="125" t="n"/>
    </row>
    <row r="4" ht="31.5" customHeight="1" s="90">
      <c r="A4" s="164" t="inlineStr">
        <is>
          <t>№ пп.</t>
        </is>
      </c>
      <c r="B4" s="164" t="inlineStr">
        <is>
          <t>Наименование элемента</t>
        </is>
      </c>
      <c r="C4" s="164" t="inlineStr">
        <is>
          <t>Обозначение</t>
        </is>
      </c>
      <c r="D4" s="164" t="inlineStr">
        <is>
          <t>Формула</t>
        </is>
      </c>
      <c r="E4" s="164" t="inlineStr">
        <is>
          <t>Величина элемента</t>
        </is>
      </c>
      <c r="F4" s="164" t="inlineStr">
        <is>
          <t>Наименования обосновывающих документов</t>
        </is>
      </c>
    </row>
    <row r="5" ht="15.75" customHeight="1" s="90">
      <c r="A5" s="164" t="n">
        <v>1</v>
      </c>
      <c r="B5" s="164" t="n">
        <v>2</v>
      </c>
      <c r="C5" s="164" t="n">
        <v>3</v>
      </c>
      <c r="D5" s="164" t="n">
        <v>4</v>
      </c>
      <c r="E5" s="164" t="n">
        <v>5</v>
      </c>
      <c r="F5" s="164" t="n">
        <v>6</v>
      </c>
    </row>
    <row r="6" ht="110.25" customHeight="1" s="90">
      <c r="A6" s="127" t="inlineStr">
        <is>
          <t>1.1</t>
        </is>
      </c>
      <c r="B6" s="1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6" s="164" t="inlineStr">
        <is>
          <t>С1ср</t>
        </is>
      </c>
      <c r="D6" s="164" t="inlineStr">
        <is>
          <t>-</t>
        </is>
      </c>
      <c r="E6" s="138" t="n">
        <v>47872.94</v>
      </c>
      <c r="F6" s="1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7" ht="47.25" customHeight="1" s="90">
      <c r="A7" s="127" t="inlineStr">
        <is>
          <t>1.2</t>
        </is>
      </c>
      <c r="B7" s="128" t="inlineStr">
        <is>
          <t>Среднегодовое нормативное число часов работы одного рабочего в месяц, часы (ч.)</t>
        </is>
      </c>
      <c r="C7" s="164" t="inlineStr">
        <is>
          <t>tср</t>
        </is>
      </c>
      <c r="D7" s="164" t="inlineStr">
        <is>
          <t>1973ч/12мес.</t>
        </is>
      </c>
      <c r="E7" s="144">
        <f>1973/12</f>
        <v/>
      </c>
      <c r="F7" s="128" t="inlineStr">
        <is>
          <t>Производственный календарь 2023 год
(40-часов.неделя)</t>
        </is>
      </c>
    </row>
    <row r="8" ht="15.75" customHeight="1" s="90">
      <c r="A8" s="127" t="inlineStr">
        <is>
          <t>1.3</t>
        </is>
      </c>
      <c r="B8" s="128" t="inlineStr">
        <is>
          <t>Коэффициент увеличения</t>
        </is>
      </c>
      <c r="C8" s="164" t="inlineStr">
        <is>
          <t>Кув</t>
        </is>
      </c>
      <c r="D8" s="164" t="inlineStr">
        <is>
          <t>-</t>
        </is>
      </c>
      <c r="E8" s="144" t="n">
        <v>1</v>
      </c>
      <c r="F8" s="128" t="n"/>
    </row>
    <row r="9" ht="15.75" customHeight="1" s="90">
      <c r="A9" s="127" t="inlineStr">
        <is>
          <t>1.4</t>
        </is>
      </c>
      <c r="B9" s="128" t="inlineStr">
        <is>
          <t>Средний разряд работ</t>
        </is>
      </c>
      <c r="C9" s="164" t="n"/>
      <c r="D9" s="164" t="n"/>
      <c r="E9" s="130" t="n">
        <v>9</v>
      </c>
      <c r="F9" s="128" t="inlineStr">
        <is>
          <t>РТМ</t>
        </is>
      </c>
    </row>
    <row r="10" ht="63" customHeight="1" s="90">
      <c r="A10" s="127" t="inlineStr">
        <is>
          <t>1.5</t>
        </is>
      </c>
      <c r="B10" s="128" t="inlineStr">
        <is>
          <t>Тарифный коэффициент среднего разряда работ</t>
        </is>
      </c>
      <c r="C10" s="164" t="inlineStr">
        <is>
          <t>КТ</t>
        </is>
      </c>
      <c r="D10" s="164" t="inlineStr">
        <is>
          <t>-</t>
        </is>
      </c>
      <c r="E10" s="131" t="n">
        <v>1.0815812997141</v>
      </c>
      <c r="F10" s="1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1" ht="78.75" customHeight="1" s="90">
      <c r="A11" s="127" t="inlineStr">
        <is>
          <t>1.6</t>
        </is>
      </c>
      <c r="B11" s="177" t="inlineStr">
        <is>
          <t>Коэффициент инфляции, определяемый поквартально</t>
        </is>
      </c>
      <c r="C11" s="164" t="inlineStr">
        <is>
          <t>Кинф</t>
        </is>
      </c>
      <c r="D11" s="164" t="inlineStr">
        <is>
          <t>-</t>
        </is>
      </c>
      <c r="E11" s="133" t="n">
        <v>1.139</v>
      </c>
      <c r="F11" s="17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1" s="135" t="n"/>
    </row>
    <row r="12" ht="63" customHeight="1" s="90">
      <c r="A12" s="127" t="inlineStr">
        <is>
          <t>1.7</t>
        </is>
      </c>
      <c r="B12" s="136" t="inlineStr">
        <is>
          <t>Размер средств на оплату труда рабочих-строителей в текущем уровне цен (ФОТр.тек.), руб/чел.-ч</t>
        </is>
      </c>
      <c r="C12" s="164" t="inlineStr">
        <is>
          <t>ФОТр.тек.</t>
        </is>
      </c>
      <c r="D12" s="164" t="inlineStr">
        <is>
          <t>(С1ср/tср*КТ*Т*Кув)*Кинф</t>
        </is>
      </c>
      <c r="E12" s="137">
        <f>((E6*E8/E7)*E10)*E11</f>
        <v/>
      </c>
      <c r="F12" s="1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1:F1"/>
  </mergeCells>
  <pageMargins left="0.7" right="0.7" top="0.75" bottom="0.75" header="0.3" footer="0.3"/>
  <pageSetup orientation="portrait" paperSize="9" scale="63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2023-09-22T19:41:34Z</dcterms:created>
  <dcterms:modified xsi:type="dcterms:W3CDTF">2025-01-24T11:54:16Z</dcterms:modified>
  <cp:lastModifiedBy>REDMIBOOK</cp:lastModifiedBy>
  <cp:lastPrinted>2023-12-01T12:22:53Z</cp:lastPrinted>
</cp:coreProperties>
</file>