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47" customWidth="1" style="313" min="4" max="4"/>
    <col width="37.42578125" customWidth="1" style="313" min="5" max="5"/>
    <col width="9.140625" customWidth="1" style="313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" customHeight="1" s="311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173" t="n"/>
      <c r="C6" s="173" t="n"/>
      <c r="D6" s="173" t="n"/>
    </row>
    <row r="7" ht="64.5" customHeight="1" s="311">
      <c r="B7" s="342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 ht="31.5" customHeight="1" s="311">
      <c r="B8" s="298" t="inlineStr">
        <is>
          <t xml:space="preserve">Сопоставимый уровень цен: </t>
        </is>
      </c>
      <c r="C8" s="298" t="n"/>
      <c r="D8" s="299">
        <f>D22</f>
        <v/>
      </c>
    </row>
    <row r="9" ht="15.75" customHeight="1" s="311">
      <c r="B9" s="342" t="inlineStr">
        <is>
          <t>Единица измерения  — 1 км КЛ</t>
        </is>
      </c>
    </row>
    <row r="10">
      <c r="B10" s="342" t="n"/>
      <c r="C10" s="313" t="n"/>
      <c r="D10" s="313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175" t="n"/>
    </row>
    <row r="12">
      <c r="B12" s="345" t="n">
        <v>1</v>
      </c>
      <c r="C12" s="325" t="inlineStr">
        <is>
          <t>Наименование объекта-представителя</t>
        </is>
      </c>
      <c r="D12" s="345" t="inlineStr">
        <is>
          <t>КВЛ 110 кВ "Фили-Ходынка" 1 цепь</t>
        </is>
      </c>
    </row>
    <row r="13">
      <c r="B13" s="345" t="n">
        <v>2</v>
      </c>
      <c r="C13" s="325" t="inlineStr">
        <is>
          <t>Наименование субъекта Российской Федерации</t>
        </is>
      </c>
      <c r="D13" s="345" t="inlineStr">
        <is>
          <t>г. Москва</t>
        </is>
      </c>
    </row>
    <row r="14">
      <c r="B14" s="345" t="n">
        <v>3</v>
      </c>
      <c r="C14" s="325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25" t="inlineStr">
        <is>
          <t>Мощность объекта</t>
        </is>
      </c>
      <c r="D15" s="345" t="inlineStr">
        <is>
          <t>389 м2 = 0,2302 км КЛ</t>
        </is>
      </c>
    </row>
    <row r="16" ht="63" customHeight="1" s="311">
      <c r="B16" s="345" t="n">
        <v>5</v>
      </c>
      <c r="C16" s="1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Земля растительная</t>
        </is>
      </c>
    </row>
    <row r="17" ht="63" customHeight="1" s="311">
      <c r="B17" s="345" t="n">
        <v>6</v>
      </c>
      <c r="C17" s="1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D18+D19+D20+D21</f>
        <v/>
      </c>
      <c r="E17" s="178" t="n"/>
    </row>
    <row r="18">
      <c r="B18" s="179" t="inlineStr">
        <is>
          <t>6.1</t>
        </is>
      </c>
      <c r="C18" s="325" t="inlineStr">
        <is>
          <t>строительно-монтажные работы</t>
        </is>
      </c>
      <c r="D18" s="300">
        <f>'Прил.2 Расч стоим'!F13</f>
        <v/>
      </c>
    </row>
    <row r="19">
      <c r="B19" s="179" t="inlineStr">
        <is>
          <t>6.2</t>
        </is>
      </c>
      <c r="C19" s="325" t="inlineStr">
        <is>
          <t>оборудование и инвентарь</t>
        </is>
      </c>
      <c r="D19" s="300" t="n">
        <v>0</v>
      </c>
    </row>
    <row r="20">
      <c r="B20" s="179" t="inlineStr">
        <is>
          <t>6.3</t>
        </is>
      </c>
      <c r="C20" s="325" t="inlineStr">
        <is>
          <t>пусконаладочные работы</t>
        </is>
      </c>
      <c r="D20" s="300" t="n">
        <v>0</v>
      </c>
    </row>
    <row r="21">
      <c r="B21" s="179" t="inlineStr">
        <is>
          <t>6.4</t>
        </is>
      </c>
      <c r="C21" s="180" t="inlineStr">
        <is>
          <t>прочие и лимитированные затраты</t>
        </is>
      </c>
      <c r="D21" s="300">
        <f>D18*0.022+(D18*0.022+D18)*0.021</f>
        <v/>
      </c>
    </row>
    <row r="22">
      <c r="B22" s="345" t="n">
        <v>7</v>
      </c>
      <c r="C22" s="180" t="inlineStr">
        <is>
          <t>Сопоставимый уровень цен</t>
        </is>
      </c>
      <c r="D22" s="301" t="inlineStr">
        <is>
          <t>3 кв. 2015 г.</t>
        </is>
      </c>
      <c r="E22" s="181" t="n"/>
    </row>
    <row r="23" ht="78.75" customHeight="1" s="311">
      <c r="B23" s="345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  <c r="E23" s="178" t="n"/>
    </row>
    <row r="24" ht="31.5" customHeight="1" s="311">
      <c r="B24" s="345" t="n">
        <v>9</v>
      </c>
      <c r="C24" s="177" t="inlineStr">
        <is>
          <t>Приведенная сметная стоимость на единицу мощности, тыс. руб. (строка 8/строку 4)</t>
        </is>
      </c>
      <c r="D24" s="300">
        <f>D23/0.2302</f>
        <v/>
      </c>
      <c r="E24" s="181" t="n"/>
    </row>
    <row r="25">
      <c r="B25" s="345" t="n">
        <v>10</v>
      </c>
      <c r="C25" s="325" t="inlineStr">
        <is>
          <t>Примечание</t>
        </is>
      </c>
      <c r="D25" s="345" t="n"/>
    </row>
    <row r="26">
      <c r="B26" s="183" t="n"/>
      <c r="C26" s="184" t="n"/>
      <c r="D26" s="184" t="n"/>
    </row>
    <row r="27" ht="37.5" customHeight="1" s="311">
      <c r="B27" s="298" t="n"/>
    </row>
    <row r="28">
      <c r="B28" s="313" t="inlineStr">
        <is>
          <t>Составил ______________________    Д.Ю. Нефедова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D34" sqref="D34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9.140625" customWidth="1" style="313" min="11" max="11"/>
  </cols>
  <sheetData>
    <row r="3">
      <c r="B3" s="340" t="inlineStr">
        <is>
          <t>Приложение № 2</t>
        </is>
      </c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29.25" customHeight="1" s="311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11">
      <c r="B8" s="279" t="n"/>
    </row>
    <row r="9" ht="15.75" customHeight="1" s="311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11">
      <c r="B10" s="430" t="n"/>
      <c r="C10" s="430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2015 г., тыс. руб.</t>
        </is>
      </c>
      <c r="G10" s="428" t="n"/>
      <c r="H10" s="428" t="n"/>
      <c r="I10" s="428" t="n"/>
      <c r="J10" s="429" t="n"/>
    </row>
    <row r="11" ht="31.5" customHeight="1" s="311">
      <c r="B11" s="431" t="n"/>
      <c r="C11" s="431" t="n"/>
      <c r="D11" s="431" t="n"/>
      <c r="E11" s="431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47.25" customHeight="1" s="311">
      <c r="B12" s="303" t="n">
        <v>1</v>
      </c>
      <c r="C12" s="330">
        <f>'Прил.1 Сравнит табл'!D16</f>
        <v/>
      </c>
      <c r="D12" s="305" t="inlineStr">
        <is>
          <t>07-08-10</t>
        </is>
      </c>
      <c r="E12" s="325" t="inlineStr">
        <is>
          <t>Благоустройство территории. Кабельная линия  (2 этап)</t>
        </is>
      </c>
      <c r="F12" s="307" t="n">
        <v>321.57903</v>
      </c>
      <c r="G12" s="307" t="n"/>
      <c r="H12" s="307" t="n"/>
      <c r="I12" s="307" t="n"/>
      <c r="J12" s="308">
        <f>SUM(F12:I12)</f>
        <v/>
      </c>
    </row>
    <row r="13" ht="15" customHeight="1" s="311">
      <c r="B13" s="344" t="inlineStr">
        <is>
          <t>Всего по объекту:</t>
        </is>
      </c>
      <c r="C13" s="428" t="n"/>
      <c r="D13" s="428" t="n"/>
      <c r="E13" s="429" t="n"/>
      <c r="F13" s="310">
        <f>SUM(F12:F12)</f>
        <v/>
      </c>
      <c r="G13" s="310">
        <f>SUM(G12:G12)</f>
        <v/>
      </c>
      <c r="H13" s="310">
        <f>SUM(H12:H12)</f>
        <v/>
      </c>
      <c r="I13" s="310" t="n"/>
      <c r="J13" s="310">
        <f>SUM(F13:I13)</f>
        <v/>
      </c>
    </row>
    <row r="14" ht="15.75" customHeight="1" s="311">
      <c r="B14" s="344" t="inlineStr">
        <is>
          <t>Всего по объекту в сопоставимом уровне цен 3 кв. 2015 г. :</t>
        </is>
      </c>
      <c r="C14" s="428" t="n"/>
      <c r="D14" s="428" t="n"/>
      <c r="E14" s="429" t="n"/>
      <c r="F14" s="310">
        <f>F13</f>
        <v/>
      </c>
      <c r="G14" s="310">
        <f>G13</f>
        <v/>
      </c>
      <c r="H14" s="310">
        <f>H13</f>
        <v/>
      </c>
      <c r="I14" s="310">
        <f>'Прил.1 Сравнит табл'!D21</f>
        <v/>
      </c>
      <c r="J14" s="310">
        <f>SUM(F14:I14)</f>
        <v/>
      </c>
    </row>
    <row r="15" ht="15" customHeight="1" s="311"/>
    <row r="16" ht="15" customHeight="1" s="311"/>
    <row r="17" ht="15" customHeight="1" s="311"/>
    <row r="18" ht="15" customHeight="1" s="311">
      <c r="C18" s="294" t="inlineStr">
        <is>
          <t>Составил ______________________     Д.Ю. Нефедова</t>
        </is>
      </c>
      <c r="D18" s="295" t="n"/>
      <c r="E18" s="295" t="n"/>
    </row>
    <row r="19" ht="15" customHeight="1" s="311">
      <c r="C19" s="297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11">
      <c r="C20" s="294" t="n"/>
      <c r="D20" s="295" t="n"/>
      <c r="E20" s="295" t="n"/>
    </row>
    <row r="21" ht="15" customHeight="1" s="311">
      <c r="C21" s="294" t="inlineStr">
        <is>
          <t>Проверил ______________________        А.В. Костянецкая</t>
        </is>
      </c>
      <c r="D21" s="295" t="n"/>
      <c r="E21" s="295" t="n"/>
    </row>
    <row r="22" ht="15" customHeight="1" s="311">
      <c r="C22" s="297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4" zoomScaleSheetLayoutView="100" workbookViewId="0">
      <selection activeCell="D34" sqref="D34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9.140625" customWidth="1" style="313" min="9" max="10"/>
    <col width="15" customWidth="1" style="313" min="11" max="11"/>
    <col width="9.140625" customWidth="1" style="313" min="12" max="12"/>
  </cols>
  <sheetData>
    <row r="2" s="311">
      <c r="A2" s="313" t="n"/>
      <c r="B2" s="313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313" t="n"/>
      <c r="L2" s="313" t="n"/>
    </row>
    <row r="3">
      <c r="A3" s="340" t="inlineStr">
        <is>
          <t xml:space="preserve">Приложение № 3 </t>
        </is>
      </c>
    </row>
    <row r="4">
      <c r="A4" s="341" t="inlineStr">
        <is>
          <t>Объектная ресурсная ведомость</t>
        </is>
      </c>
    </row>
    <row r="5" ht="18.75" customHeight="1" s="311">
      <c r="A5" s="185" t="n"/>
      <c r="B5" s="185" t="n"/>
      <c r="C5" s="354" t="n"/>
    </row>
    <row r="6">
      <c r="A6" s="342" t="n"/>
    </row>
    <row r="7" ht="33.75" customHeight="1" s="311">
      <c r="A7" s="353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A8" s="186" t="n"/>
      <c r="B8" s="186" t="n"/>
      <c r="C8" s="186" t="n"/>
      <c r="D8" s="186" t="n"/>
      <c r="E8" s="186" t="n"/>
      <c r="F8" s="186" t="n"/>
      <c r="G8" s="186" t="n"/>
      <c r="H8" s="186" t="n"/>
    </row>
    <row r="9" ht="38.25" customHeight="1" s="311">
      <c r="A9" s="345" t="inlineStr">
        <is>
          <t>п/п</t>
        </is>
      </c>
      <c r="B9" s="345" t="inlineStr">
        <is>
          <t>№ЛСР</t>
        </is>
      </c>
      <c r="C9" s="345" t="inlineStr">
        <is>
          <t>Код ресурса</t>
        </is>
      </c>
      <c r="D9" s="345" t="inlineStr">
        <is>
          <t>Наименование ресурса</t>
        </is>
      </c>
      <c r="E9" s="345" t="inlineStr">
        <is>
          <t>Ед. изм.</t>
        </is>
      </c>
      <c r="F9" s="345" t="inlineStr">
        <is>
          <t>Кол-во единиц по данным объекта-представителя</t>
        </is>
      </c>
      <c r="G9" s="345" t="inlineStr">
        <is>
          <t>Сметная стоимость в ценах на 01.01.2000 (руб.)</t>
        </is>
      </c>
      <c r="H9" s="429" t="n"/>
    </row>
    <row r="10" ht="40.5" customHeight="1" s="311">
      <c r="A10" s="431" t="n"/>
      <c r="B10" s="431" t="n"/>
      <c r="C10" s="431" t="n"/>
      <c r="D10" s="431" t="n"/>
      <c r="E10" s="431" t="n"/>
      <c r="F10" s="431" t="n"/>
      <c r="G10" s="345" t="inlineStr">
        <is>
          <t>на ед.изм.</t>
        </is>
      </c>
      <c r="H10" s="345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88">
      <c r="A12" s="347" t="inlineStr">
        <is>
          <t>Затраты труда рабочих</t>
        </is>
      </c>
      <c r="B12" s="428" t="n"/>
      <c r="C12" s="428" t="n"/>
      <c r="D12" s="428" t="n"/>
      <c r="E12" s="429" t="n"/>
      <c r="F12" s="432">
        <f>SUM(F13:F15)</f>
        <v/>
      </c>
      <c r="G12" s="189" t="n"/>
      <c r="H12" s="432">
        <f>SUM(H13:H15)</f>
        <v/>
      </c>
    </row>
    <row r="13">
      <c r="A13" s="381" t="n">
        <v>1</v>
      </c>
      <c r="B13" s="192" t="n"/>
      <c r="C13" s="202" t="inlineStr">
        <is>
          <t>1-2-5</t>
        </is>
      </c>
      <c r="D13" s="203" t="inlineStr">
        <is>
          <t>Затраты труда рабочих (средний разряд работы 2,5)</t>
        </is>
      </c>
      <c r="E13" s="381" t="inlineStr">
        <is>
          <t>чел.-ч</t>
        </is>
      </c>
      <c r="F13" s="433" t="n">
        <v>150.32</v>
      </c>
      <c r="G13" s="197" t="n">
        <v>8.17</v>
      </c>
      <c r="H13" s="197">
        <f>ROUND(F13*G13,2)</f>
        <v/>
      </c>
      <c r="M13" s="434" t="n"/>
    </row>
    <row r="14">
      <c r="A14" s="381" t="n">
        <v>2</v>
      </c>
      <c r="B14" s="192" t="n"/>
      <c r="C14" s="202" t="inlineStr">
        <is>
          <t>1-2-2</t>
        </is>
      </c>
      <c r="D14" s="203" t="inlineStr">
        <is>
          <t>Затраты труда рабочих (средний разряд работы 2,2)</t>
        </is>
      </c>
      <c r="E14" s="381" t="inlineStr">
        <is>
          <t>чел.-ч</t>
        </is>
      </c>
      <c r="F14" s="433" t="n">
        <v>128.7</v>
      </c>
      <c r="G14" s="197" t="n">
        <v>7.94</v>
      </c>
      <c r="H14" s="197">
        <f>ROUND(F14*G14,2)</f>
        <v/>
      </c>
    </row>
    <row r="15">
      <c r="A15" s="381" t="n">
        <v>3</v>
      </c>
      <c r="B15" s="192" t="n"/>
      <c r="C15" s="202" t="inlineStr">
        <is>
          <t>1-2-9</t>
        </is>
      </c>
      <c r="D15" s="203" t="inlineStr">
        <is>
          <t>Затраты труда рабочих (средний разряд работы 2,9)</t>
        </is>
      </c>
      <c r="E15" s="381" t="inlineStr">
        <is>
          <t>чел.-ч</t>
        </is>
      </c>
      <c r="F15" s="433" t="n">
        <v>23.3</v>
      </c>
      <c r="G15" s="197" t="n">
        <v>8.460000000000001</v>
      </c>
      <c r="H15" s="197">
        <f>ROUND(F15*G15,2)</f>
        <v/>
      </c>
    </row>
    <row r="16">
      <c r="A16" s="346" t="inlineStr">
        <is>
          <t>Затраты труда машинистов</t>
        </is>
      </c>
      <c r="B16" s="428" t="n"/>
      <c r="C16" s="428" t="n"/>
      <c r="D16" s="428" t="n"/>
      <c r="E16" s="429" t="n"/>
      <c r="F16" s="347" t="n"/>
      <c r="G16" s="200" t="n"/>
      <c r="H16" s="432">
        <f>H17</f>
        <v/>
      </c>
    </row>
    <row r="17">
      <c r="A17" s="381" t="n">
        <v>4</v>
      </c>
      <c r="B17" s="348" t="n"/>
      <c r="C17" s="202" t="n">
        <v>2</v>
      </c>
      <c r="D17" s="203" t="inlineStr">
        <is>
          <t>Затраты труда машинистов</t>
        </is>
      </c>
      <c r="E17" s="381" t="inlineStr">
        <is>
          <t>чел.-ч</t>
        </is>
      </c>
      <c r="F17" s="433" t="n">
        <v>21.53</v>
      </c>
      <c r="G17" s="197" t="n"/>
      <c r="H17" s="435" t="n">
        <v>250.13</v>
      </c>
    </row>
    <row r="18" customFormat="1" s="288">
      <c r="A18" s="347" t="inlineStr">
        <is>
          <t>Машины и механизмы</t>
        </is>
      </c>
      <c r="B18" s="428" t="n"/>
      <c r="C18" s="428" t="n"/>
      <c r="D18" s="428" t="n"/>
      <c r="E18" s="429" t="n"/>
      <c r="F18" s="347" t="n"/>
      <c r="G18" s="200" t="n"/>
      <c r="H18" s="432">
        <f>SUM(H19:H21)</f>
        <v/>
      </c>
    </row>
    <row r="19">
      <c r="A19" s="381" t="n">
        <v>5</v>
      </c>
      <c r="B19" s="348" t="n"/>
      <c r="C19" s="202" t="inlineStr">
        <is>
          <t>91.13.01-038</t>
        </is>
      </c>
      <c r="D19" s="203" t="inlineStr">
        <is>
          <t>Машины поливомоечные 6000 л</t>
        </is>
      </c>
      <c r="E19" s="381" t="inlineStr">
        <is>
          <t>маш.-ч</t>
        </is>
      </c>
      <c r="F19" s="381" t="n">
        <v>21.33</v>
      </c>
      <c r="G19" s="207" t="n">
        <v>110</v>
      </c>
      <c r="H19" s="197">
        <f>ROUND(F19*G19,2)</f>
        <v/>
      </c>
      <c r="I19" s="210" t="n"/>
      <c r="J19" s="210" t="n"/>
      <c r="L19" s="210" t="n"/>
    </row>
    <row r="20" ht="25.5" customFormat="1" customHeight="1" s="288">
      <c r="A20" s="381" t="n">
        <v>6</v>
      </c>
      <c r="B20" s="348" t="n"/>
      <c r="C20" s="202" t="inlineStr">
        <is>
          <t>91.15.03-014</t>
        </is>
      </c>
      <c r="D20" s="203" t="inlineStr">
        <is>
          <t>Тракторы на пневмоколесном ходу, мощность 59 кВт (80 л.с.)</t>
        </is>
      </c>
      <c r="E20" s="381" t="inlineStr">
        <is>
          <t>маш.-ч</t>
        </is>
      </c>
      <c r="F20" s="381" t="n">
        <v>0.2</v>
      </c>
      <c r="G20" s="207" t="n">
        <v>74.61</v>
      </c>
      <c r="H20" s="197">
        <f>ROUND(F20*G20,2)</f>
        <v/>
      </c>
      <c r="I20" s="210" t="n"/>
      <c r="J20" s="210" t="n"/>
      <c r="L20" s="210" t="n"/>
    </row>
    <row r="21">
      <c r="A21" s="381" t="n">
        <v>7</v>
      </c>
      <c r="B21" s="348" t="n"/>
      <c r="C21" s="202" t="inlineStr">
        <is>
          <t>91.12.08-051</t>
        </is>
      </c>
      <c r="D21" s="203" t="inlineStr">
        <is>
          <t>Катки прицепные кольчатые 1 т</t>
        </is>
      </c>
      <c r="E21" s="381" t="inlineStr">
        <is>
          <t>маш.-ч</t>
        </is>
      </c>
      <c r="F21" s="381" t="n">
        <v>0.41</v>
      </c>
      <c r="G21" s="207" t="n">
        <v>9.619999999999999</v>
      </c>
      <c r="H21" s="197">
        <f>ROUND(F21*G21,2)</f>
        <v/>
      </c>
      <c r="I21" s="210" t="n"/>
      <c r="J21" s="210" t="n"/>
      <c r="L21" s="210" t="n"/>
    </row>
    <row r="22" ht="15" customHeight="1" s="311">
      <c r="A22" s="346" t="inlineStr">
        <is>
          <t>Оборудование</t>
        </is>
      </c>
      <c r="B22" s="428" t="n"/>
      <c r="C22" s="428" t="n"/>
      <c r="D22" s="428" t="n"/>
      <c r="E22" s="429" t="n"/>
      <c r="F22" s="189" t="n"/>
      <c r="G22" s="189" t="n"/>
      <c r="H22" s="432" t="n"/>
    </row>
    <row r="23">
      <c r="A23" s="347" t="inlineStr">
        <is>
          <t>Материалы</t>
        </is>
      </c>
      <c r="B23" s="428" t="n"/>
      <c r="C23" s="428" t="n"/>
      <c r="D23" s="428" t="n"/>
      <c r="E23" s="429" t="n"/>
      <c r="F23" s="347" t="n"/>
      <c r="G23" s="200" t="n"/>
      <c r="H23" s="432" t="n">
        <v>12996.53</v>
      </c>
    </row>
    <row r="24">
      <c r="A24" s="211" t="n">
        <v>8</v>
      </c>
      <c r="B24" s="348" t="n"/>
      <c r="C24" s="202" t="inlineStr">
        <is>
          <t>16.2.01.02-0002</t>
        </is>
      </c>
      <c r="D24" s="203" t="inlineStr">
        <is>
          <t>Земля растительная механизированной заготовки</t>
        </is>
      </c>
      <c r="E24" s="381" t="inlineStr">
        <is>
          <t>м3</t>
        </is>
      </c>
      <c r="F24" s="381" t="n">
        <v>46.85</v>
      </c>
      <c r="G24" s="197" t="n">
        <v>131.9</v>
      </c>
      <c r="H24" s="197" t="n">
        <v>6179.52</v>
      </c>
      <c r="I24" s="222" t="n"/>
      <c r="J24" s="210" t="n"/>
      <c r="K24" s="210" t="n"/>
    </row>
    <row r="25">
      <c r="A25" s="211" t="n">
        <v>9</v>
      </c>
      <c r="B25" s="348" t="n"/>
      <c r="C25" s="202" t="inlineStr">
        <is>
          <t>16.2.01.02-0001</t>
        </is>
      </c>
      <c r="D25" s="203" t="inlineStr">
        <is>
          <t>Земля растительная</t>
        </is>
      </c>
      <c r="E25" s="381" t="inlineStr">
        <is>
          <t>м3</t>
        </is>
      </c>
      <c r="F25" s="381" t="n">
        <v>31.330386</v>
      </c>
      <c r="G25" s="197" t="n">
        <v>135.6</v>
      </c>
      <c r="H25" s="197" t="n">
        <v>4248.4</v>
      </c>
      <c r="I25" s="222" t="n"/>
      <c r="J25" s="210" t="n"/>
      <c r="K25" s="210" t="n"/>
    </row>
    <row r="26">
      <c r="A26" s="211" t="n">
        <v>10</v>
      </c>
      <c r="B26" s="348" t="n"/>
      <c r="C26" s="202" t="inlineStr">
        <is>
          <t>16.2.02.07-0161</t>
        </is>
      </c>
      <c r="D26" s="203" t="inlineStr">
        <is>
          <t>Семена газонных трав (смесь)</t>
        </is>
      </c>
      <c r="E26" s="381" t="inlineStr">
        <is>
          <t>кг</t>
        </is>
      </c>
      <c r="F26" s="381" t="n">
        <v>15.570055</v>
      </c>
      <c r="G26" s="197" t="n">
        <v>146.25</v>
      </c>
      <c r="H26" s="197" t="n">
        <v>2277.12</v>
      </c>
      <c r="I26" s="222" t="n"/>
      <c r="J26" s="210" t="n"/>
      <c r="K26" s="210" t="n"/>
    </row>
    <row r="27">
      <c r="A27" s="211" t="n">
        <v>11</v>
      </c>
      <c r="B27" s="348" t="n"/>
      <c r="C27" s="202" t="inlineStr">
        <is>
          <t>01.7.03.01-0001</t>
        </is>
      </c>
      <c r="D27" s="203" t="inlineStr">
        <is>
          <t>Вода</t>
        </is>
      </c>
      <c r="E27" s="381" t="inlineStr">
        <is>
          <t>м3</t>
        </is>
      </c>
      <c r="F27" s="381" t="n">
        <v>77.81999999999999</v>
      </c>
      <c r="G27" s="197" t="n">
        <v>2.44</v>
      </c>
      <c r="H27" s="197" t="n">
        <v>189.88</v>
      </c>
      <c r="I27" s="222" t="n"/>
      <c r="J27" s="210" t="n"/>
    </row>
    <row r="28" ht="15" customHeight="1" s="311">
      <c r="A28" s="211" t="n">
        <v>12</v>
      </c>
      <c r="B28" s="348" t="n"/>
      <c r="C28" s="202" t="inlineStr">
        <is>
          <t>16.3.02.01-0002</t>
        </is>
      </c>
      <c r="D28" s="203" t="inlineStr">
        <is>
          <t>Удобрение комплексное на основе диаммонийфосфата</t>
        </is>
      </c>
      <c r="E28" s="381" t="inlineStr">
        <is>
          <t>кг</t>
        </is>
      </c>
      <c r="F28" s="381" t="n">
        <v>19.465316</v>
      </c>
      <c r="G28" s="197" t="n">
        <v>5.22</v>
      </c>
      <c r="H28" s="197" t="n">
        <v>101.61</v>
      </c>
      <c r="I28" s="222" t="n"/>
      <c r="J28" s="210" t="n"/>
    </row>
    <row r="31">
      <c r="B31" s="313" t="inlineStr">
        <is>
          <t>Составил ______________________     Д.Ю. Нефедова</t>
        </is>
      </c>
    </row>
    <row r="32">
      <c r="B32" s="298" t="inlineStr">
        <is>
          <t xml:space="preserve">                         (подпись, инициалы, фамилия)</t>
        </is>
      </c>
    </row>
    <row r="34">
      <c r="B34" s="313" t="inlineStr">
        <is>
          <t>Проверил ______________________        А.В. Костянецкая</t>
        </is>
      </c>
    </row>
    <row r="35">
      <c r="B35" s="2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23:E23"/>
    <mergeCell ref="G9:H9"/>
    <mergeCell ref="A22:E22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11.42578125" customWidth="1" style="311" min="6" max="6"/>
    <col width="14.42578125" customWidth="1" style="311" min="7" max="7"/>
    <col width="9.140625" customWidth="1" style="311" min="8" max="11"/>
    <col width="13.5703125" customWidth="1" style="311" min="12" max="12"/>
    <col width="9.140625" customWidth="1" style="311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6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3" t="inlineStr">
        <is>
          <t>Ресурсная модель</t>
        </is>
      </c>
    </row>
    <row r="6">
      <c r="B6" s="214" t="n"/>
      <c r="C6" s="294" t="n"/>
      <c r="D6" s="294" t="n"/>
      <c r="E6" s="294" t="n"/>
    </row>
    <row r="7" ht="38.25" customHeight="1" s="311">
      <c r="B7" s="35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B8" s="356" t="inlineStr">
        <is>
          <t>Единица измерения  — 1 км КЛ</t>
        </is>
      </c>
    </row>
    <row r="9">
      <c r="B9" s="214" t="n"/>
      <c r="C9" s="294" t="n"/>
      <c r="D9" s="294" t="n"/>
      <c r="E9" s="294" t="n"/>
    </row>
    <row r="10" ht="51" customHeight="1" s="311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16" t="inlineStr">
        <is>
          <t>Оплата труда рабочих</t>
        </is>
      </c>
      <c r="C11" s="217">
        <f>'Прил.5 Расчет СМР и ОБ'!J14</f>
        <v/>
      </c>
      <c r="D11" s="218">
        <f>C11/$C$24</f>
        <v/>
      </c>
      <c r="E11" s="218">
        <f>C11/$C$40</f>
        <v/>
      </c>
    </row>
    <row r="12">
      <c r="B12" s="216" t="inlineStr">
        <is>
          <t>Эксплуатация машин основных</t>
        </is>
      </c>
      <c r="C12" s="217">
        <f>'Прил.5 Расчет СМР и ОБ'!J20</f>
        <v/>
      </c>
      <c r="D12" s="218">
        <f>C12/$C$24</f>
        <v/>
      </c>
      <c r="E12" s="218">
        <f>C12/$C$40</f>
        <v/>
      </c>
    </row>
    <row r="13">
      <c r="B13" s="216" t="inlineStr">
        <is>
          <t>Эксплуатация машин прочих</t>
        </is>
      </c>
      <c r="C13" s="217">
        <f>'Прил.5 Расчет СМР и ОБ'!J23</f>
        <v/>
      </c>
      <c r="D13" s="218">
        <f>C13/$C$24</f>
        <v/>
      </c>
      <c r="E13" s="218">
        <f>C13/$C$40</f>
        <v/>
      </c>
    </row>
    <row r="14">
      <c r="B14" s="216" t="inlineStr">
        <is>
          <t>ЭКСПЛУАТАЦИЯ МАШИН, ВСЕГО:</t>
        </is>
      </c>
      <c r="C14" s="217">
        <f>C13+C12</f>
        <v/>
      </c>
      <c r="D14" s="218">
        <f>C14/$C$24</f>
        <v/>
      </c>
      <c r="E14" s="218">
        <f>C14/$C$40</f>
        <v/>
      </c>
    </row>
    <row r="15">
      <c r="B15" s="216" t="inlineStr">
        <is>
          <t>в том числе зарплата машинистов</t>
        </is>
      </c>
      <c r="C15" s="217">
        <f>'Прил.5 Расчет СМР и ОБ'!J16</f>
        <v/>
      </c>
      <c r="D15" s="218">
        <f>C15/$C$24</f>
        <v/>
      </c>
      <c r="E15" s="218">
        <f>C15/$C$40</f>
        <v/>
      </c>
    </row>
    <row r="16">
      <c r="B16" s="216" t="inlineStr">
        <is>
          <t>Материалы основные</t>
        </is>
      </c>
      <c r="C16" s="217">
        <f>'Прил.5 Расчет СМР и ОБ'!J36</f>
        <v/>
      </c>
      <c r="D16" s="218">
        <f>C16/$C$24</f>
        <v/>
      </c>
      <c r="E16" s="218">
        <f>C16/$C$40</f>
        <v/>
      </c>
    </row>
    <row r="17">
      <c r="B17" s="216" t="inlineStr">
        <is>
          <t>Материалы прочие</t>
        </is>
      </c>
      <c r="C17" s="217">
        <f>'Прил.5 Расчет СМР и ОБ'!J39</f>
        <v/>
      </c>
      <c r="D17" s="218">
        <f>C17/$C$24</f>
        <v/>
      </c>
      <c r="E17" s="218">
        <f>C17/$C$40</f>
        <v/>
      </c>
      <c r="G17" s="436" t="n"/>
    </row>
    <row r="18">
      <c r="B18" s="216" t="inlineStr">
        <is>
          <t>МАТЕРИАЛЫ, ВСЕГО:</t>
        </is>
      </c>
      <c r="C18" s="217">
        <f>C17+C16</f>
        <v/>
      </c>
      <c r="D18" s="218">
        <f>C18/$C$24</f>
        <v/>
      </c>
      <c r="E18" s="218">
        <f>C18/$C$40</f>
        <v/>
      </c>
    </row>
    <row r="19">
      <c r="B19" s="216" t="inlineStr">
        <is>
          <t>ИТОГО</t>
        </is>
      </c>
      <c r="C19" s="217">
        <f>C18+C14+C11</f>
        <v/>
      </c>
      <c r="D19" s="218" t="n"/>
      <c r="E19" s="216" t="n"/>
    </row>
    <row r="20">
      <c r="B20" s="216" t="inlineStr">
        <is>
          <t>Сметная прибыль, руб.</t>
        </is>
      </c>
      <c r="C20" s="217">
        <f>ROUND(C21*(C11+C15),2)</f>
        <v/>
      </c>
      <c r="D20" s="218">
        <f>C20/$C$24</f>
        <v/>
      </c>
      <c r="E20" s="218">
        <f>C20/$C$40</f>
        <v/>
      </c>
    </row>
    <row r="21">
      <c r="B21" s="216" t="inlineStr">
        <is>
          <t>Сметная прибыль, %</t>
        </is>
      </c>
      <c r="C21" s="220">
        <f>'Прил.5 Расчет СМР и ОБ'!D43</f>
        <v/>
      </c>
      <c r="D21" s="218" t="n"/>
      <c r="E21" s="216" t="n"/>
    </row>
    <row r="22">
      <c r="B22" s="216" t="inlineStr">
        <is>
          <t>Накладные расходы, руб.</t>
        </is>
      </c>
      <c r="C22" s="217">
        <f>ROUND(C23*(C11+C15),2)</f>
        <v/>
      </c>
      <c r="D22" s="218">
        <f>C22/$C$24</f>
        <v/>
      </c>
      <c r="E22" s="218">
        <f>C22/$C$40</f>
        <v/>
      </c>
    </row>
    <row r="23">
      <c r="B23" s="216" t="inlineStr">
        <is>
          <t>Накладные расходы, %</t>
        </is>
      </c>
      <c r="C23" s="220">
        <f>'Прил.5 Расчет СМР и ОБ'!D42</f>
        <v/>
      </c>
      <c r="D23" s="218" t="n"/>
      <c r="E23" s="216" t="n"/>
    </row>
    <row r="24">
      <c r="B24" s="216" t="inlineStr">
        <is>
          <t>ВСЕГО СМР с НР и СП</t>
        </is>
      </c>
      <c r="C24" s="217">
        <f>C19+C20+C22</f>
        <v/>
      </c>
      <c r="D24" s="218">
        <f>C24/$C$24</f>
        <v/>
      </c>
      <c r="E24" s="218">
        <f>C24/$C$40</f>
        <v/>
      </c>
    </row>
    <row r="25" ht="25.5" customHeight="1" s="311">
      <c r="B25" s="216" t="inlineStr">
        <is>
          <t>ВСЕГО стоимость оборудования, в том числе</t>
        </is>
      </c>
      <c r="C25" s="217">
        <f>'Прил.5 Расчет СМР и ОБ'!J29</f>
        <v/>
      </c>
      <c r="D25" s="218" t="n"/>
      <c r="E25" s="218">
        <f>C25/$C$40</f>
        <v/>
      </c>
    </row>
    <row r="26" ht="25.5" customHeight="1" s="311">
      <c r="B26" s="216" t="inlineStr">
        <is>
          <t>стоимость оборудования технологического</t>
        </is>
      </c>
      <c r="C26" s="217">
        <f>'Прил.5 Расчет СМР и ОБ'!J30</f>
        <v/>
      </c>
      <c r="D26" s="218" t="n"/>
      <c r="E26" s="218">
        <f>C26/$C$40</f>
        <v/>
      </c>
    </row>
    <row r="27">
      <c r="B27" s="216" t="inlineStr">
        <is>
          <t>ИТОГО (СМР + ОБОРУДОВАНИЕ)</t>
        </is>
      </c>
      <c r="C27" s="153">
        <f>C24+C25</f>
        <v/>
      </c>
      <c r="D27" s="218" t="n"/>
      <c r="E27" s="218">
        <f>C27/$C$40</f>
        <v/>
      </c>
    </row>
    <row r="28" ht="33" customHeight="1" s="311">
      <c r="B28" s="216" t="inlineStr">
        <is>
          <t>ПРОЧ. ЗАТР., УЧТЕННЫЕ ПОКАЗАТЕЛЕМ,  в том числе</t>
        </is>
      </c>
      <c r="C28" s="216" t="n"/>
      <c r="D28" s="216" t="n"/>
      <c r="E28" s="216" t="n"/>
      <c r="F28" s="221" t="n"/>
    </row>
    <row r="29" ht="25.5" customHeight="1" s="311">
      <c r="B29" s="216" t="inlineStr">
        <is>
          <t>Временные здания и сооружения - 2,5%</t>
        </is>
      </c>
      <c r="C29" s="153">
        <f>ROUND(C24*2.5%,2)</f>
        <v/>
      </c>
      <c r="D29" s="216" t="n"/>
      <c r="E29" s="218">
        <f>C29/$C$40</f>
        <v/>
      </c>
    </row>
    <row r="30" ht="38.25" customHeight="1" s="311">
      <c r="B30" s="216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216" t="n"/>
      <c r="E30" s="218">
        <f>C30/$C$40</f>
        <v/>
      </c>
      <c r="F30" s="221" t="n"/>
    </row>
    <row r="31">
      <c r="B31" s="216" t="inlineStr">
        <is>
          <t>Пусконаладочные работы</t>
        </is>
      </c>
      <c r="C31" s="153" t="n">
        <v>0</v>
      </c>
      <c r="D31" s="216" t="n"/>
      <c r="E31" s="218">
        <f>C31/$C$40</f>
        <v/>
      </c>
    </row>
    <row r="32" ht="25.5" customHeight="1" s="311">
      <c r="B32" s="216" t="inlineStr">
        <is>
          <t>Затраты по перевозке работников к месту работы и обратно</t>
        </is>
      </c>
      <c r="C32" s="153">
        <f>ROUND(C27*0%,2)</f>
        <v/>
      </c>
      <c r="D32" s="216" t="n"/>
      <c r="E32" s="218">
        <f>C32/$C$40</f>
        <v/>
      </c>
    </row>
    <row r="33" ht="25.5" customHeight="1" s="311">
      <c r="B33" s="216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216" t="n"/>
      <c r="E33" s="218">
        <f>C33/$C$40</f>
        <v/>
      </c>
    </row>
    <row r="34" ht="51" customHeight="1" s="311">
      <c r="B34" s="2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216" t="n"/>
      <c r="E34" s="218">
        <f>C34/$C$40</f>
        <v/>
      </c>
      <c r="H34" s="222" t="n"/>
    </row>
    <row r="35" ht="76.5" customHeight="1" s="311">
      <c r="B35" s="2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216" t="n"/>
      <c r="E35" s="218">
        <f>C35/$C$40</f>
        <v/>
      </c>
    </row>
    <row r="36" ht="25.5" customHeight="1" s="311">
      <c r="B36" s="216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216" t="n"/>
      <c r="E36" s="218">
        <f>C36/$C$40</f>
        <v/>
      </c>
      <c r="L36" s="221" t="n"/>
    </row>
    <row r="37">
      <c r="B37" s="216" t="inlineStr">
        <is>
          <t>Авторский надзор - 0,2%</t>
        </is>
      </c>
      <c r="C37" s="153">
        <f>ROUND((C27+C32+C33+C34+C35+C29+C31+C30)*0.2%,2)</f>
        <v/>
      </c>
      <c r="D37" s="216" t="n"/>
      <c r="E37" s="218">
        <f>C37/$C$40</f>
        <v/>
      </c>
      <c r="L37" s="221" t="n"/>
    </row>
    <row r="38" ht="38.25" customHeight="1" s="311">
      <c r="B38" s="216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16" t="n"/>
      <c r="E38" s="218">
        <f>C38/$C$40</f>
        <v/>
      </c>
    </row>
    <row r="39" ht="13.5" customHeight="1" s="311">
      <c r="B39" s="216" t="inlineStr">
        <is>
          <t>Непредвиденные расходы</t>
        </is>
      </c>
      <c r="C39" s="217">
        <f>ROUND(C38*3%,2)</f>
        <v/>
      </c>
      <c r="D39" s="216" t="n"/>
      <c r="E39" s="218">
        <f>C39/$C$38</f>
        <v/>
      </c>
    </row>
    <row r="40">
      <c r="B40" s="216" t="inlineStr">
        <is>
          <t>ВСЕГО:</t>
        </is>
      </c>
      <c r="C40" s="217">
        <f>C39+C38</f>
        <v/>
      </c>
      <c r="D40" s="216" t="n"/>
      <c r="E40" s="218">
        <f>C40/$C$40</f>
        <v/>
      </c>
    </row>
    <row r="41">
      <c r="B41" s="216" t="inlineStr">
        <is>
          <t>ИТОГО ПОКАЗАТЕЛЬ НА ЕД. ИЗМ.</t>
        </is>
      </c>
      <c r="C41" s="217">
        <f>C40/'Прил.5 Расчет СМР и ОБ'!E46</f>
        <v/>
      </c>
      <c r="D41" s="216" t="n"/>
      <c r="E41" s="216" t="n"/>
      <c r="G41" s="221" t="n"/>
    </row>
    <row r="42">
      <c r="B42" s="160" t="n"/>
      <c r="C42" s="294" t="n"/>
      <c r="D42" s="294" t="n"/>
      <c r="E42" s="294" t="n"/>
      <c r="G42" s="221" t="n"/>
    </row>
    <row r="43">
      <c r="B43" s="160" t="inlineStr">
        <is>
          <t>Составил ____________________________ Д.Ю. Нефедова</t>
        </is>
      </c>
      <c r="C43" s="294" t="n"/>
      <c r="D43" s="294" t="n"/>
      <c r="E43" s="294" t="n"/>
      <c r="G43" s="222" t="n"/>
    </row>
    <row r="44">
      <c r="B44" s="160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160" t="n"/>
      <c r="C45" s="294" t="n"/>
      <c r="D45" s="294" t="n"/>
      <c r="E45" s="294" t="n"/>
    </row>
    <row r="46">
      <c r="B46" s="160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6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zoomScaleSheetLayoutView="100" workbookViewId="0">
      <selection activeCell="M18" sqref="M18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9.140625" customWidth="1" style="295" min="12" max="12"/>
    <col width="9.140625" customWidth="1" style="311" min="13" max="13"/>
  </cols>
  <sheetData>
    <row r="1" s="311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11">
      <c r="A2" s="295" t="n"/>
      <c r="B2" s="295" t="n"/>
      <c r="C2" s="295" t="n"/>
      <c r="D2" s="295" t="n"/>
      <c r="E2" s="295" t="n"/>
      <c r="F2" s="295" t="n"/>
      <c r="G2" s="295" t="n"/>
      <c r="H2" s="357" t="inlineStr">
        <is>
          <t>Приложение №5</t>
        </is>
      </c>
      <c r="K2" s="295" t="n"/>
      <c r="L2" s="295" t="n"/>
      <c r="M2" s="295" t="n"/>
      <c r="N2" s="295" t="n"/>
    </row>
    <row r="3" s="311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4">
      <c r="A4" s="333" t="inlineStr">
        <is>
          <t>Расчет стоимости СМР и оборудования</t>
        </is>
      </c>
    </row>
    <row r="5" ht="12.75" customFormat="1" customHeight="1" s="294">
      <c r="A5" s="333" t="n"/>
      <c r="B5" s="333" t="n"/>
      <c r="C5" s="384" t="n"/>
      <c r="D5" s="333" t="n"/>
      <c r="E5" s="333" t="n"/>
      <c r="F5" s="333" t="n"/>
      <c r="G5" s="333" t="n"/>
      <c r="H5" s="333" t="n"/>
      <c r="I5" s="333" t="n"/>
      <c r="J5" s="333" t="n"/>
    </row>
    <row r="6" ht="27.75" customFormat="1" customHeight="1" s="294">
      <c r="A6" s="228" t="inlineStr">
        <is>
          <t>Наименование разрабатываемого показателя УНЦ</t>
        </is>
      </c>
      <c r="B6" s="229" t="n"/>
      <c r="C6" s="229" t="n"/>
      <c r="D6" s="363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294">
      <c r="A7" s="336" t="inlineStr">
        <is>
          <t>Единица измерения  — 1 км КЛ</t>
        </is>
      </c>
      <c r="I7" s="355" t="n"/>
      <c r="J7" s="355" t="n"/>
    </row>
    <row r="8" ht="13.5" customFormat="1" customHeight="1" s="294">
      <c r="A8" s="336" t="n"/>
    </row>
    <row r="9" ht="27" customHeight="1" s="311">
      <c r="A9" s="360" t="inlineStr">
        <is>
          <t>№ пп.</t>
        </is>
      </c>
      <c r="B9" s="360" t="inlineStr">
        <is>
          <t>Код ресурса</t>
        </is>
      </c>
      <c r="C9" s="360" t="inlineStr">
        <is>
          <t>Наименование</t>
        </is>
      </c>
      <c r="D9" s="360" t="inlineStr">
        <is>
          <t>Ед. изм.</t>
        </is>
      </c>
      <c r="E9" s="360" t="inlineStr">
        <is>
          <t>Кол-во единиц по проектным данным</t>
        </is>
      </c>
      <c r="F9" s="360" t="inlineStr">
        <is>
          <t>Сметная стоимость в ценах на 01.01.2000 (руб.)</t>
        </is>
      </c>
      <c r="G9" s="429" t="n"/>
      <c r="H9" s="360" t="inlineStr">
        <is>
          <t>Удельный вес, %</t>
        </is>
      </c>
      <c r="I9" s="360" t="inlineStr">
        <is>
          <t>Сметная стоимость в ценах на 01.01.2023 (руб.)</t>
        </is>
      </c>
      <c r="J9" s="429" t="n"/>
      <c r="K9" s="295" t="n"/>
      <c r="L9" s="295" t="n"/>
      <c r="M9" s="295" t="n"/>
      <c r="N9" s="295" t="n"/>
    </row>
    <row r="10" ht="28.5" customHeight="1" s="311">
      <c r="A10" s="431" t="n"/>
      <c r="B10" s="431" t="n"/>
      <c r="C10" s="431" t="n"/>
      <c r="D10" s="431" t="n"/>
      <c r="E10" s="431" t="n"/>
      <c r="F10" s="360" t="inlineStr">
        <is>
          <t>на ед. изм.</t>
        </is>
      </c>
      <c r="G10" s="360" t="inlineStr">
        <is>
          <t>общая</t>
        </is>
      </c>
      <c r="H10" s="431" t="n"/>
      <c r="I10" s="360" t="inlineStr">
        <is>
          <t>на ед. изм.</t>
        </is>
      </c>
      <c r="J10" s="360" t="inlineStr">
        <is>
          <t>общая</t>
        </is>
      </c>
      <c r="K10" s="295" t="n"/>
      <c r="L10" s="295" t="n"/>
      <c r="M10" s="295" t="n"/>
      <c r="N10" s="295" t="n"/>
    </row>
    <row r="11" s="311">
      <c r="A11" s="360" t="n">
        <v>1</v>
      </c>
      <c r="B11" s="360" t="n">
        <v>2</v>
      </c>
      <c r="C11" s="360" t="n">
        <v>3</v>
      </c>
      <c r="D11" s="360" t="n">
        <v>4</v>
      </c>
      <c r="E11" s="360" t="n">
        <v>5</v>
      </c>
      <c r="F11" s="360" t="n">
        <v>6</v>
      </c>
      <c r="G11" s="360" t="n">
        <v>7</v>
      </c>
      <c r="H11" s="360" t="n">
        <v>8</v>
      </c>
      <c r="I11" s="361" t="n">
        <v>9</v>
      </c>
      <c r="J11" s="361" t="n">
        <v>10</v>
      </c>
      <c r="K11" s="295" t="n"/>
      <c r="L11" s="295" t="n"/>
      <c r="M11" s="295" t="n"/>
      <c r="N11" s="295" t="n"/>
    </row>
    <row r="12">
      <c r="A12" s="360" t="n"/>
      <c r="B12" s="346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255" t="n"/>
      <c r="J12" s="255" t="n"/>
    </row>
    <row r="13" ht="25.5" customHeight="1" s="311">
      <c r="A13" s="360" t="n">
        <v>1</v>
      </c>
      <c r="B13" s="242" t="inlineStr">
        <is>
          <t>1-2-4</t>
        </is>
      </c>
      <c r="C13" s="368" t="inlineStr">
        <is>
          <t>Затраты труда рабочих-строителей среднего разряда (2,4)</t>
        </is>
      </c>
      <c r="D13" s="360" t="inlineStr">
        <is>
          <t>чел.-ч.</t>
        </is>
      </c>
      <c r="E13" s="437">
        <f>G13/F13</f>
        <v/>
      </c>
      <c r="F13" s="251" t="n">
        <v>8.09</v>
      </c>
      <c r="G13" s="251">
        <f>Прил.3!H12</f>
        <v/>
      </c>
      <c r="H13" s="250">
        <f>G13/G14</f>
        <v/>
      </c>
      <c r="I13" s="251">
        <f>ФОТр.тек.!E13</f>
        <v/>
      </c>
      <c r="J13" s="251">
        <f>ROUND(I13*E13,2)</f>
        <v/>
      </c>
    </row>
    <row r="14" ht="25.5" customFormat="1" customHeight="1" s="295">
      <c r="A14" s="360" t="n"/>
      <c r="B14" s="360" t="n"/>
      <c r="C14" s="346" t="inlineStr">
        <is>
          <t>Итого по разделу "Затраты труда рабочих-строителей"</t>
        </is>
      </c>
      <c r="D14" s="360" t="inlineStr">
        <is>
          <t>чел.-ч.</t>
        </is>
      </c>
      <c r="E14" s="437">
        <f>SUM(E13)</f>
        <v/>
      </c>
      <c r="F14" s="251" t="n"/>
      <c r="G14" s="251">
        <f>SUM(G13:G13)</f>
        <v/>
      </c>
      <c r="H14" s="371" t="n">
        <v>1</v>
      </c>
      <c r="I14" s="255" t="n"/>
      <c r="J14" s="251">
        <f>SUM(J13:J13)</f>
        <v/>
      </c>
    </row>
    <row r="15" ht="14.25" customFormat="1" customHeight="1" s="295">
      <c r="A15" s="360" t="n"/>
      <c r="B15" s="368" t="inlineStr">
        <is>
          <t>Затраты труда машинистов</t>
        </is>
      </c>
      <c r="C15" s="428" t="n"/>
      <c r="D15" s="428" t="n"/>
      <c r="E15" s="428" t="n"/>
      <c r="F15" s="428" t="n"/>
      <c r="G15" s="428" t="n"/>
      <c r="H15" s="429" t="n"/>
      <c r="I15" s="255" t="n"/>
      <c r="J15" s="255" t="n"/>
    </row>
    <row r="16" ht="14.25" customFormat="1" customHeight="1" s="295">
      <c r="A16" s="360" t="n">
        <v>2</v>
      </c>
      <c r="B16" s="360" t="n">
        <v>2</v>
      </c>
      <c r="C16" s="368" t="inlineStr">
        <is>
          <t>Затраты труда машинистов</t>
        </is>
      </c>
      <c r="D16" s="360" t="inlineStr">
        <is>
          <t>чел.-ч.</t>
        </is>
      </c>
      <c r="E16" s="437" t="n">
        <v>21.53</v>
      </c>
      <c r="F16" s="251">
        <f>G16/E16</f>
        <v/>
      </c>
      <c r="G16" s="251">
        <f>Прил.3!H16</f>
        <v/>
      </c>
      <c r="H16" s="371" t="n">
        <v>1</v>
      </c>
      <c r="I16" s="251">
        <f>ROUND(F16*Прил.10!D11,2)</f>
        <v/>
      </c>
      <c r="J16" s="251">
        <f>ROUND(I16*E16,2)</f>
        <v/>
      </c>
    </row>
    <row r="17" ht="14.25" customFormat="1" customHeight="1" s="295">
      <c r="A17" s="360" t="n"/>
      <c r="B17" s="346" t="inlineStr">
        <is>
          <t>Машины и механизмы</t>
        </is>
      </c>
      <c r="C17" s="428" t="n"/>
      <c r="D17" s="428" t="n"/>
      <c r="E17" s="428" t="n"/>
      <c r="F17" s="428" t="n"/>
      <c r="G17" s="428" t="n"/>
      <c r="H17" s="429" t="n"/>
      <c r="I17" s="255" t="n"/>
      <c r="J17" s="255" t="n"/>
    </row>
    <row r="18" ht="14.25" customFormat="1" customHeight="1" s="295">
      <c r="A18" s="360" t="n"/>
      <c r="B18" s="368" t="inlineStr">
        <is>
          <t>Основные 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55" t="n"/>
      <c r="J18" s="255" t="n"/>
    </row>
    <row r="19" ht="14.25" customFormat="1" customHeight="1" s="295">
      <c r="A19" s="360" t="n">
        <v>3</v>
      </c>
      <c r="B19" s="242" t="inlineStr">
        <is>
          <t>91.13.01-038</t>
        </is>
      </c>
      <c r="C19" s="368" t="inlineStr">
        <is>
          <t>Машины поливомоечные 6000 л</t>
        </is>
      </c>
      <c r="D19" s="360" t="inlineStr">
        <is>
          <t>маш.-ч</t>
        </is>
      </c>
      <c r="E19" s="437" t="n">
        <v>21.33</v>
      </c>
      <c r="F19" s="370" t="n">
        <v>110</v>
      </c>
      <c r="G19" s="251">
        <f>ROUND(E19*F19,2)</f>
        <v/>
      </c>
      <c r="H19" s="250">
        <f>G19/$G$24</f>
        <v/>
      </c>
      <c r="I19" s="251">
        <f>ROUND(F19*Прил.10!$D$12,2)</f>
        <v/>
      </c>
      <c r="J19" s="251">
        <f>ROUND(I19*E19,2)</f>
        <v/>
      </c>
    </row>
    <row r="20" ht="14.25" customFormat="1" customHeight="1" s="295">
      <c r="A20" s="360" t="n"/>
      <c r="B20" s="360" t="n"/>
      <c r="C20" s="368" t="inlineStr">
        <is>
          <t>Итого основные машины и механизмы</t>
        </is>
      </c>
      <c r="D20" s="360" t="n"/>
      <c r="E20" s="437" t="n"/>
      <c r="F20" s="251" t="n"/>
      <c r="G20" s="251">
        <f>SUM(G19:G19)</f>
        <v/>
      </c>
      <c r="H20" s="371">
        <f>G20/G24</f>
        <v/>
      </c>
      <c r="I20" s="258" t="n"/>
      <c r="J20" s="251">
        <f>SUM(J19:J19)</f>
        <v/>
      </c>
    </row>
    <row r="21" hidden="1" outlineLevel="1" ht="25.5" customFormat="1" customHeight="1" s="295">
      <c r="A21" s="360" t="n">
        <v>4</v>
      </c>
      <c r="B21" s="242" t="inlineStr">
        <is>
          <t>91.15.03-014</t>
        </is>
      </c>
      <c r="C21" s="368" t="inlineStr">
        <is>
          <t>Тракторы на пневмоколесном ходу, мощность 59 кВт (80 л.с.)</t>
        </is>
      </c>
      <c r="D21" s="360" t="inlineStr">
        <is>
          <t>маш.-ч</t>
        </is>
      </c>
      <c r="E21" s="437" t="n">
        <v>0.2</v>
      </c>
      <c r="F21" s="370" t="n">
        <v>74.61</v>
      </c>
      <c r="G21" s="251">
        <f>ROUND(E21*F21,2)</f>
        <v/>
      </c>
      <c r="H21" s="250">
        <f>G21/$G$24</f>
        <v/>
      </c>
      <c r="I21" s="251">
        <f>ROUND(F21*Прил.10!$D$12,2)</f>
        <v/>
      </c>
      <c r="J21" s="251">
        <f>ROUND(I21*E21,2)</f>
        <v/>
      </c>
    </row>
    <row r="22" hidden="1" outlineLevel="1" ht="14.25" customFormat="1" customHeight="1" s="295">
      <c r="A22" s="360" t="n">
        <v>5</v>
      </c>
      <c r="B22" s="242" t="inlineStr">
        <is>
          <t>91.12.08-051</t>
        </is>
      </c>
      <c r="C22" s="368" t="inlineStr">
        <is>
          <t>Катки прицепные кольчатые 1 т</t>
        </is>
      </c>
      <c r="D22" s="360" t="inlineStr">
        <is>
          <t>маш.-ч</t>
        </is>
      </c>
      <c r="E22" s="437" t="n">
        <v>0.41</v>
      </c>
      <c r="F22" s="370" t="n">
        <v>9.619999999999999</v>
      </c>
      <c r="G22" s="251">
        <f>ROUND(E22*F22,2)</f>
        <v/>
      </c>
      <c r="H22" s="250">
        <f>G22/$G$24</f>
        <v/>
      </c>
      <c r="I22" s="251">
        <f>ROUND(F22*Прил.10!$D$12,2)</f>
        <v/>
      </c>
      <c r="J22" s="251">
        <f>ROUND(I22*E22,2)</f>
        <v/>
      </c>
    </row>
    <row r="23" collapsed="1" ht="14.25" customFormat="1" customHeight="1" s="295">
      <c r="A23" s="360" t="n"/>
      <c r="B23" s="360" t="n"/>
      <c r="C23" s="368" t="inlineStr">
        <is>
          <t>Итого прочие машины и механизмы</t>
        </is>
      </c>
      <c r="D23" s="360" t="n"/>
      <c r="E23" s="369" t="n"/>
      <c r="F23" s="251" t="n"/>
      <c r="G23" s="258">
        <f>SUM(G21:G22)</f>
        <v/>
      </c>
      <c r="H23" s="250">
        <f>G23/G24</f>
        <v/>
      </c>
      <c r="I23" s="251" t="n"/>
      <c r="J23" s="251">
        <f>SUM(J21:J22)</f>
        <v/>
      </c>
    </row>
    <row r="24" ht="25.5" customFormat="1" customHeight="1" s="295">
      <c r="A24" s="360" t="n"/>
      <c r="B24" s="360" t="n"/>
      <c r="C24" s="346" t="inlineStr">
        <is>
          <t>Итого по разделу «Машины и механизмы»</t>
        </is>
      </c>
      <c r="D24" s="360" t="n"/>
      <c r="E24" s="369" t="n"/>
      <c r="F24" s="251" t="n"/>
      <c r="G24" s="251">
        <f>G23+G20</f>
        <v/>
      </c>
      <c r="H24" s="252" t="n">
        <v>1</v>
      </c>
      <c r="I24" s="253" t="n"/>
      <c r="J24" s="273">
        <f>J23+J20</f>
        <v/>
      </c>
    </row>
    <row r="25" ht="14.25" customFormat="1" customHeight="1" s="295">
      <c r="A25" s="360" t="n"/>
      <c r="B25" s="346" t="inlineStr">
        <is>
          <t>Оборудование</t>
        </is>
      </c>
      <c r="C25" s="428" t="n"/>
      <c r="D25" s="428" t="n"/>
      <c r="E25" s="428" t="n"/>
      <c r="F25" s="428" t="n"/>
      <c r="G25" s="428" t="n"/>
      <c r="H25" s="429" t="n"/>
      <c r="I25" s="255" t="n"/>
      <c r="J25" s="255" t="n"/>
    </row>
    <row r="26">
      <c r="A26" s="360" t="n"/>
      <c r="B26" s="368" t="inlineStr">
        <is>
          <t>Основное оборудование</t>
        </is>
      </c>
      <c r="C26" s="428" t="n"/>
      <c r="D26" s="428" t="n"/>
      <c r="E26" s="428" t="n"/>
      <c r="F26" s="428" t="n"/>
      <c r="G26" s="428" t="n"/>
      <c r="H26" s="429" t="n"/>
      <c r="I26" s="255" t="n"/>
      <c r="J26" s="255" t="n"/>
      <c r="K26" s="295" t="n"/>
      <c r="L26" s="295" t="n"/>
    </row>
    <row r="27">
      <c r="A27" s="360" t="n"/>
      <c r="B27" s="360" t="n"/>
      <c r="C27" s="368" t="inlineStr">
        <is>
          <t>Итого основное оборудование</t>
        </is>
      </c>
      <c r="D27" s="360" t="n"/>
      <c r="E27" s="438" t="n"/>
      <c r="F27" s="370" t="n"/>
      <c r="G27" s="251" t="n">
        <v>0</v>
      </c>
      <c r="H27" s="250" t="n">
        <v>0</v>
      </c>
      <c r="I27" s="258" t="n"/>
      <c r="J27" s="251" t="n">
        <v>0</v>
      </c>
      <c r="K27" s="295" t="n"/>
      <c r="L27" s="295" t="n"/>
    </row>
    <row r="28">
      <c r="A28" s="360" t="n"/>
      <c r="B28" s="360" t="n"/>
      <c r="C28" s="368" t="inlineStr">
        <is>
          <t>Итого прочее оборудование</t>
        </is>
      </c>
      <c r="D28" s="360" t="n"/>
      <c r="E28" s="437" t="n"/>
      <c r="F28" s="370" t="n"/>
      <c r="G28" s="251" t="n">
        <v>0</v>
      </c>
      <c r="H28" s="250" t="n">
        <v>0</v>
      </c>
      <c r="I28" s="258" t="n"/>
      <c r="J28" s="251" t="n">
        <v>0</v>
      </c>
      <c r="K28" s="295" t="n"/>
      <c r="L28" s="295" t="n"/>
    </row>
    <row r="29">
      <c r="A29" s="360" t="n"/>
      <c r="B29" s="360" t="n"/>
      <c r="C29" s="346" t="inlineStr">
        <is>
          <t>Итого по разделу «Оборудование»</t>
        </is>
      </c>
      <c r="D29" s="360" t="n"/>
      <c r="E29" s="369" t="n"/>
      <c r="F29" s="370" t="n"/>
      <c r="G29" s="251">
        <f>G27+G28</f>
        <v/>
      </c>
      <c r="H29" s="250" t="n">
        <v>0</v>
      </c>
      <c r="I29" s="258" t="n"/>
      <c r="J29" s="251">
        <f>J28+J27</f>
        <v/>
      </c>
      <c r="K29" s="295" t="n"/>
      <c r="L29" s="295" t="n"/>
    </row>
    <row r="30" ht="25.5" customHeight="1" s="311">
      <c r="A30" s="360" t="n"/>
      <c r="B30" s="360" t="n"/>
      <c r="C30" s="368" t="inlineStr">
        <is>
          <t>в том числе технологическое оборудование</t>
        </is>
      </c>
      <c r="D30" s="360" t="n"/>
      <c r="E30" s="438" t="n"/>
      <c r="F30" s="370" t="n"/>
      <c r="G30" s="251">
        <f>'Прил.6 Расчет ОБ'!G12</f>
        <v/>
      </c>
      <c r="H30" s="371" t="n"/>
      <c r="I30" s="258" t="n"/>
      <c r="J30" s="251">
        <f>J29</f>
        <v/>
      </c>
      <c r="K30" s="295" t="n"/>
      <c r="L30" s="295" t="n"/>
    </row>
    <row r="31" ht="14.25" customFormat="1" customHeight="1" s="295">
      <c r="A31" s="360" t="n"/>
      <c r="B31" s="346" t="inlineStr">
        <is>
          <t>Материалы</t>
        </is>
      </c>
      <c r="C31" s="428" t="n"/>
      <c r="D31" s="428" t="n"/>
      <c r="E31" s="428" t="n"/>
      <c r="F31" s="428" t="n"/>
      <c r="G31" s="428" t="n"/>
      <c r="H31" s="429" t="n"/>
      <c r="I31" s="255" t="n"/>
      <c r="J31" s="255" t="n"/>
    </row>
    <row r="32" ht="14.25" customFormat="1" customHeight="1" s="295">
      <c r="A32" s="361" t="n"/>
      <c r="B32" s="364" t="inlineStr">
        <is>
          <t>Основные материалы</t>
        </is>
      </c>
      <c r="C32" s="439" t="n"/>
      <c r="D32" s="439" t="n"/>
      <c r="E32" s="439" t="n"/>
      <c r="F32" s="439" t="n"/>
      <c r="G32" s="439" t="n"/>
      <c r="H32" s="440" t="n"/>
      <c r="I32" s="263" t="n"/>
      <c r="J32" s="263" t="n"/>
    </row>
    <row r="33" ht="25.5" customFormat="1" customHeight="1" s="295">
      <c r="A33" s="360" t="n">
        <v>6</v>
      </c>
      <c r="B33" s="360" t="inlineStr">
        <is>
          <t>16.2.01.02-0002</t>
        </is>
      </c>
      <c r="C33" s="368" t="inlineStr">
        <is>
          <t>Земля растительная механизированной заготовки</t>
        </is>
      </c>
      <c r="D33" s="360" t="inlineStr">
        <is>
          <t>м3</t>
        </is>
      </c>
      <c r="E33" s="438" t="n">
        <v>46.85</v>
      </c>
      <c r="F33" s="370" t="n">
        <v>131.9</v>
      </c>
      <c r="G33" s="251">
        <f>ROUND(E33*F33,2)</f>
        <v/>
      </c>
      <c r="H33" s="250">
        <f>G33/$G$40</f>
        <v/>
      </c>
      <c r="I33" s="251">
        <f>ROUND(F33*Прил.10!$D$13,2)</f>
        <v/>
      </c>
      <c r="J33" s="251">
        <f>ROUND(I33*E33,2)</f>
        <v/>
      </c>
    </row>
    <row r="34" ht="14.25" customFormat="1" customHeight="1" s="295">
      <c r="A34" s="360" t="n">
        <v>7</v>
      </c>
      <c r="B34" s="360" t="inlineStr">
        <is>
          <t>16.2.01.02-0001</t>
        </is>
      </c>
      <c r="C34" s="368" t="inlineStr">
        <is>
          <t>Земля растительная</t>
        </is>
      </c>
      <c r="D34" s="360" t="inlineStr">
        <is>
          <t>м3</t>
        </is>
      </c>
      <c r="E34" s="438" t="n">
        <v>31.330386</v>
      </c>
      <c r="F34" s="370" t="n">
        <v>135.6</v>
      </c>
      <c r="G34" s="251">
        <f>ROUND(E34*F34,2)</f>
        <v/>
      </c>
      <c r="H34" s="250">
        <f>G34/$G$40</f>
        <v/>
      </c>
      <c r="I34" s="251">
        <f>ROUND(F34*Прил.10!$D$13,2)</f>
        <v/>
      </c>
      <c r="J34" s="251">
        <f>ROUND(I34*E34,2)</f>
        <v/>
      </c>
    </row>
    <row r="35" ht="14.25" customFormat="1" customHeight="1" s="295">
      <c r="A35" s="360" t="n">
        <v>8</v>
      </c>
      <c r="B35" s="360" t="inlineStr">
        <is>
          <t>16.2.02.07-0161</t>
        </is>
      </c>
      <c r="C35" s="368" t="inlineStr">
        <is>
          <t>Семена газонных трав (смесь)</t>
        </is>
      </c>
      <c r="D35" s="360" t="inlineStr">
        <is>
          <t>кг</t>
        </is>
      </c>
      <c r="E35" s="438" t="n">
        <v>15.570055</v>
      </c>
      <c r="F35" s="370" t="n">
        <v>146.25</v>
      </c>
      <c r="G35" s="251">
        <f>ROUND(E35*F35,2)</f>
        <v/>
      </c>
      <c r="H35" s="250">
        <f>G35/$G$40</f>
        <v/>
      </c>
      <c r="I35" s="251">
        <f>ROUND(F35*Прил.10!$D$13,2)</f>
        <v/>
      </c>
      <c r="J35" s="251">
        <f>ROUND(I35*E35,2)</f>
        <v/>
      </c>
    </row>
    <row r="36" ht="14.25" customFormat="1" customHeight="1" s="295">
      <c r="A36" s="362" t="n"/>
      <c r="B36" s="268" t="n"/>
      <c r="C36" s="269" t="inlineStr">
        <is>
          <t>Итого основные материалы</t>
        </is>
      </c>
      <c r="D36" s="362" t="n"/>
      <c r="E36" s="441" t="n"/>
      <c r="F36" s="273" t="n"/>
      <c r="G36" s="273">
        <f>SUM(G33:G35)</f>
        <v/>
      </c>
      <c r="H36" s="250">
        <f>G36/$G$40</f>
        <v/>
      </c>
      <c r="I36" s="251" t="n"/>
      <c r="J36" s="273">
        <f>SUM(J33:J35)</f>
        <v/>
      </c>
    </row>
    <row r="37" hidden="1" outlineLevel="1" ht="14.25" customFormat="1" customHeight="1" s="295">
      <c r="A37" s="360" t="n">
        <v>9</v>
      </c>
      <c r="B37" s="360" t="inlineStr">
        <is>
          <t>01.7.03.01-0001</t>
        </is>
      </c>
      <c r="C37" s="368" t="inlineStr">
        <is>
          <t>Вода</t>
        </is>
      </c>
      <c r="D37" s="360" t="inlineStr">
        <is>
          <t>м3</t>
        </is>
      </c>
      <c r="E37" s="438" t="n">
        <v>77.81999999999999</v>
      </c>
      <c r="F37" s="370" t="n">
        <v>2.44</v>
      </c>
      <c r="G37" s="251">
        <f>ROUND(E37*F37,2)</f>
        <v/>
      </c>
      <c r="H37" s="250">
        <f>G37/$G$40</f>
        <v/>
      </c>
      <c r="I37" s="251">
        <f>ROUND(F37*Прил.10!$D$13,2)</f>
        <v/>
      </c>
      <c r="J37" s="251">
        <f>ROUND(I37*E37,2)</f>
        <v/>
      </c>
    </row>
    <row r="38" hidden="1" outlineLevel="1" ht="25.5" customFormat="1" customHeight="1" s="295">
      <c r="A38" s="360" t="n">
        <v>10</v>
      </c>
      <c r="B38" s="360" t="inlineStr">
        <is>
          <t>16.3.02.01-0002</t>
        </is>
      </c>
      <c r="C38" s="368" t="inlineStr">
        <is>
          <t>Удобрение комплексное на основе диаммонийфосфата</t>
        </is>
      </c>
      <c r="D38" s="360" t="inlineStr">
        <is>
          <t>кг</t>
        </is>
      </c>
      <c r="E38" s="438" t="n">
        <v>19.465316</v>
      </c>
      <c r="F38" s="370" t="n">
        <v>5.22</v>
      </c>
      <c r="G38" s="251">
        <f>ROUND(E38*F38,2)</f>
        <v/>
      </c>
      <c r="H38" s="250">
        <f>G38/$G$40</f>
        <v/>
      </c>
      <c r="I38" s="251">
        <f>ROUND(F38*Прил.10!$D$13,2)</f>
        <v/>
      </c>
      <c r="J38" s="251">
        <f>ROUND(I38*E38,2)</f>
        <v/>
      </c>
    </row>
    <row r="39" collapsed="1" ht="14.25" customFormat="1" customHeight="1" s="295">
      <c r="A39" s="360" t="n"/>
      <c r="B39" s="360" t="n"/>
      <c r="C39" s="368" t="inlineStr">
        <is>
          <t>Итого прочие материалы</t>
        </is>
      </c>
      <c r="D39" s="360" t="n"/>
      <c r="E39" s="369" t="n"/>
      <c r="F39" s="370" t="n"/>
      <c r="G39" s="251">
        <f>SUM(G37:G38)</f>
        <v/>
      </c>
      <c r="H39" s="250">
        <f>G39/$G$40</f>
        <v/>
      </c>
      <c r="I39" s="251" t="n"/>
      <c r="J39" s="251">
        <f>SUM(J37:J38)</f>
        <v/>
      </c>
    </row>
    <row r="40" ht="14.25" customFormat="1" customHeight="1" s="295">
      <c r="A40" s="360" t="n"/>
      <c r="B40" s="360" t="n"/>
      <c r="C40" s="346" t="inlineStr">
        <is>
          <t>Итого по разделу «Материалы»</t>
        </is>
      </c>
      <c r="D40" s="360" t="n"/>
      <c r="E40" s="369" t="n"/>
      <c r="F40" s="370" t="n"/>
      <c r="G40" s="251">
        <f>G36+G39</f>
        <v/>
      </c>
      <c r="H40" s="371">
        <f>G40/$G$40</f>
        <v/>
      </c>
      <c r="I40" s="251" t="n"/>
      <c r="J40" s="251">
        <f>J36+J39</f>
        <v/>
      </c>
    </row>
    <row r="41" ht="14.25" customFormat="1" customHeight="1" s="295">
      <c r="A41" s="360" t="n"/>
      <c r="B41" s="360" t="n"/>
      <c r="C41" s="368" t="inlineStr">
        <is>
          <t>ИТОГО ПО РМ</t>
        </is>
      </c>
      <c r="D41" s="360" t="n"/>
      <c r="E41" s="369" t="n"/>
      <c r="F41" s="370" t="n"/>
      <c r="G41" s="251">
        <f>G14+G24+G40</f>
        <v/>
      </c>
      <c r="H41" s="371" t="n"/>
      <c r="I41" s="251" t="n"/>
      <c r="J41" s="251">
        <f>J14+J24+J40</f>
        <v/>
      </c>
    </row>
    <row r="42" ht="14.25" customFormat="1" customHeight="1" s="295">
      <c r="A42" s="360" t="n"/>
      <c r="B42" s="360" t="n"/>
      <c r="C42" s="368" t="inlineStr">
        <is>
          <t>Накладные расходы</t>
        </is>
      </c>
      <c r="D42" s="275">
        <f>ROUND(G42/(G$16+$G$14),2)</f>
        <v/>
      </c>
      <c r="E42" s="369" t="n"/>
      <c r="F42" s="370" t="n"/>
      <c r="G42" s="251" t="n">
        <v>3101.91</v>
      </c>
      <c r="H42" s="371" t="n"/>
      <c r="I42" s="251" t="n"/>
      <c r="J42" s="251">
        <f>ROUND(D42*(J14+J16),2)</f>
        <v/>
      </c>
    </row>
    <row r="43" ht="14.25" customFormat="1" customHeight="1" s="295">
      <c r="A43" s="360" t="n"/>
      <c r="B43" s="360" t="n"/>
      <c r="C43" s="368" t="inlineStr">
        <is>
          <t>Сметная прибыль</t>
        </is>
      </c>
      <c r="D43" s="275">
        <f>ROUND(G43/(G$14+G$16),2)</f>
        <v/>
      </c>
      <c r="E43" s="369" t="n"/>
      <c r="F43" s="370" t="n"/>
      <c r="G43" s="251" t="n">
        <v>2427.58</v>
      </c>
      <c r="H43" s="371" t="n"/>
      <c r="I43" s="251" t="n"/>
      <c r="J43" s="251">
        <f>ROUND(D43*(J14+J16),2)</f>
        <v/>
      </c>
    </row>
    <row r="44" ht="14.25" customFormat="1" customHeight="1" s="295">
      <c r="A44" s="360" t="n"/>
      <c r="B44" s="360" t="n"/>
      <c r="C44" s="368" t="inlineStr">
        <is>
          <t>Итого СМР (с НР и СП)</t>
        </is>
      </c>
      <c r="D44" s="360" t="n"/>
      <c r="E44" s="369" t="n"/>
      <c r="F44" s="370" t="n"/>
      <c r="G44" s="251">
        <f>G14+G24+G40+G42+G43</f>
        <v/>
      </c>
      <c r="H44" s="371" t="n"/>
      <c r="I44" s="251" t="n"/>
      <c r="J44" s="251">
        <f>J14+J24+J40+J42+J43</f>
        <v/>
      </c>
    </row>
    <row r="45" ht="14.25" customFormat="1" customHeight="1" s="295">
      <c r="A45" s="360" t="n"/>
      <c r="B45" s="360" t="n"/>
      <c r="C45" s="368" t="inlineStr">
        <is>
          <t>ВСЕГО СМР + ОБОРУДОВАНИЕ</t>
        </is>
      </c>
      <c r="D45" s="360" t="n"/>
      <c r="E45" s="369" t="n"/>
      <c r="F45" s="370" t="n"/>
      <c r="G45" s="251">
        <f>G44+G29</f>
        <v/>
      </c>
      <c r="H45" s="371" t="n"/>
      <c r="I45" s="251" t="n"/>
      <c r="J45" s="251">
        <f>J44+J29</f>
        <v/>
      </c>
    </row>
    <row r="46" ht="14.25" customFormat="1" customHeight="1" s="295">
      <c r="A46" s="360" t="n"/>
      <c r="B46" s="360" t="n"/>
      <c r="C46" s="368" t="inlineStr">
        <is>
          <t>ИТОГО ПОКАЗАТЕЛЬ НА ЕД. ИЗМ.</t>
        </is>
      </c>
      <c r="D46" s="360" t="inlineStr">
        <is>
          <t>1690 м2</t>
        </is>
      </c>
      <c r="E46" s="438" t="n">
        <v>0.2301775147929</v>
      </c>
      <c r="F46" s="370" t="n"/>
      <c r="G46" s="251">
        <f>G45/E46</f>
        <v/>
      </c>
      <c r="H46" s="371" t="n"/>
      <c r="I46" s="251" t="n"/>
      <c r="J46" s="251">
        <f>J45/E46</f>
        <v/>
      </c>
    </row>
    <row r="48" ht="14.25" customFormat="1" customHeight="1" s="295">
      <c r="A48" s="294" t="inlineStr">
        <is>
          <t>Составил ______________________    Д.Ю. Нефедова</t>
        </is>
      </c>
    </row>
    <row r="49" ht="14.25" customFormat="1" customHeight="1" s="295">
      <c r="A49" s="297" t="inlineStr">
        <is>
          <t xml:space="preserve">                         (подпись, инициалы, фамилия)</t>
        </is>
      </c>
    </row>
    <row r="50" ht="14.25" customFormat="1" customHeight="1" s="295">
      <c r="A50" s="294" t="n"/>
    </row>
    <row r="51" ht="14.25" customFormat="1" customHeight="1" s="295">
      <c r="A51" s="294" t="inlineStr">
        <is>
          <t>Проверил ______________________        А.В. Костянецкая</t>
        </is>
      </c>
    </row>
    <row r="52" ht="14.25" customFormat="1" customHeight="1" s="295">
      <c r="A52" s="297" t="inlineStr">
        <is>
          <t xml:space="preserve">                        (подпись, инициалы, фамилия)</t>
        </is>
      </c>
    </row>
    <row r="55">
      <c r="G55" s="442" t="n"/>
      <c r="H55" s="442" t="n"/>
      <c r="I55" s="442" t="n"/>
      <c r="J55" s="442" t="n"/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76" t="inlineStr">
        <is>
          <t>Приложение №6</t>
        </is>
      </c>
    </row>
    <row r="2" ht="21.75" customHeight="1" s="311">
      <c r="A2" s="376" t="n"/>
      <c r="B2" s="376" t="n"/>
      <c r="C2" s="376" t="n"/>
      <c r="D2" s="376" t="n"/>
      <c r="E2" s="376" t="n"/>
      <c r="F2" s="376" t="n"/>
      <c r="G2" s="376" t="n"/>
    </row>
    <row r="3">
      <c r="A3" s="333" t="inlineStr">
        <is>
          <t>Расчет стоимости оборудования</t>
        </is>
      </c>
    </row>
    <row r="4" ht="27" customHeight="1" s="311">
      <c r="A4" s="336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11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60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11">
      <c r="A9" s="216" t="n"/>
      <c r="B9" s="368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1">
      <c r="A10" s="360" t="n"/>
      <c r="B10" s="346" t="n"/>
      <c r="C10" s="368" t="inlineStr">
        <is>
          <t>ИТОГО ИНЖЕНЕРНОЕ ОБОРУДОВАНИЕ</t>
        </is>
      </c>
      <c r="D10" s="346" t="n"/>
      <c r="E10" s="167" t="n"/>
      <c r="F10" s="370" t="n"/>
      <c r="G10" s="370" t="n">
        <v>0</v>
      </c>
    </row>
    <row r="11">
      <c r="A11" s="360" t="n"/>
      <c r="B11" s="368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1">
      <c r="A12" s="360" t="n"/>
      <c r="B12" s="368" t="n"/>
      <c r="C12" s="368" t="inlineStr">
        <is>
          <t>ИТОГО ТЕХНОЛОГИЧЕСКОЕ ОБОРУДОВАНИЕ</t>
        </is>
      </c>
      <c r="D12" s="368" t="n"/>
      <c r="E12" s="380" t="n"/>
      <c r="F12" s="370" t="n"/>
      <c r="G12" s="251" t="n">
        <v>0</v>
      </c>
    </row>
    <row r="13" ht="19.5" customHeight="1" s="311">
      <c r="A13" s="360" t="n"/>
      <c r="B13" s="368" t="n"/>
      <c r="C13" s="368" t="inlineStr">
        <is>
          <t>Всего по разделу «Оборудование»</t>
        </is>
      </c>
      <c r="D13" s="368" t="n"/>
      <c r="E13" s="380" t="n"/>
      <c r="F13" s="370" t="n"/>
      <c r="G13" s="251">
        <f>G10+G12</f>
        <v/>
      </c>
    </row>
    <row r="14">
      <c r="A14" s="296" t="n"/>
      <c r="B14" s="172" t="n"/>
      <c r="C14" s="296" t="n"/>
      <c r="D14" s="296" t="n"/>
      <c r="E14" s="296" t="n"/>
      <c r="F14" s="296" t="n"/>
      <c r="G14" s="296" t="n"/>
    </row>
    <row r="15">
      <c r="A15" s="294" t="inlineStr">
        <is>
          <t>Составил ______________________    Д.Ю. Нефедова</t>
        </is>
      </c>
      <c r="B15" s="295" t="n"/>
      <c r="C15" s="295" t="n"/>
      <c r="D15" s="296" t="n"/>
      <c r="E15" s="296" t="n"/>
      <c r="F15" s="296" t="n"/>
      <c r="G15" s="296" t="n"/>
    </row>
    <row r="16">
      <c r="A16" s="297" t="inlineStr">
        <is>
          <t xml:space="preserve">                         (подпись, инициалы, фамилия)</t>
        </is>
      </c>
      <c r="B16" s="295" t="n"/>
      <c r="C16" s="295" t="n"/>
      <c r="D16" s="296" t="n"/>
      <c r="E16" s="296" t="n"/>
      <c r="F16" s="296" t="n"/>
      <c r="G16" s="296" t="n"/>
    </row>
    <row r="17">
      <c r="A17" s="294" t="n"/>
      <c r="B17" s="295" t="n"/>
      <c r="C17" s="295" t="n"/>
      <c r="D17" s="296" t="n"/>
      <c r="E17" s="296" t="n"/>
      <c r="F17" s="296" t="n"/>
      <c r="G17" s="296" t="n"/>
    </row>
    <row r="18">
      <c r="A18" s="294" t="inlineStr">
        <is>
          <t>Проверил ______________________        А.В. Костянецкая</t>
        </is>
      </c>
      <c r="B18" s="295" t="n"/>
      <c r="C18" s="295" t="n"/>
      <c r="D18" s="296" t="n"/>
      <c r="E18" s="296" t="n"/>
      <c r="F18" s="296" t="n"/>
      <c r="G18" s="296" t="n"/>
    </row>
    <row r="19">
      <c r="A19" s="297" t="inlineStr">
        <is>
          <t xml:space="preserve">                        (подпись, инициалы, фамилия)</t>
        </is>
      </c>
      <c r="B19" s="295" t="n"/>
      <c r="C19" s="295" t="n"/>
      <c r="D19" s="296" t="n"/>
      <c r="E19" s="296" t="n"/>
      <c r="F19" s="296" t="n"/>
      <c r="G19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311" min="1" max="1"/>
    <col width="22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288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63" customHeight="1" s="311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11">
      <c r="A6" s="313" t="inlineStr">
        <is>
          <t>Единица измерения  — 1 км КЛ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11">
      <c r="A10" s="345" t="n">
        <v>1</v>
      </c>
      <c r="B10" s="345" t="n">
        <v>2</v>
      </c>
      <c r="C10" s="345" t="n">
        <v>3</v>
      </c>
      <c r="D10" s="345" t="n">
        <v>4</v>
      </c>
    </row>
    <row r="11" ht="126" customHeight="1" s="311">
      <c r="A11" s="345" t="inlineStr">
        <is>
          <t>Б3-03</t>
        </is>
      </c>
      <c r="B11" s="345" t="inlineStr">
        <is>
          <t xml:space="preserve">УНЦ на устройство траншеи ВОК и восстановление благоустройства по трассе (для всех субъектов Российской Федерации) </t>
        </is>
      </c>
      <c r="C11" s="292">
        <f>D5</f>
        <v/>
      </c>
      <c r="D11" s="319">
        <f>'Прил.4 РМ'!C41/1000</f>
        <v/>
      </c>
    </row>
    <row r="13">
      <c r="A13" s="294" t="inlineStr">
        <is>
          <t>Составил ______________________    Д.Ю. Нефедова</t>
        </is>
      </c>
      <c r="B13" s="295" t="n"/>
      <c r="C13" s="295" t="n"/>
      <c r="D13" s="296" t="n"/>
    </row>
    <row r="14">
      <c r="A14" s="297" t="inlineStr">
        <is>
          <t xml:space="preserve">                         (подпись, инициалы, фамилия)</t>
        </is>
      </c>
      <c r="B14" s="295" t="n"/>
      <c r="C14" s="295" t="n"/>
      <c r="D14" s="296" t="n"/>
    </row>
    <row r="15">
      <c r="A15" s="294" t="n"/>
      <c r="B15" s="295" t="n"/>
      <c r="C15" s="295" t="n"/>
      <c r="D15" s="296" t="n"/>
    </row>
    <row r="16">
      <c r="A16" s="294" t="inlineStr">
        <is>
          <t>Проверил ______________________        А.В. Костянецкая</t>
        </is>
      </c>
      <c r="B16" s="295" t="n"/>
      <c r="C16" s="295" t="n"/>
      <c r="D16" s="296" t="n"/>
    </row>
    <row r="17" ht="20.25" customHeight="1" s="311">
      <c r="A17" s="297" t="inlineStr">
        <is>
          <t xml:space="preserve">                        (подпись, инициалы, фамилия)</t>
        </is>
      </c>
      <c r="B17" s="295" t="n"/>
      <c r="C17" s="295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RowHeight="15"/>
  <cols>
    <col width="9.140625" customWidth="1" style="311" min="1" max="1"/>
    <col width="40.7109375" customWidth="1" style="311" min="2" max="2"/>
    <col width="37.5703125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40" t="inlineStr">
        <is>
          <t>Приложение № 10</t>
        </is>
      </c>
    </row>
    <row r="5" ht="18.75" customHeight="1" s="311">
      <c r="B5" s="276" t="n"/>
    </row>
    <row r="6" ht="15.75" customHeight="1" s="311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1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11">
      <c r="B10" s="345" t="n">
        <v>1</v>
      </c>
      <c r="C10" s="345" t="n">
        <v>2</v>
      </c>
      <c r="D10" s="345" t="n">
        <v>3</v>
      </c>
    </row>
    <row r="11" ht="45" customHeight="1" s="311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31.5" customHeight="1" s="311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31.5" customHeight="1" s="311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1.5" customHeight="1" s="311">
      <c r="B14" s="345" t="inlineStr">
        <is>
          <t>Индекс изменения сметной стоимости на 1 квартал 2023 года. ОБ</t>
        </is>
      </c>
      <c r="C14" s="177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311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78" t="n">
        <v>0.025</v>
      </c>
    </row>
    <row r="16" ht="78.75" customHeight="1" s="311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78" t="n">
        <v>0.021</v>
      </c>
    </row>
    <row r="17" ht="31.5" customHeight="1" s="311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278" t="n">
        <v>0.0214</v>
      </c>
    </row>
    <row r="18" ht="31.5" customHeight="1" s="311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278" t="n">
        <v>0.002</v>
      </c>
    </row>
    <row r="19" ht="24" customHeight="1" s="311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278" t="n">
        <v>0.03</v>
      </c>
    </row>
    <row r="20" ht="18.75" customHeight="1" s="311">
      <c r="B20" s="279" t="n"/>
    </row>
    <row r="21" ht="18.75" customHeight="1" s="311">
      <c r="B21" s="279" t="n"/>
    </row>
    <row r="22" ht="18.75" customHeight="1" s="311">
      <c r="B22" s="279" t="n"/>
    </row>
    <row r="23" ht="18.75" customHeight="1" s="311">
      <c r="B23" s="279" t="n"/>
    </row>
    <row r="26">
      <c r="B26" s="294" t="inlineStr">
        <is>
          <t>Составил ______________________        Д.Ю. Нефедова</t>
        </is>
      </c>
      <c r="C26" s="295" t="n"/>
    </row>
    <row r="27">
      <c r="B27" s="297" t="inlineStr">
        <is>
          <t xml:space="preserve">                         (подпись, инициалы, фамилия)</t>
        </is>
      </c>
      <c r="C27" s="295" t="n"/>
    </row>
    <row r="28">
      <c r="B28" s="294" t="n"/>
      <c r="C28" s="295" t="n"/>
    </row>
    <row r="29">
      <c r="B29" s="294" t="inlineStr">
        <is>
          <t>Проверил ______________________        А.В. Костянецкая</t>
        </is>
      </c>
      <c r="C29" s="295" t="n"/>
    </row>
    <row r="30">
      <c r="B30" s="297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1" sqref="O11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45" t="n"/>
      <c r="D10" s="345" t="n"/>
      <c r="E10" s="443" t="n">
        <v>2.4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44" t="n">
        <v>1.125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45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n"/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2025-01-24T11:54:18Z</dcterms:modified>
  <cp:lastModifiedBy>REDMIBOOK</cp:lastModifiedBy>
  <cp:lastPrinted>2023-12-01T12:34:38Z</cp:lastPrinted>
</cp:coreProperties>
</file>