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16" min="1" max="2"/>
    <col width="51.7109375" customWidth="1" style="316" min="3" max="3"/>
    <col width="47" customWidth="1" style="316" min="4" max="4"/>
    <col width="37.42578125" customWidth="1" style="316" min="5" max="5"/>
    <col width="9.140625" customWidth="1" style="316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14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169" t="n"/>
      <c r="C6" s="169" t="n"/>
      <c r="D6" s="169" t="n"/>
    </row>
    <row r="7" ht="64.5" customHeight="1" s="314">
      <c r="B7" s="345" t="inlineStr">
        <is>
          <t>Наименование разрабатываемого показателя УНЦ - Устройство траншеи при прокладке двух кабелей ВОК с учетом восстановления газонов</t>
        </is>
      </c>
    </row>
    <row r="8" ht="31.5" customHeight="1" s="314">
      <c r="B8" s="300" t="inlineStr">
        <is>
          <t xml:space="preserve">Сопоставимый уровень цен: </t>
        </is>
      </c>
      <c r="C8" s="300" t="n"/>
      <c r="D8" s="301">
        <f>D22</f>
        <v/>
      </c>
    </row>
    <row r="9" ht="15.75" customHeight="1" s="314">
      <c r="B9" s="345" t="inlineStr">
        <is>
          <t>Единица измерения  — 1 км.</t>
        </is>
      </c>
    </row>
    <row r="10">
      <c r="B10" s="345" t="n"/>
      <c r="C10" s="316" t="n"/>
      <c r="D10" s="316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  <c r="E11" s="171" t="n"/>
    </row>
    <row r="12" ht="63" customHeight="1" s="314">
      <c r="B12" s="348" t="n">
        <v>1</v>
      </c>
      <c r="C12" s="328" t="inlineStr">
        <is>
          <t>Наименование объекта-представителя</t>
        </is>
      </c>
      <c r="D12" s="34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>
      <c r="B13" s="348" t="n">
        <v>2</v>
      </c>
      <c r="C13" s="328" t="inlineStr">
        <is>
          <t>Наименование субъекта Российской Федерации</t>
        </is>
      </c>
      <c r="D13" s="348" t="inlineStr">
        <is>
          <t>Забайкальский край</t>
        </is>
      </c>
    </row>
    <row r="14">
      <c r="B14" s="348" t="n">
        <v>3</v>
      </c>
      <c r="C14" s="328" t="inlineStr">
        <is>
          <t>Климатический район и подрайон</t>
        </is>
      </c>
      <c r="D14" s="348" t="inlineStr">
        <is>
          <t>IД</t>
        </is>
      </c>
    </row>
    <row r="15">
      <c r="B15" s="348" t="n">
        <v>4</v>
      </c>
      <c r="C15" s="328" t="inlineStr">
        <is>
          <t>Мощность объекта</t>
        </is>
      </c>
      <c r="D15" s="348" t="n">
        <v>0.865</v>
      </c>
    </row>
    <row r="16" ht="63" customHeight="1" s="314">
      <c r="B16" s="348" t="n">
        <v>5</v>
      </c>
      <c r="C16" s="1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>Кирпич керамический лицевой, размер 250x120x65 мм, марка 300</t>
        </is>
      </c>
    </row>
    <row r="17" ht="63" customHeight="1" s="314">
      <c r="B17" s="348" t="n">
        <v>6</v>
      </c>
      <c r="C17" s="1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3">
        <f>D18+D19+D20+D21</f>
        <v/>
      </c>
      <c r="E17" s="174" t="n"/>
    </row>
    <row r="18">
      <c r="B18" s="175" t="inlineStr">
        <is>
          <t>6.1</t>
        </is>
      </c>
      <c r="C18" s="328" t="inlineStr">
        <is>
          <t>строительно-монтажные работы</t>
        </is>
      </c>
      <c r="D18" s="303">
        <f>'Прил.2 Расч стоим'!F13+'Прил.2 Расч стоим'!G13</f>
        <v/>
      </c>
    </row>
    <row r="19">
      <c r="B19" s="175" t="inlineStr">
        <is>
          <t>6.2</t>
        </is>
      </c>
      <c r="C19" s="328" t="inlineStr">
        <is>
          <t>оборудование и инвентарь</t>
        </is>
      </c>
      <c r="D19" s="303" t="n">
        <v>0</v>
      </c>
    </row>
    <row r="20">
      <c r="B20" s="175" t="inlineStr">
        <is>
          <t>6.3</t>
        </is>
      </c>
      <c r="C20" s="328" t="inlineStr">
        <is>
          <t>пусконаладочные работы</t>
        </is>
      </c>
      <c r="D20" s="303" t="n">
        <v>0</v>
      </c>
    </row>
    <row r="21">
      <c r="B21" s="175" t="inlineStr">
        <is>
          <t>6.4</t>
        </is>
      </c>
      <c r="C21" s="176" t="inlineStr">
        <is>
          <t>прочие и лимитированные затраты</t>
        </is>
      </c>
      <c r="D21" s="303">
        <f>D18*0.047+(D18*0.047+D18)*0.052*0.9</f>
        <v/>
      </c>
    </row>
    <row r="22">
      <c r="B22" s="348" t="n">
        <v>7</v>
      </c>
      <c r="C22" s="176" t="inlineStr">
        <is>
          <t>Сопоставимый уровень цен</t>
        </is>
      </c>
      <c r="D22" s="304" t="inlineStr">
        <is>
          <t>1 кв. 2013 г.</t>
        </is>
      </c>
      <c r="E22" s="177" t="n"/>
    </row>
    <row r="23" ht="78.75" customHeight="1" s="314">
      <c r="B23" s="348" t="n">
        <v>8</v>
      </c>
      <c r="C23" s="1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3">
        <f>D17</f>
        <v/>
      </c>
      <c r="E23" s="174" t="n"/>
    </row>
    <row r="24" ht="31.5" customHeight="1" s="314">
      <c r="B24" s="348" t="n">
        <v>9</v>
      </c>
      <c r="C24" s="173" t="inlineStr">
        <is>
          <t>Приведенная сметная стоимость на единицу мощности, тыс. руб. (строка 8/строку 4)</t>
        </is>
      </c>
      <c r="D24" s="303">
        <f>D23/D15</f>
        <v/>
      </c>
      <c r="E24" s="177" t="n"/>
    </row>
    <row r="25">
      <c r="B25" s="348" t="n">
        <v>10</v>
      </c>
      <c r="C25" s="328" t="inlineStr">
        <is>
          <t>Примечание</t>
        </is>
      </c>
      <c r="D25" s="348" t="n"/>
    </row>
    <row r="26">
      <c r="B26" s="179" t="n"/>
      <c r="C26" s="180" t="n"/>
      <c r="D26" s="180" t="n"/>
    </row>
    <row r="27" ht="37.5" customHeight="1" s="314">
      <c r="B27" s="300" t="n"/>
    </row>
    <row r="28">
      <c r="B28" s="316" t="inlineStr">
        <is>
          <t>Составил ______________________    Д.Ю. Нефедова</t>
        </is>
      </c>
    </row>
    <row r="29">
      <c r="B29" s="300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30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16" min="1" max="1"/>
    <col width="9.140625" customWidth="1" style="316" min="2" max="2"/>
    <col width="35.28515625" customWidth="1" style="316" min="3" max="3"/>
    <col width="13.85546875" customWidth="1" style="316" min="4" max="4"/>
    <col width="24.85546875" customWidth="1" style="316" min="5" max="5"/>
    <col width="15.5703125" customWidth="1" style="316" min="6" max="6"/>
    <col width="14.85546875" customWidth="1" style="316" min="7" max="7"/>
    <col width="16.7109375" customWidth="1" style="316" min="8" max="8"/>
    <col width="13" customWidth="1" style="316" min="9" max="10"/>
    <col width="9.140625" customWidth="1" style="316" min="11" max="11"/>
  </cols>
  <sheetData>
    <row r="3">
      <c r="B3" s="343" t="inlineStr">
        <is>
          <t>Приложение № 2</t>
        </is>
      </c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</row>
    <row r="6" ht="29.25" customHeight="1" s="314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14">
      <c r="B8" s="265" t="n"/>
    </row>
    <row r="9" ht="15.75" customHeight="1" s="314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14">
      <c r="B10" s="433" t="n"/>
      <c r="C10" s="433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1 кв. 2013 г., тыс. руб.</t>
        </is>
      </c>
      <c r="G10" s="431" t="n"/>
      <c r="H10" s="431" t="n"/>
      <c r="I10" s="431" t="n"/>
      <c r="J10" s="432" t="n"/>
    </row>
    <row r="11" ht="31.5" customHeight="1" s="314">
      <c r="B11" s="434" t="n"/>
      <c r="C11" s="434" t="n"/>
      <c r="D11" s="434" t="n"/>
      <c r="E11" s="434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</row>
    <row r="12" ht="47.25" customHeight="1" s="314">
      <c r="B12" s="306" t="n">
        <v>1</v>
      </c>
      <c r="C12" s="333">
        <f>'Прил.1 Сравнит табл'!D16</f>
        <v/>
      </c>
      <c r="D12" s="308" t="inlineStr">
        <is>
          <t>02-03-01 Изм.1(Зам.)</t>
        </is>
      </c>
      <c r="E12" s="328" t="inlineStr">
        <is>
          <t>Подземный ВОК ПС 220 кВ Быстринская-                               с. Газимурский Завод</t>
        </is>
      </c>
      <c r="F12" s="310" t="n">
        <v>479.8205548</v>
      </c>
      <c r="G12" s="310" t="n">
        <v>4.69235</v>
      </c>
      <c r="H12" s="310" t="n"/>
      <c r="I12" s="310" t="n"/>
      <c r="J12" s="311">
        <f>SUM(F12:I12)</f>
        <v/>
      </c>
    </row>
    <row r="13" ht="15" customHeight="1" s="314">
      <c r="B13" s="347" t="inlineStr">
        <is>
          <t>Всего по объекту:</t>
        </is>
      </c>
      <c r="C13" s="431" t="n"/>
      <c r="D13" s="431" t="n"/>
      <c r="E13" s="432" t="n"/>
      <c r="F13" s="313">
        <f>SUM(F12:F12)</f>
        <v/>
      </c>
      <c r="G13" s="313">
        <f>SUM(G12:G12)</f>
        <v/>
      </c>
      <c r="H13" s="313">
        <f>SUM(H12:H12)</f>
        <v/>
      </c>
      <c r="I13" s="313" t="n"/>
      <c r="J13" s="313">
        <f>SUM(F13:I13)</f>
        <v/>
      </c>
    </row>
    <row r="14" ht="15.75" customHeight="1" s="314">
      <c r="B14" s="347" t="inlineStr">
        <is>
          <t>Всего по объекту в сопоставимом уровне цен 1 кв. 2013 г. :</t>
        </is>
      </c>
      <c r="C14" s="431" t="n"/>
      <c r="D14" s="431" t="n"/>
      <c r="E14" s="432" t="n"/>
      <c r="F14" s="313">
        <f>F13</f>
        <v/>
      </c>
      <c r="G14" s="313">
        <f>G13</f>
        <v/>
      </c>
      <c r="H14" s="313">
        <f>H13</f>
        <v/>
      </c>
      <c r="I14" s="313">
        <f>'Прил.1 Сравнит табл'!D21</f>
        <v/>
      </c>
      <c r="J14" s="313">
        <f>SUM(F14:I14)</f>
        <v/>
      </c>
    </row>
    <row r="15" ht="15" customHeight="1" s="314"/>
    <row r="16" ht="15" customHeight="1" s="314"/>
    <row r="17" ht="15" customHeight="1" s="314"/>
    <row r="18" ht="15" customHeight="1" s="314">
      <c r="C18" s="296" t="inlineStr">
        <is>
          <t>Составил ______________________     Д.Ю. Нефедова</t>
        </is>
      </c>
      <c r="D18" s="297" t="n"/>
      <c r="E18" s="297" t="n"/>
    </row>
    <row r="19" ht="15" customHeight="1" s="314">
      <c r="C19" s="299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14">
      <c r="C20" s="296" t="n"/>
      <c r="D20" s="297" t="n"/>
      <c r="E20" s="297" t="n"/>
    </row>
    <row r="21" ht="15" customHeight="1" s="314">
      <c r="C21" s="296" t="inlineStr">
        <is>
          <t>Проверил ______________________        А.В. Костянецкая</t>
        </is>
      </c>
      <c r="D21" s="297" t="n"/>
      <c r="E21" s="297" t="n"/>
    </row>
    <row r="22" ht="15" customHeight="1" s="314">
      <c r="C22" s="299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14"/>
    <row r="24" ht="15" customHeight="1" s="314"/>
    <row r="25" ht="15" customHeight="1" s="314"/>
    <row r="26" ht="15" customHeight="1" s="314"/>
    <row r="27" ht="15" customHeight="1" s="314"/>
    <row r="28" ht="15" customHeight="1" s="314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view="pageBreakPreview" topLeftCell="A38" zoomScaleSheetLayoutView="100" workbookViewId="0">
      <selection activeCell="D53" sqref="D53"/>
    </sheetView>
  </sheetViews>
  <sheetFormatPr baseColWidth="8" defaultColWidth="9.140625" defaultRowHeight="15.75"/>
  <cols>
    <col width="9.140625" customWidth="1" style="316" min="1" max="1"/>
    <col width="12.5703125" customWidth="1" style="316" min="2" max="2"/>
    <col width="22.42578125" customWidth="1" style="316" min="3" max="3"/>
    <col width="49.7109375" customWidth="1" style="316" min="4" max="4"/>
    <col width="10.140625" customWidth="1" style="316" min="5" max="5"/>
    <col width="20.7109375" customWidth="1" style="316" min="6" max="6"/>
    <col width="20" customWidth="1" style="316" min="7" max="7"/>
    <col width="16.7109375" customWidth="1" style="316" min="8" max="8"/>
    <col width="9.140625" customWidth="1" style="316" min="9" max="10"/>
    <col width="15" customWidth="1" style="316" min="11" max="11"/>
    <col width="9.140625" customWidth="1" style="316" min="12" max="12"/>
  </cols>
  <sheetData>
    <row r="2" s="314">
      <c r="A2" s="316" t="n"/>
      <c r="B2" s="316" t="n"/>
      <c r="C2" s="316" t="n"/>
      <c r="D2" s="316" t="n"/>
      <c r="E2" s="316" t="n"/>
      <c r="F2" s="316" t="n"/>
      <c r="G2" s="316" t="n"/>
      <c r="H2" s="316" t="n"/>
      <c r="I2" s="316" t="n"/>
      <c r="J2" s="316" t="n"/>
      <c r="K2" s="316" t="n"/>
      <c r="L2" s="316" t="n"/>
    </row>
    <row r="3">
      <c r="A3" s="343" t="inlineStr">
        <is>
          <t xml:space="preserve">Приложение № 3 </t>
        </is>
      </c>
    </row>
    <row r="4">
      <c r="A4" s="344" t="inlineStr">
        <is>
          <t>Объектная ресурсная ведомость</t>
        </is>
      </c>
    </row>
    <row r="5" ht="18.75" customHeight="1" s="314">
      <c r="A5" s="183" t="n"/>
      <c r="B5" s="183" t="n"/>
      <c r="C5" s="357" t="n"/>
    </row>
    <row r="6">
      <c r="A6" s="345" t="n"/>
    </row>
    <row r="7" ht="33.75" customHeight="1" s="314">
      <c r="A7" s="356" t="inlineStr">
        <is>
          <t>Наименование разрабатываемого показателя УНЦ -  Устройство траншеи при прокладке двух кабелей ВОК с учетом восстановления газонов</t>
        </is>
      </c>
    </row>
    <row r="8">
      <c r="A8" s="184" t="n"/>
      <c r="B8" s="184" t="n"/>
      <c r="C8" s="184" t="n"/>
      <c r="D8" s="184" t="n"/>
      <c r="E8" s="184" t="n"/>
      <c r="F8" s="184" t="n"/>
      <c r="G8" s="184" t="n"/>
      <c r="H8" s="184" t="n"/>
    </row>
    <row r="9" ht="38.25" customHeight="1" s="314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32" t="n"/>
    </row>
    <row r="10" ht="40.5" customHeight="1" s="314">
      <c r="A10" s="434" t="n"/>
      <c r="B10" s="434" t="n"/>
      <c r="C10" s="434" t="n"/>
      <c r="D10" s="434" t="n"/>
      <c r="E10" s="434" t="n"/>
      <c r="F10" s="434" t="n"/>
      <c r="G10" s="348" t="inlineStr">
        <is>
          <t>на ед.изм.</t>
        </is>
      </c>
      <c r="H10" s="348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90">
      <c r="A12" s="350" t="inlineStr">
        <is>
          <t>Затраты труда рабочих</t>
        </is>
      </c>
      <c r="B12" s="431" t="n"/>
      <c r="C12" s="431" t="n"/>
      <c r="D12" s="431" t="n"/>
      <c r="E12" s="432" t="n"/>
      <c r="F12" s="435">
        <f>SUM(F13:F17)</f>
        <v/>
      </c>
      <c r="G12" s="195" t="n"/>
      <c r="H12" s="435">
        <f>SUM(H13:H17)</f>
        <v/>
      </c>
    </row>
    <row r="13">
      <c r="A13" s="384" t="n">
        <v>1</v>
      </c>
      <c r="B13" s="187" t="n"/>
      <c r="C13" s="191" t="inlineStr">
        <is>
          <t>1-2-0</t>
        </is>
      </c>
      <c r="D13" s="192" t="inlineStr">
        <is>
          <t>Затраты труда рабочих (средний разряд работы 2,0)</t>
        </is>
      </c>
      <c r="E13" s="384" t="inlineStr">
        <is>
          <t>чел.-ч</t>
        </is>
      </c>
      <c r="F13" s="436" t="n">
        <v>510.3</v>
      </c>
      <c r="G13" s="198" t="n">
        <v>7.8</v>
      </c>
      <c r="H13" s="198">
        <f>ROUND(F13*G13,2)</f>
        <v/>
      </c>
      <c r="M13" s="437" t="n"/>
    </row>
    <row r="14">
      <c r="A14" s="384" t="n">
        <v>2</v>
      </c>
      <c r="B14" s="187" t="n"/>
      <c r="C14" s="191" t="inlineStr">
        <is>
          <t>1-1-5</t>
        </is>
      </c>
      <c r="D14" s="192" t="inlineStr">
        <is>
          <t>Затраты труда рабочих (средний разряд работы 1,5)</t>
        </is>
      </c>
      <c r="E14" s="384" t="inlineStr">
        <is>
          <t>чел.-ч</t>
        </is>
      </c>
      <c r="F14" s="436">
        <f>224.8+86.1107097</f>
        <v/>
      </c>
      <c r="G14" s="198" t="n">
        <v>7.5</v>
      </c>
      <c r="H14" s="198">
        <f>ROUND(F14*G14,2)</f>
        <v/>
      </c>
    </row>
    <row r="15">
      <c r="A15" s="384" t="n">
        <v>3</v>
      </c>
      <c r="B15" s="187" t="n"/>
      <c r="C15" s="191" t="inlineStr">
        <is>
          <t>1-2-5</t>
        </is>
      </c>
      <c r="D15" s="192" t="inlineStr">
        <is>
          <t>Затраты труда рабочих (средний разряд работы 2,5)</t>
        </is>
      </c>
      <c r="E15" s="384" t="inlineStr">
        <is>
          <t>чел.-ч</t>
        </is>
      </c>
      <c r="F15" s="436" t="n">
        <v>64.70999999999999</v>
      </c>
      <c r="G15" s="198" t="n">
        <v>8.17</v>
      </c>
      <c r="H15" s="198">
        <f>ROUND(F15*G15,2)</f>
        <v/>
      </c>
    </row>
    <row r="16">
      <c r="A16" s="384" t="n">
        <v>4</v>
      </c>
      <c r="B16" s="187" t="n"/>
      <c r="C16" s="191" t="inlineStr">
        <is>
          <t>1-2-7</t>
        </is>
      </c>
      <c r="D16" s="192" t="inlineStr">
        <is>
          <t>Затраты труда рабочих (средний разряд работы 2,7)</t>
        </is>
      </c>
      <c r="E16" s="384" t="inlineStr">
        <is>
          <t>чел.-ч</t>
        </is>
      </c>
      <c r="F16" s="436" t="n">
        <v>55.74</v>
      </c>
      <c r="G16" s="198" t="n">
        <v>8.31</v>
      </c>
      <c r="H16" s="198">
        <f>ROUND(F16*G16,2)</f>
        <v/>
      </c>
    </row>
    <row r="17">
      <c r="A17" s="384" t="n">
        <v>5</v>
      </c>
      <c r="B17" s="187" t="n"/>
      <c r="C17" s="191" t="inlineStr">
        <is>
          <t>1-4-0</t>
        </is>
      </c>
      <c r="D17" s="192" t="inlineStr">
        <is>
          <t>Затраты труда рабочих (средний разряд работы 4,0)</t>
        </is>
      </c>
      <c r="E17" s="384" t="inlineStr">
        <is>
          <t>чел.-ч</t>
        </is>
      </c>
      <c r="F17" s="436" t="n">
        <v>25.86</v>
      </c>
      <c r="G17" s="198" t="n">
        <v>9.619999999999999</v>
      </c>
      <c r="H17" s="198">
        <f>ROUND(F17*G17,2)</f>
        <v/>
      </c>
    </row>
    <row r="18">
      <c r="A18" s="349" t="inlineStr">
        <is>
          <t>Затраты труда машинистов</t>
        </is>
      </c>
      <c r="B18" s="431" t="n"/>
      <c r="C18" s="431" t="n"/>
      <c r="D18" s="431" t="n"/>
      <c r="E18" s="432" t="n"/>
      <c r="F18" s="350" t="n"/>
      <c r="G18" s="197" t="n"/>
      <c r="H18" s="435">
        <f>H19</f>
        <v/>
      </c>
    </row>
    <row r="19">
      <c r="A19" s="384" t="n">
        <v>6</v>
      </c>
      <c r="B19" s="351" t="n"/>
      <c r="C19" s="191" t="n">
        <v>2</v>
      </c>
      <c r="D19" s="192" t="inlineStr">
        <is>
          <t>Затраты труда машинистов</t>
        </is>
      </c>
      <c r="E19" s="384" t="inlineStr">
        <is>
          <t>чел.-ч</t>
        </is>
      </c>
      <c r="F19" s="436">
        <f>29.49+28.65</f>
        <v/>
      </c>
      <c r="G19" s="198" t="n"/>
      <c r="H19" s="438">
        <f>328.2+383.56</f>
        <v/>
      </c>
    </row>
    <row r="20" customFormat="1" s="290">
      <c r="A20" s="350" t="inlineStr">
        <is>
          <t>Машины и механизмы</t>
        </is>
      </c>
      <c r="B20" s="431" t="n"/>
      <c r="C20" s="431" t="n"/>
      <c r="D20" s="431" t="n"/>
      <c r="E20" s="432" t="n"/>
      <c r="F20" s="350" t="n"/>
      <c r="G20" s="197" t="n"/>
      <c r="H20" s="435">
        <f>SUM(H21:H36)</f>
        <v/>
      </c>
    </row>
    <row r="21">
      <c r="A21" s="384" t="n">
        <v>7</v>
      </c>
      <c r="B21" s="351" t="n"/>
      <c r="C21" s="191" t="inlineStr">
        <is>
          <t>91.14.03-002</t>
        </is>
      </c>
      <c r="D21" s="192" t="inlineStr">
        <is>
          <t>Автомобили-самосвалы, грузоподъемность до 10 т</t>
        </is>
      </c>
      <c r="E21" s="384" t="inlineStr">
        <is>
          <t>маш.-ч</t>
        </is>
      </c>
      <c r="F21" s="384" t="n">
        <v>26.96</v>
      </c>
      <c r="G21" s="199" t="n">
        <v>87.48999999999999</v>
      </c>
      <c r="H21" s="198">
        <f>ROUND(F21*G21,2)</f>
        <v/>
      </c>
      <c r="I21" s="204" t="n"/>
      <c r="J21" s="204" t="n"/>
      <c r="L21" s="204" t="n"/>
    </row>
    <row r="22" ht="38.25" customFormat="1" customHeight="1" s="290">
      <c r="A22" s="384" t="n">
        <v>8</v>
      </c>
      <c r="B22" s="351" t="n"/>
      <c r="C22" s="191" t="inlineStr">
        <is>
          <t>91.18.01-007</t>
        </is>
      </c>
      <c r="D22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84" t="inlineStr">
        <is>
          <t>маш.-ч</t>
        </is>
      </c>
      <c r="F22" s="384" t="n">
        <v>13.72</v>
      </c>
      <c r="G22" s="199" t="n">
        <v>90</v>
      </c>
      <c r="H22" s="198">
        <f>ROUND(F22*G22,2)</f>
        <v/>
      </c>
      <c r="I22" s="204" t="n"/>
      <c r="J22" s="204" t="n"/>
      <c r="L22" s="204" t="n"/>
    </row>
    <row r="23">
      <c r="A23" s="384" t="n">
        <v>9</v>
      </c>
      <c r="B23" s="351" t="n"/>
      <c r="C23" s="191" t="inlineStr">
        <is>
          <t>91.14.02-001</t>
        </is>
      </c>
      <c r="D23" s="192" t="inlineStr">
        <is>
          <t>Автомобили бортовые, грузоподъемность до 5 т</t>
        </is>
      </c>
      <c r="E23" s="384" t="inlineStr">
        <is>
          <t>маш.-ч</t>
        </is>
      </c>
      <c r="F23" s="384" t="n">
        <v>6.89</v>
      </c>
      <c r="G23" s="199" t="n">
        <v>65.70999999999999</v>
      </c>
      <c r="H23" s="198">
        <f>ROUND(F23*G23,2)</f>
        <v/>
      </c>
      <c r="I23" s="204" t="n"/>
      <c r="J23" s="204" t="n"/>
      <c r="L23" s="204" t="n"/>
    </row>
    <row r="24">
      <c r="A24" s="384" t="n">
        <v>10</v>
      </c>
      <c r="B24" s="351" t="n"/>
      <c r="C24" s="191" t="inlineStr">
        <is>
          <t>91.05.05-014</t>
        </is>
      </c>
      <c r="D24" s="192" t="inlineStr">
        <is>
          <t>Краны на автомобильном ходу, грузоподъемность 10 т</t>
        </is>
      </c>
      <c r="E24" s="384" t="inlineStr">
        <is>
          <t>маш.-ч</t>
        </is>
      </c>
      <c r="F24" s="384" t="n">
        <v>3.66</v>
      </c>
      <c r="G24" s="199" t="n">
        <v>111.99</v>
      </c>
      <c r="H24" s="198">
        <f>ROUND(F24*G24,2)</f>
        <v/>
      </c>
      <c r="I24" s="204" t="n"/>
      <c r="J24" s="204" t="n"/>
      <c r="K24" s="204" t="n"/>
      <c r="L24" s="204" t="n"/>
    </row>
    <row r="25">
      <c r="A25" s="384" t="n">
        <v>11</v>
      </c>
      <c r="B25" s="351" t="n"/>
      <c r="C25" s="191" t="inlineStr">
        <is>
          <t>91.06.05-011</t>
        </is>
      </c>
      <c r="D25" s="192" t="inlineStr">
        <is>
          <t>Погрузчики, грузоподъемность 5 т</t>
        </is>
      </c>
      <c r="E25" s="384" t="inlineStr">
        <is>
          <t>маш.-ч</t>
        </is>
      </c>
      <c r="F25" s="384" t="n">
        <v>2.04</v>
      </c>
      <c r="G25" s="199" t="n">
        <v>89.98999999999999</v>
      </c>
      <c r="H25" s="198">
        <f>ROUND(F25*G25,2)</f>
        <v/>
      </c>
      <c r="I25" s="204" t="n"/>
      <c r="J25" s="204" t="n"/>
      <c r="K25" s="204" t="n"/>
      <c r="L25" s="204" t="n"/>
    </row>
    <row r="26">
      <c r="A26" s="384" t="n">
        <v>12</v>
      </c>
      <c r="B26" s="351" t="n"/>
      <c r="C26" s="191" t="inlineStr">
        <is>
          <t>91.08.11-011</t>
        </is>
      </c>
      <c r="D26" s="192" t="inlineStr">
        <is>
          <t>Заливщик швов на базе автомобиля</t>
        </is>
      </c>
      <c r="E26" s="384" t="inlineStr">
        <is>
          <t>маш.час</t>
        </is>
      </c>
      <c r="F26" s="384" t="n">
        <v>0.98</v>
      </c>
      <c r="G26" s="199" t="n">
        <v>175.25</v>
      </c>
      <c r="H26" s="198">
        <f>ROUND(F26*G26,2)</f>
        <v/>
      </c>
      <c r="I26" s="204" t="n"/>
      <c r="J26" s="204" t="n"/>
    </row>
    <row r="27">
      <c r="A27" s="384" t="n">
        <v>13</v>
      </c>
      <c r="B27" s="351" t="n"/>
      <c r="C27" s="191" t="inlineStr">
        <is>
          <t>91.08.06-003</t>
        </is>
      </c>
      <c r="D27" s="192" t="inlineStr">
        <is>
          <t>Нарезчик швов, максимальная глубина резки 200 мм</t>
        </is>
      </c>
      <c r="E27" s="384" t="inlineStr">
        <is>
          <t>маш.час</t>
        </is>
      </c>
      <c r="F27" s="384" t="n">
        <v>2.51</v>
      </c>
      <c r="G27" s="199" t="n">
        <v>60.89</v>
      </c>
      <c r="H27" s="198">
        <f>ROUND(F27*G27,2)</f>
        <v/>
      </c>
      <c r="J27" s="204" t="n"/>
    </row>
    <row r="28" ht="25.5" customHeight="1" s="314">
      <c r="A28" s="384" t="n">
        <v>14</v>
      </c>
      <c r="B28" s="351" t="n"/>
      <c r="C28" s="191" t="inlineStr">
        <is>
          <t>91.01.02-004</t>
        </is>
      </c>
      <c r="D28" s="192" t="inlineStr">
        <is>
          <t>Автогрейдеры: среднего типа, мощность 99 кВт (135 л.с.)</t>
        </is>
      </c>
      <c r="E28" s="384" t="inlineStr">
        <is>
          <t>маш.час</t>
        </is>
      </c>
      <c r="F28" s="384" t="n">
        <v>0.95</v>
      </c>
      <c r="G28" s="199" t="n">
        <v>123</v>
      </c>
      <c r="H28" s="198">
        <f>ROUND(F28*G28,2)</f>
        <v/>
      </c>
      <c r="J28" s="204" t="n"/>
    </row>
    <row r="29">
      <c r="A29" s="384" t="n">
        <v>15</v>
      </c>
      <c r="B29" s="351" t="n"/>
      <c r="C29" s="191" t="inlineStr">
        <is>
          <t>91.14.02-001</t>
        </is>
      </c>
      <c r="D29" s="192" t="inlineStr">
        <is>
          <t>Автомобили бортовые, грузоподъемность до 5 т</t>
        </is>
      </c>
      <c r="E29" s="384" t="inlineStr">
        <is>
          <t>маш.-ч</t>
        </is>
      </c>
      <c r="F29" s="384" t="n">
        <v>1.69</v>
      </c>
      <c r="G29" s="199" t="n">
        <v>65.70999999999999</v>
      </c>
      <c r="H29" s="198">
        <f>ROUND(F29*G29,2)</f>
        <v/>
      </c>
      <c r="J29" s="204" t="n"/>
    </row>
    <row r="30">
      <c r="A30" s="384" t="n">
        <v>16</v>
      </c>
      <c r="B30" s="351" t="n"/>
      <c r="C30" s="191" t="inlineStr">
        <is>
          <t>91.13.01-038</t>
        </is>
      </c>
      <c r="D30" s="192" t="inlineStr">
        <is>
          <t>Машины поливомоечные 6000 л</t>
        </is>
      </c>
      <c r="E30" s="384" t="inlineStr">
        <is>
          <t>маш.час</t>
        </is>
      </c>
      <c r="F30" s="384" t="n">
        <v>0.39</v>
      </c>
      <c r="G30" s="199" t="n">
        <v>110</v>
      </c>
      <c r="H30" s="198">
        <f>ROUND(F30*G30,2)</f>
        <v/>
      </c>
      <c r="J30" s="204" t="n"/>
    </row>
    <row r="31" ht="25.5" customHeight="1" s="314">
      <c r="A31" s="384" t="n">
        <v>17</v>
      </c>
      <c r="B31" s="351" t="n"/>
      <c r="C31" s="191" t="inlineStr">
        <is>
          <t>91.21.10-003</t>
        </is>
      </c>
      <c r="D31" s="192" t="inlineStr">
        <is>
          <t>Молотки при работе от передвижных компрессорных станций: отбойные пневматические</t>
        </is>
      </c>
      <c r="E31" s="384" t="inlineStr">
        <is>
          <t>маш.час</t>
        </is>
      </c>
      <c r="F31" s="384" t="n">
        <v>27.33</v>
      </c>
      <c r="G31" s="199" t="n">
        <v>1.53</v>
      </c>
      <c r="H31" s="198">
        <f>ROUND(F31*G31,2)</f>
        <v/>
      </c>
      <c r="J31" s="204" t="n"/>
    </row>
    <row r="32">
      <c r="A32" s="384" t="n">
        <v>18</v>
      </c>
      <c r="B32" s="351" t="n"/>
      <c r="C32" s="191" t="inlineStr">
        <is>
          <t>91.01.01-035</t>
        </is>
      </c>
      <c r="D32" s="192" t="inlineStr">
        <is>
          <t>Бульдозеры, мощность 79 кВт (108 л.с.)</t>
        </is>
      </c>
      <c r="E32" s="384" t="inlineStr">
        <is>
          <t>маш.час</t>
        </is>
      </c>
      <c r="F32" s="384" t="n">
        <v>0.52</v>
      </c>
      <c r="G32" s="199" t="n">
        <v>79.06999999999999</v>
      </c>
      <c r="H32" s="198">
        <f>ROUND(F32*G32,2)</f>
        <v/>
      </c>
      <c r="J32" s="204" t="n"/>
    </row>
    <row r="33" ht="25.5" customHeight="1" s="314">
      <c r="A33" s="384" t="n">
        <v>19</v>
      </c>
      <c r="B33" s="351" t="n"/>
      <c r="C33" s="191" t="inlineStr">
        <is>
          <t>91.15.02-023</t>
        </is>
      </c>
      <c r="D33" s="192" t="inlineStr">
        <is>
          <t>Тракторы на гусеничном ходу, мощность 59 кВт (80 л.с.)</t>
        </is>
      </c>
      <c r="E33" s="384" t="inlineStr">
        <is>
          <t>маш.час</t>
        </is>
      </c>
      <c r="F33" s="384" t="n">
        <v>0.33</v>
      </c>
      <c r="G33" s="199" t="n">
        <v>77.2</v>
      </c>
      <c r="H33" s="198">
        <f>ROUND(F33*G33,2)</f>
        <v/>
      </c>
      <c r="J33" s="439" t="n"/>
      <c r="L33" s="204" t="n"/>
    </row>
    <row r="34">
      <c r="A34" s="384" t="n">
        <v>20</v>
      </c>
      <c r="B34" s="351" t="n"/>
      <c r="C34" s="191" t="inlineStr">
        <is>
          <t>91.08.04-021</t>
        </is>
      </c>
      <c r="D34" s="192" t="inlineStr">
        <is>
          <t>Котлы битумные: передвижные 400 л</t>
        </is>
      </c>
      <c r="E34" s="384" t="inlineStr">
        <is>
          <t>маш.час</t>
        </is>
      </c>
      <c r="F34" s="384" t="n">
        <v>0.18</v>
      </c>
      <c r="G34" s="199" t="n">
        <v>30</v>
      </c>
      <c r="H34" s="198">
        <f>ROUND(F34*G34,2)</f>
        <v/>
      </c>
      <c r="L34" s="204" t="n"/>
    </row>
    <row r="35">
      <c r="A35" s="384" t="n">
        <v>21</v>
      </c>
      <c r="B35" s="351" t="n"/>
      <c r="C35" s="191" t="inlineStr">
        <is>
          <t>91.12.06-012</t>
        </is>
      </c>
      <c r="D35" s="192" t="inlineStr">
        <is>
          <t>Рыхлители прицепные (без трактора)</t>
        </is>
      </c>
      <c r="E35" s="384" t="inlineStr">
        <is>
          <t>маш.час</t>
        </is>
      </c>
      <c r="F35" s="384" t="n">
        <v>0.33</v>
      </c>
      <c r="G35" s="199" t="n">
        <v>8</v>
      </c>
      <c r="H35" s="198">
        <f>ROUND(F35*G35,2)</f>
        <v/>
      </c>
      <c r="L35" s="204" t="n"/>
    </row>
    <row r="36">
      <c r="A36" s="384" t="n">
        <v>22</v>
      </c>
      <c r="B36" s="351" t="n"/>
      <c r="C36" s="191" t="inlineStr">
        <is>
          <t>91.14.03-001</t>
        </is>
      </c>
      <c r="D36" s="192" t="inlineStr">
        <is>
          <t>Автомобиль-самосвал, грузоподъемность: до 7 т</t>
        </is>
      </c>
      <c r="E36" s="384" t="inlineStr">
        <is>
          <t>маш.час</t>
        </is>
      </c>
      <c r="F36" s="384" t="n">
        <v>0.01</v>
      </c>
      <c r="G36" s="199" t="n">
        <v>89.54000000000001</v>
      </c>
      <c r="H36" s="198">
        <f>ROUND(F36*G36,2)</f>
        <v/>
      </c>
    </row>
    <row r="37" ht="15" customHeight="1" s="314">
      <c r="A37" s="349" t="inlineStr">
        <is>
          <t>Оборудование</t>
        </is>
      </c>
      <c r="B37" s="431" t="n"/>
      <c r="C37" s="431" t="n"/>
      <c r="D37" s="431" t="n"/>
      <c r="E37" s="432" t="n"/>
      <c r="F37" s="195" t="n"/>
      <c r="G37" s="195" t="n"/>
      <c r="H37" s="435" t="n"/>
    </row>
    <row r="38">
      <c r="A38" s="350" t="inlineStr">
        <is>
          <t>Материалы</t>
        </is>
      </c>
      <c r="B38" s="431" t="n"/>
      <c r="C38" s="431" t="n"/>
      <c r="D38" s="431" t="n"/>
      <c r="E38" s="432" t="n"/>
      <c r="F38" s="350" t="n"/>
      <c r="G38" s="197" t="n"/>
      <c r="H38" s="435" t="n">
        <v>5704.79</v>
      </c>
    </row>
    <row r="39" ht="25.5" customHeight="1" s="314">
      <c r="A39" s="194" t="n">
        <v>23</v>
      </c>
      <c r="B39" s="351" t="n"/>
      <c r="C39" s="191" t="inlineStr">
        <is>
          <t>06.1.01.05-0021</t>
        </is>
      </c>
      <c r="D39" s="192" t="inlineStr">
        <is>
          <t>Кирпич керамический лицевой, размер 250x120x65 мм, марка 300</t>
        </is>
      </c>
      <c r="E39" s="384" t="inlineStr">
        <is>
          <t>1000 шт</t>
        </is>
      </c>
      <c r="F39" s="384" t="n">
        <v>1.948</v>
      </c>
      <c r="G39" s="198" t="n">
        <v>2271.3</v>
      </c>
      <c r="H39" s="198" t="n">
        <v>4424.49</v>
      </c>
      <c r="I39" s="217" t="n"/>
      <c r="J39" s="204" t="n"/>
      <c r="K39" s="204" t="n"/>
    </row>
    <row r="40">
      <c r="A40" s="194" t="n">
        <v>24</v>
      </c>
      <c r="B40" s="351" t="n"/>
      <c r="C40" s="191" t="inlineStr">
        <is>
          <t>02.3.01.02-0015</t>
        </is>
      </c>
      <c r="D40" s="192" t="inlineStr">
        <is>
          <t>Песок природный для строительных: работ средний</t>
        </is>
      </c>
      <c r="E40" s="384" t="inlineStr">
        <is>
          <t>м3</t>
        </is>
      </c>
      <c r="F40" s="384" t="n">
        <v>18</v>
      </c>
      <c r="G40" s="198" t="n">
        <v>55.26</v>
      </c>
      <c r="H40" s="198" t="n">
        <v>994.6799999999999</v>
      </c>
      <c r="I40" s="217" t="n"/>
      <c r="J40" s="204" t="n"/>
      <c r="K40" s="204" t="n"/>
    </row>
    <row r="41">
      <c r="A41" s="194" t="n">
        <v>25</v>
      </c>
      <c r="B41" s="351" t="n"/>
      <c r="C41" s="191" t="inlineStr">
        <is>
          <t>01.7.07.29-0221</t>
        </is>
      </c>
      <c r="D41" s="192" t="inlineStr">
        <is>
          <t>Уплотнительный состав</t>
        </is>
      </c>
      <c r="E41" s="384" t="inlineStr">
        <is>
          <t>кг</t>
        </is>
      </c>
      <c r="F41" s="384" t="n">
        <v>11.52</v>
      </c>
      <c r="G41" s="198" t="n">
        <v>16.7</v>
      </c>
      <c r="H41" s="198" t="n">
        <v>192.38</v>
      </c>
      <c r="I41" s="217" t="n"/>
      <c r="J41" s="204" t="n"/>
      <c r="K41" s="204" t="n"/>
    </row>
    <row r="42">
      <c r="A42" s="194" t="n">
        <v>26</v>
      </c>
      <c r="B42" s="351" t="n"/>
      <c r="C42" s="191" t="inlineStr">
        <is>
          <t>01.2.03.03-0045</t>
        </is>
      </c>
      <c r="D42" s="192" t="inlineStr">
        <is>
          <t>Мастика битумно-полимерная</t>
        </is>
      </c>
      <c r="E42" s="384" t="inlineStr">
        <is>
          <t>т</t>
        </is>
      </c>
      <c r="F42" s="384" t="n">
        <v>0.021</v>
      </c>
      <c r="G42" s="198" t="n">
        <v>1500</v>
      </c>
      <c r="H42" s="198" t="n">
        <v>31.5</v>
      </c>
      <c r="I42" s="217" t="n"/>
      <c r="J42" s="204" t="n"/>
    </row>
    <row r="43" ht="25.5" customHeight="1" s="314">
      <c r="A43" s="194" t="n">
        <v>27</v>
      </c>
      <c r="B43" s="351" t="n"/>
      <c r="C43" s="191" t="inlineStr">
        <is>
          <t>01.1.01.09-0024</t>
        </is>
      </c>
      <c r="D43" s="192" t="inlineStr">
        <is>
          <t>Шнур асбестовый общего назначения марки: ШАОН диаметром 3-5 мм</t>
        </is>
      </c>
      <c r="E43" s="384" t="inlineStr">
        <is>
          <t>т</t>
        </is>
      </c>
      <c r="F43" s="384" t="n">
        <v>0.001</v>
      </c>
      <c r="G43" s="198" t="n">
        <v>26950</v>
      </c>
      <c r="H43" s="198" t="n">
        <v>26.95</v>
      </c>
      <c r="I43" s="217" t="n"/>
      <c r="J43" s="204" t="n"/>
    </row>
    <row r="44">
      <c r="A44" s="194" t="n">
        <v>28</v>
      </c>
      <c r="B44" s="351" t="n"/>
      <c r="C44" s="191" t="inlineStr">
        <is>
          <t>01.7.07.29-0111</t>
        </is>
      </c>
      <c r="D44" s="192" t="inlineStr">
        <is>
          <t>Пакля пропитанная</t>
        </is>
      </c>
      <c r="E44" s="384" t="inlineStr">
        <is>
          <t>кг</t>
        </is>
      </c>
      <c r="F44" s="384" t="n">
        <v>2.4</v>
      </c>
      <c r="G44" s="198" t="n">
        <v>9.039999999999999</v>
      </c>
      <c r="H44" s="198" t="n">
        <v>21.7</v>
      </c>
      <c r="I44" s="217" t="n"/>
      <c r="J44" s="204" t="n"/>
    </row>
    <row r="45" ht="25.5" customHeight="1" s="314">
      <c r="A45" s="194" t="n">
        <v>29</v>
      </c>
      <c r="B45" s="351" t="n"/>
      <c r="C45" s="191" t="inlineStr">
        <is>
          <t>01.2.01.01-0019</t>
        </is>
      </c>
      <c r="D45" s="192" t="inlineStr">
        <is>
          <t>Битумы нефтяные дорожные марки: БНД-60/90, БНД 90/130</t>
        </is>
      </c>
      <c r="E45" s="384" t="inlineStr">
        <is>
          <t>т</t>
        </is>
      </c>
      <c r="F45" s="384" t="n">
        <v>0.003</v>
      </c>
      <c r="G45" s="198" t="n">
        <v>1690</v>
      </c>
      <c r="H45" s="198" t="n">
        <v>5.07</v>
      </c>
      <c r="I45" s="217" t="n"/>
      <c r="J45" s="204" t="n"/>
    </row>
    <row r="46" ht="25.5" customHeight="1" s="314">
      <c r="A46" s="194" t="n">
        <v>30</v>
      </c>
      <c r="B46" s="351" t="n"/>
      <c r="C46" s="191" t="inlineStr">
        <is>
          <t>999-9950</t>
        </is>
      </c>
      <c r="D46" s="192" t="inlineStr">
        <is>
          <t>Вспомогательные ненормируемые ресурсы (2% от Оплаты труда рабочих)</t>
        </is>
      </c>
      <c r="E46" s="384" t="inlineStr">
        <is>
          <t>руб.</t>
        </is>
      </c>
      <c r="F46" s="384" t="n">
        <v>4.903</v>
      </c>
      <c r="G46" s="198" t="n">
        <v>1</v>
      </c>
      <c r="H46" s="198" t="n">
        <v>4.9</v>
      </c>
      <c r="I46" s="217" t="n"/>
      <c r="J46" s="204" t="n"/>
    </row>
    <row r="47">
      <c r="A47" s="194" t="n">
        <v>31</v>
      </c>
      <c r="B47" s="351" t="n"/>
      <c r="C47" s="191" t="inlineStr">
        <is>
          <t>01.7.03.01-0001</t>
        </is>
      </c>
      <c r="D47" s="192" t="inlineStr">
        <is>
          <t>Вода</t>
        </is>
      </c>
      <c r="E47" s="384" t="inlineStr">
        <is>
          <t>м3</t>
        </is>
      </c>
      <c r="F47" s="384" t="n">
        <v>1.05</v>
      </c>
      <c r="G47" s="198" t="n">
        <v>2.44</v>
      </c>
      <c r="H47" s="198" t="n">
        <v>2.56</v>
      </c>
      <c r="I47" s="217" t="n"/>
      <c r="J47" s="204" t="n"/>
    </row>
    <row r="48" ht="25.5" customHeight="1" s="314">
      <c r="A48" s="194" t="n">
        <v>32</v>
      </c>
      <c r="B48" s="351" t="n"/>
      <c r="C48" s="191" t="inlineStr">
        <is>
          <t>02.2.05.04-0093</t>
        </is>
      </c>
      <c r="D48" s="192" t="inlineStr">
        <is>
          <t>Щебень из природного камня для строительных работ марка: 800, фракция 20-40 мм</t>
        </is>
      </c>
      <c r="E48" s="384" t="inlineStr">
        <is>
          <t>м3</t>
        </is>
      </c>
      <c r="F48" s="384" t="n">
        <v>0.0052</v>
      </c>
      <c r="G48" s="198" t="n">
        <v>108.4</v>
      </c>
      <c r="H48" s="198" t="n">
        <v>0.5600000000000001</v>
      </c>
      <c r="I48" s="217" t="n"/>
      <c r="J48" s="204" t="n"/>
    </row>
    <row r="51">
      <c r="B51" s="316" t="inlineStr">
        <is>
          <t>Составил ______________________     Д.Ю. Нефедова</t>
        </is>
      </c>
    </row>
    <row r="52">
      <c r="B52" s="300" t="inlineStr">
        <is>
          <t xml:space="preserve">                         (подпись, инициалы, фамилия)</t>
        </is>
      </c>
    </row>
    <row r="54">
      <c r="B54" s="316" t="inlineStr">
        <is>
          <t>Проверил ______________________        А.В. Костянецкая</t>
        </is>
      </c>
    </row>
    <row r="55">
      <c r="B55" s="30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F9:F10"/>
    <mergeCell ref="A7:H7"/>
    <mergeCell ref="A9:A10"/>
    <mergeCell ref="A38:E38"/>
    <mergeCell ref="C5:H5"/>
    <mergeCell ref="D9:D10"/>
    <mergeCell ref="E9:E10"/>
    <mergeCell ref="A37:E37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14" min="1" max="1"/>
    <col width="36.28515625" customWidth="1" style="314" min="2" max="2"/>
    <col width="18.85546875" customWidth="1" style="314" min="3" max="3"/>
    <col width="18.28515625" customWidth="1" style="314" min="4" max="4"/>
    <col width="18.85546875" customWidth="1" style="314" min="5" max="5"/>
    <col width="11.42578125" customWidth="1" style="314" min="6" max="6"/>
    <col width="14.42578125" customWidth="1" style="314" min="7" max="7"/>
    <col width="9.140625" customWidth="1" style="314" min="8" max="11"/>
    <col width="13.5703125" customWidth="1" style="314" min="12" max="12"/>
    <col width="9.140625" customWidth="1" style="314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6" t="inlineStr">
        <is>
          <t>Ресурсная модель</t>
        </is>
      </c>
    </row>
    <row r="6">
      <c r="B6" s="209" t="n"/>
      <c r="C6" s="296" t="n"/>
      <c r="D6" s="296" t="n"/>
      <c r="E6" s="296" t="n"/>
    </row>
    <row r="7" ht="38.25" customHeight="1" s="314">
      <c r="B7" s="358" t="inlineStr">
        <is>
          <t>Наименование разрабатываемого показателя УНЦ — Устройство траншеи при прокладке двух кабелей ВОК с учетом восстановления газонов</t>
        </is>
      </c>
    </row>
    <row r="8">
      <c r="B8" s="359" t="inlineStr">
        <is>
          <t>Единица измерения  — 1 км.</t>
        </is>
      </c>
    </row>
    <row r="9">
      <c r="B9" s="209" t="n"/>
      <c r="C9" s="296" t="n"/>
      <c r="D9" s="296" t="n"/>
      <c r="E9" s="296" t="n"/>
    </row>
    <row r="10" ht="51" customHeight="1" s="314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212">
        <f>'Прил.5 Расчет СМР и ОБ'!J14</f>
        <v/>
      </c>
      <c r="D11" s="213">
        <f>C11/$C$24</f>
        <v/>
      </c>
      <c r="E11" s="213">
        <f>C11/$C$40</f>
        <v/>
      </c>
    </row>
    <row r="12">
      <c r="B12" s="257" t="inlineStr">
        <is>
          <t>Эксплуатация машин основных</t>
        </is>
      </c>
      <c r="C12" s="212">
        <f>'Прил.5 Расчет СМР и ОБ'!J24</f>
        <v/>
      </c>
      <c r="D12" s="213">
        <f>C12/$C$24</f>
        <v/>
      </c>
      <c r="E12" s="213">
        <f>C12/$C$40</f>
        <v/>
      </c>
    </row>
    <row r="13">
      <c r="B13" s="257" t="inlineStr">
        <is>
          <t>Эксплуатация машин прочих</t>
        </is>
      </c>
      <c r="C13" s="212">
        <f>'Прил.5 Расчет СМР и ОБ'!J36</f>
        <v/>
      </c>
      <c r="D13" s="213">
        <f>C13/$C$24</f>
        <v/>
      </c>
      <c r="E13" s="213">
        <f>C13/$C$40</f>
        <v/>
      </c>
    </row>
    <row r="14">
      <c r="B14" s="257" t="inlineStr">
        <is>
          <t>ЭКСПЛУАТАЦИЯ МАШИН, ВСЕГО:</t>
        </is>
      </c>
      <c r="C14" s="212">
        <f>C13+C12</f>
        <v/>
      </c>
      <c r="D14" s="213">
        <f>C14/$C$24</f>
        <v/>
      </c>
      <c r="E14" s="213">
        <f>C14/$C$40</f>
        <v/>
      </c>
    </row>
    <row r="15">
      <c r="B15" s="257" t="inlineStr">
        <is>
          <t>в том числе зарплата машинистов</t>
        </is>
      </c>
      <c r="C15" s="212">
        <f>'Прил.5 Расчет СМР и ОБ'!J16</f>
        <v/>
      </c>
      <c r="D15" s="213">
        <f>C15/$C$24</f>
        <v/>
      </c>
      <c r="E15" s="213">
        <f>C15/$C$40</f>
        <v/>
      </c>
    </row>
    <row r="16">
      <c r="B16" s="257" t="inlineStr">
        <is>
          <t>Материалы основные</t>
        </is>
      </c>
      <c r="C16" s="212">
        <f>'Прил.5 Расчет СМР и ОБ'!J48</f>
        <v/>
      </c>
      <c r="D16" s="213">
        <f>C16/$C$24</f>
        <v/>
      </c>
      <c r="E16" s="213">
        <f>C16/$C$40</f>
        <v/>
      </c>
    </row>
    <row r="17">
      <c r="B17" s="257" t="inlineStr">
        <is>
          <t>Материалы прочие</t>
        </is>
      </c>
      <c r="C17" s="212">
        <f>'Прил.5 Расчет СМР и ОБ'!J57</f>
        <v/>
      </c>
      <c r="D17" s="213">
        <f>C17/$C$24</f>
        <v/>
      </c>
      <c r="E17" s="213">
        <f>C17/$C$40</f>
        <v/>
      </c>
      <c r="G17" s="440" t="n"/>
    </row>
    <row r="18">
      <c r="B18" s="257" t="inlineStr">
        <is>
          <t>МАТЕРИАЛЫ, ВСЕГО:</t>
        </is>
      </c>
      <c r="C18" s="212">
        <f>C17+C16</f>
        <v/>
      </c>
      <c r="D18" s="213">
        <f>C18/$C$24</f>
        <v/>
      </c>
      <c r="E18" s="213">
        <f>C18/$C$40</f>
        <v/>
      </c>
    </row>
    <row r="19">
      <c r="B19" s="257" t="inlineStr">
        <is>
          <t>ИТОГО</t>
        </is>
      </c>
      <c r="C19" s="212">
        <f>C18+C14+C11</f>
        <v/>
      </c>
      <c r="D19" s="213" t="n"/>
      <c r="E19" s="257" t="n"/>
    </row>
    <row r="20">
      <c r="B20" s="257" t="inlineStr">
        <is>
          <t>Сметная прибыль, руб.</t>
        </is>
      </c>
      <c r="C20" s="212">
        <f>ROUND(C21*(C11+C15),2)</f>
        <v/>
      </c>
      <c r="D20" s="213">
        <f>C20/$C$24</f>
        <v/>
      </c>
      <c r="E20" s="213">
        <f>C20/$C$40</f>
        <v/>
      </c>
    </row>
    <row r="21">
      <c r="B21" s="257" t="inlineStr">
        <is>
          <t>Сметная прибыль, %</t>
        </is>
      </c>
      <c r="C21" s="215">
        <f>'Прил.5 Расчет СМР и ОБ'!D61</f>
        <v/>
      </c>
      <c r="D21" s="213" t="n"/>
      <c r="E21" s="257" t="n"/>
    </row>
    <row r="22">
      <c r="B22" s="257" t="inlineStr">
        <is>
          <t>Накладные расходы, руб.</t>
        </is>
      </c>
      <c r="C22" s="212">
        <f>ROUND(C23*(C11+C15),2)</f>
        <v/>
      </c>
      <c r="D22" s="213">
        <f>C22/$C$24</f>
        <v/>
      </c>
      <c r="E22" s="213">
        <f>C22/$C$40</f>
        <v/>
      </c>
    </row>
    <row r="23">
      <c r="B23" s="257" t="inlineStr">
        <is>
          <t>Накладные расходы, %</t>
        </is>
      </c>
      <c r="C23" s="215">
        <f>'Прил.5 Расчет СМР и ОБ'!D60</f>
        <v/>
      </c>
      <c r="D23" s="213" t="n"/>
      <c r="E23" s="257" t="n"/>
    </row>
    <row r="24">
      <c r="B24" s="257" t="inlineStr">
        <is>
          <t>ВСЕГО СМР с НР и СП</t>
        </is>
      </c>
      <c r="C24" s="212">
        <f>C19+C20+C22</f>
        <v/>
      </c>
      <c r="D24" s="213">
        <f>C24/$C$24</f>
        <v/>
      </c>
      <c r="E24" s="213">
        <f>C24/$C$40</f>
        <v/>
      </c>
    </row>
    <row r="25" ht="25.5" customHeight="1" s="314">
      <c r="B25" s="257" t="inlineStr">
        <is>
          <t>ВСЕГО стоимость оборудования, в том числе</t>
        </is>
      </c>
      <c r="C25" s="212">
        <f>'Прил.5 Расчет СМР и ОБ'!J42</f>
        <v/>
      </c>
      <c r="D25" s="213" t="n"/>
      <c r="E25" s="213">
        <f>C25/$C$40</f>
        <v/>
      </c>
    </row>
    <row r="26" ht="25.5" customHeight="1" s="314">
      <c r="B26" s="257" t="inlineStr">
        <is>
          <t>стоимость оборудования технологического</t>
        </is>
      </c>
      <c r="C26" s="212">
        <f>'Прил.5 Расчет СМР и ОБ'!J43</f>
        <v/>
      </c>
      <c r="D26" s="213" t="n"/>
      <c r="E26" s="213">
        <f>C26/$C$40</f>
        <v/>
      </c>
    </row>
    <row r="27">
      <c r="B27" s="257" t="inlineStr">
        <is>
          <t>ИТОГО (СМР + ОБОРУДОВАНИЕ)</t>
        </is>
      </c>
      <c r="C27" s="166">
        <f>C24+C25</f>
        <v/>
      </c>
      <c r="D27" s="213" t="n"/>
      <c r="E27" s="213">
        <f>C27/$C$40</f>
        <v/>
      </c>
    </row>
    <row r="28" ht="33" customHeight="1" s="314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  <c r="F28" s="216" t="n"/>
    </row>
    <row r="29" ht="25.5" customHeight="1" s="314">
      <c r="B29" s="257" t="inlineStr">
        <is>
          <t>Временные здания и сооружения - 2,5%</t>
        </is>
      </c>
      <c r="C29" s="166">
        <f>ROUND(C24*2.5%,2)</f>
        <v/>
      </c>
      <c r="D29" s="257" t="n"/>
      <c r="E29" s="213">
        <f>C29/$C$40</f>
        <v/>
      </c>
    </row>
    <row r="30" ht="38.25" customHeight="1" s="314">
      <c r="B30" s="257" t="inlineStr">
        <is>
          <t>Дополнительные затраты при производстве строительно-монтажных работ в зимнее время - 2,1%</t>
        </is>
      </c>
      <c r="C30" s="166">
        <f>ROUND((C24+C29)*2.1%,2)</f>
        <v/>
      </c>
      <c r="D30" s="257" t="n"/>
      <c r="E30" s="213">
        <f>C30/$C$40</f>
        <v/>
      </c>
      <c r="F30" s="216" t="n"/>
    </row>
    <row r="31">
      <c r="B31" s="257" t="inlineStr">
        <is>
          <t>Пусконаладочные работы</t>
        </is>
      </c>
      <c r="C31" s="166" t="n">
        <v>0</v>
      </c>
      <c r="D31" s="257" t="n"/>
      <c r="E31" s="213">
        <f>C31/$C$40</f>
        <v/>
      </c>
    </row>
    <row r="32" ht="25.5" customHeight="1" s="314">
      <c r="B32" s="257" t="inlineStr">
        <is>
          <t>Затраты по перевозке работников к месту работы и обратно</t>
        </is>
      </c>
      <c r="C32" s="166">
        <f>ROUND(C27*0%,2)</f>
        <v/>
      </c>
      <c r="D32" s="257" t="n"/>
      <c r="E32" s="213">
        <f>C32/$C$40</f>
        <v/>
      </c>
    </row>
    <row r="33" ht="25.5" customHeight="1" s="314">
      <c r="B33" s="257" t="inlineStr">
        <is>
          <t>Затраты, связанные с осуществлением работ вахтовым методом</t>
        </is>
      </c>
      <c r="C33" s="166">
        <f>ROUND(C28*0%,2)</f>
        <v/>
      </c>
      <c r="D33" s="257" t="n"/>
      <c r="E33" s="213">
        <f>C33/$C$40</f>
        <v/>
      </c>
    </row>
    <row r="34" ht="51" customHeight="1" s="314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6">
        <f>ROUND(C29*0%,2)</f>
        <v/>
      </c>
      <c r="D34" s="257" t="n"/>
      <c r="E34" s="213">
        <f>C34/$C$40</f>
        <v/>
      </c>
      <c r="H34" s="217" t="n"/>
    </row>
    <row r="35" ht="76.5" customHeight="1" s="314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6">
        <f>ROUND(C30*0%,2)</f>
        <v/>
      </c>
      <c r="D35" s="257" t="n"/>
      <c r="E35" s="213">
        <f>C35/$C$40</f>
        <v/>
      </c>
    </row>
    <row r="36" ht="25.5" customHeight="1" s="314">
      <c r="B36" s="257" t="inlineStr">
        <is>
          <t>Строительный контроль и содержание службы заказчика - 2,14%</t>
        </is>
      </c>
      <c r="C36" s="166">
        <f>ROUND((C27+C32+C33+C34+C35+C29+C31+C30)*2.14%,2)</f>
        <v/>
      </c>
      <c r="D36" s="257" t="n"/>
      <c r="E36" s="213">
        <f>C36/$C$40</f>
        <v/>
      </c>
      <c r="L36" s="216" t="n"/>
    </row>
    <row r="37">
      <c r="B37" s="257" t="inlineStr">
        <is>
          <t>Авторский надзор - 0,2%</t>
        </is>
      </c>
      <c r="C37" s="166">
        <f>ROUND((C27+C32+C33+C34+C35+C29+C31+C30)*0.2%,2)</f>
        <v/>
      </c>
      <c r="D37" s="257" t="n"/>
      <c r="E37" s="213">
        <f>C37/$C$40</f>
        <v/>
      </c>
      <c r="L37" s="216" t="n"/>
    </row>
    <row r="38" ht="38.25" customHeight="1" s="314">
      <c r="B38" s="257" t="inlineStr">
        <is>
          <t>ИТОГО (СМР+ОБОРУДОВАНИЕ+ПРОЧ. ЗАТР., УЧТЕННЫЕ ПОКАЗАТЕЛЕМ)</t>
        </is>
      </c>
      <c r="C38" s="212">
        <f>C27+C32+C33+C34+C35+C29+C31+C30+C36+C37</f>
        <v/>
      </c>
      <c r="D38" s="257" t="n"/>
      <c r="E38" s="213">
        <f>C38/$C$40</f>
        <v/>
      </c>
    </row>
    <row r="39" ht="13.5" customHeight="1" s="314">
      <c r="B39" s="257" t="inlineStr">
        <is>
          <t>Непредвиденные расходы</t>
        </is>
      </c>
      <c r="C39" s="212">
        <f>ROUND(C38*3%,2)</f>
        <v/>
      </c>
      <c r="D39" s="257" t="n"/>
      <c r="E39" s="213">
        <f>C39/$C$38</f>
        <v/>
      </c>
    </row>
    <row r="40">
      <c r="B40" s="257" t="inlineStr">
        <is>
          <t>ВСЕГО:</t>
        </is>
      </c>
      <c r="C40" s="212">
        <f>C39+C38</f>
        <v/>
      </c>
      <c r="D40" s="257" t="n"/>
      <c r="E40" s="213">
        <f>C40/$C$40</f>
        <v/>
      </c>
    </row>
    <row r="41">
      <c r="B41" s="257" t="inlineStr">
        <is>
          <t>ИТОГО ПОКАЗАТЕЛЬ НА ЕД. ИЗМ.</t>
        </is>
      </c>
      <c r="C41" s="212">
        <f>C40/'Прил.5 Расчет СМР и ОБ'!E64</f>
        <v/>
      </c>
      <c r="D41" s="257" t="n"/>
      <c r="E41" s="257" t="n"/>
    </row>
    <row r="42">
      <c r="B42" s="218" t="n"/>
      <c r="C42" s="296" t="n"/>
      <c r="D42" s="296" t="n"/>
      <c r="E42" s="296" t="n"/>
    </row>
    <row r="43">
      <c r="B43" s="218" t="inlineStr">
        <is>
          <t>Составил ____________________________ Д.Ю. Нефедова</t>
        </is>
      </c>
      <c r="C43" s="296" t="n"/>
      <c r="D43" s="296" t="n"/>
      <c r="E43" s="296" t="n"/>
    </row>
    <row r="44">
      <c r="B44" s="218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18" t="n"/>
      <c r="C45" s="296" t="n"/>
      <c r="D45" s="296" t="n"/>
      <c r="E45" s="296" t="n"/>
    </row>
    <row r="46">
      <c r="B46" s="218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4"/>
  <sheetViews>
    <sheetView tabSelected="1" view="pageBreakPreview" zoomScaleSheetLayoutView="100" workbookViewId="0">
      <selection activeCell="N10" sqref="N10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4" min="13" max="13"/>
    <col width="27.42578125" customWidth="1" style="314" min="14" max="14"/>
    <col width="9.140625" customWidth="1" style="314" min="15" max="15"/>
  </cols>
  <sheetData>
    <row r="1" s="314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4">
      <c r="A2" s="297" t="n"/>
      <c r="B2" s="297" t="n"/>
      <c r="C2" s="297" t="n"/>
      <c r="D2" s="297" t="n"/>
      <c r="E2" s="297" t="n"/>
      <c r="F2" s="297" t="n"/>
      <c r="G2" s="297" t="n"/>
      <c r="H2" s="360" t="inlineStr">
        <is>
          <t>Приложение №5</t>
        </is>
      </c>
      <c r="K2" s="297" t="n"/>
      <c r="L2" s="297" t="n"/>
      <c r="M2" s="297" t="n"/>
      <c r="N2" s="297" t="n"/>
    </row>
    <row r="3" s="314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6">
      <c r="A4" s="336" t="inlineStr">
        <is>
          <t>Расчет стоимости СМР и оборудования</t>
        </is>
      </c>
    </row>
    <row r="5" ht="12.75" customFormat="1" customHeight="1" s="296">
      <c r="A5" s="336" t="n"/>
      <c r="B5" s="336" t="n"/>
      <c r="C5" s="387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96">
      <c r="A6" s="223" t="inlineStr">
        <is>
          <t>Наименование разрабатываемого показателя УНЦ</t>
        </is>
      </c>
      <c r="B6" s="224" t="n"/>
      <c r="C6" s="224" t="n"/>
      <c r="D6" s="366" t="inlineStr">
        <is>
          <t>Устройство траншеи при прокладке двух кабелей ВОК с учетом восстановления газонов</t>
        </is>
      </c>
    </row>
    <row r="7" ht="12.75" customFormat="1" customHeight="1" s="296">
      <c r="A7" s="339" t="inlineStr">
        <is>
          <t>Единица измерения  — 1 км.</t>
        </is>
      </c>
      <c r="I7" s="358" t="n"/>
      <c r="J7" s="358" t="n"/>
    </row>
    <row r="8" ht="13.5" customFormat="1" customHeight="1" s="296">
      <c r="A8" s="339" t="n"/>
    </row>
    <row r="9" ht="27" customHeight="1" s="314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32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32" t="n"/>
      <c r="K9" s="297" t="n"/>
      <c r="L9" s="297" t="n"/>
      <c r="M9" s="297" t="n"/>
      <c r="N9" s="297" t="n"/>
    </row>
    <row r="10" ht="28.5" customHeight="1" s="314">
      <c r="A10" s="434" t="n"/>
      <c r="B10" s="434" t="n"/>
      <c r="C10" s="434" t="n"/>
      <c r="D10" s="434" t="n"/>
      <c r="E10" s="434" t="n"/>
      <c r="F10" s="363" t="inlineStr">
        <is>
          <t>на ед. изм.</t>
        </is>
      </c>
      <c r="G10" s="363" t="inlineStr">
        <is>
          <t>общая</t>
        </is>
      </c>
      <c r="H10" s="434" t="n"/>
      <c r="I10" s="363" t="inlineStr">
        <is>
          <t>на ед. изм.</t>
        </is>
      </c>
      <c r="J10" s="363" t="inlineStr">
        <is>
          <t>общая</t>
        </is>
      </c>
      <c r="K10" s="297" t="n"/>
      <c r="L10" s="297" t="n"/>
      <c r="M10" s="297" t="n"/>
      <c r="N10" s="297" t="n"/>
    </row>
    <row r="11" s="314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7" t="n"/>
      <c r="L11" s="297" t="n"/>
      <c r="M11" s="297" t="n"/>
      <c r="N11" s="297" t="n"/>
    </row>
    <row r="12">
      <c r="A12" s="363" t="n"/>
      <c r="B12" s="349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38" t="n"/>
      <c r="J12" s="238" t="n"/>
    </row>
    <row r="13" ht="25.5" customHeight="1" s="314">
      <c r="A13" s="363" t="n">
        <v>1</v>
      </c>
      <c r="B13" s="232" t="inlineStr">
        <is>
          <t>1-2-0</t>
        </is>
      </c>
      <c r="C13" s="371" t="inlineStr">
        <is>
          <t>Затраты труда рабочих-строителей среднего разряда (2,0)</t>
        </is>
      </c>
      <c r="D13" s="363" t="inlineStr">
        <is>
          <t>чел.-ч.</t>
        </is>
      </c>
      <c r="E13" s="441">
        <f>G13/F13</f>
        <v/>
      </c>
      <c r="F13" s="280" t="n">
        <v>7.8</v>
      </c>
      <c r="G13" s="280">
        <f>Прил.3!H12</f>
        <v/>
      </c>
      <c r="H13" s="236">
        <f>G13/G14</f>
        <v/>
      </c>
      <c r="I13" s="280">
        <f>ФОТр.тек.!E13</f>
        <v/>
      </c>
      <c r="J13" s="280">
        <f>ROUND(I13*E13,2)</f>
        <v/>
      </c>
    </row>
    <row r="14" ht="25.5" customFormat="1" customHeight="1" s="297">
      <c r="A14" s="363" t="n"/>
      <c r="B14" s="363" t="n"/>
      <c r="C14" s="349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1">
        <f>SUM(E13)</f>
        <v/>
      </c>
      <c r="F14" s="280" t="n"/>
      <c r="G14" s="280">
        <f>SUM(G13:G13)</f>
        <v/>
      </c>
      <c r="H14" s="374" t="n">
        <v>1</v>
      </c>
      <c r="I14" s="238" t="n"/>
      <c r="J14" s="280">
        <f>SUM(J13:J13)</f>
        <v/>
      </c>
    </row>
    <row r="15" ht="14.25" customFormat="1" customHeight="1" s="297">
      <c r="A15" s="363" t="n"/>
      <c r="B15" s="371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38" t="n"/>
      <c r="J15" s="238" t="n"/>
    </row>
    <row r="16" ht="14.25" customFormat="1" customHeight="1" s="297">
      <c r="A16" s="363" t="n">
        <v>2</v>
      </c>
      <c r="B16" s="363" t="n">
        <v>2</v>
      </c>
      <c r="C16" s="371" t="inlineStr">
        <is>
          <t>Затраты труда машинистов</t>
        </is>
      </c>
      <c r="D16" s="363" t="inlineStr">
        <is>
          <t>чел.-ч.</t>
        </is>
      </c>
      <c r="E16" s="441">
        <f>29.49+28.65</f>
        <v/>
      </c>
      <c r="F16" s="280">
        <f>G16/E16</f>
        <v/>
      </c>
      <c r="G16" s="280">
        <f>Прил.3!H18</f>
        <v/>
      </c>
      <c r="H16" s="374" t="n">
        <v>1</v>
      </c>
      <c r="I16" s="280">
        <f>ROUND(F16*Прил.10!D11,2)</f>
        <v/>
      </c>
      <c r="J16" s="280">
        <f>ROUND(I16*E16,2)</f>
        <v/>
      </c>
    </row>
    <row r="17" ht="14.25" customFormat="1" customHeight="1" s="297">
      <c r="A17" s="363" t="n"/>
      <c r="B17" s="349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38" t="n"/>
      <c r="J17" s="238" t="n"/>
    </row>
    <row r="18" ht="14.25" customFormat="1" customHeight="1" s="297">
      <c r="A18" s="363" t="n"/>
      <c r="B18" s="371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38" t="n"/>
      <c r="J18" s="238" t="n"/>
    </row>
    <row r="19" ht="25.5" customFormat="1" customHeight="1" s="297">
      <c r="A19" s="363" t="n">
        <v>3</v>
      </c>
      <c r="B19" s="232" t="inlineStr">
        <is>
          <t>91.14.03-002</t>
        </is>
      </c>
      <c r="C19" s="371" t="inlineStr">
        <is>
          <t>Автомобили-самосвалы, грузоподъемность до 10 т</t>
        </is>
      </c>
      <c r="D19" s="363" t="inlineStr">
        <is>
          <t>маш.-ч</t>
        </is>
      </c>
      <c r="E19" s="441" t="n">
        <v>26.96</v>
      </c>
      <c r="F19" s="373" t="n">
        <v>87.48999999999999</v>
      </c>
      <c r="G19" s="280">
        <f>ROUND(E19*F19,2)</f>
        <v/>
      </c>
      <c r="H19" s="236">
        <f>G19/$G$37</f>
        <v/>
      </c>
      <c r="I19" s="280">
        <f>ROUND(F19*Прил.10!$D$12,2)</f>
        <v/>
      </c>
      <c r="J19" s="280">
        <f>ROUND(I19*E19,2)</f>
        <v/>
      </c>
    </row>
    <row r="20" ht="51" customFormat="1" customHeight="1" s="297">
      <c r="A20" s="363" t="n">
        <v>4</v>
      </c>
      <c r="B20" s="232" t="inlineStr">
        <is>
          <t>91.18.01-007</t>
        </is>
      </c>
      <c r="C20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63" t="inlineStr">
        <is>
          <t>маш.-ч</t>
        </is>
      </c>
      <c r="E20" s="441" t="n">
        <v>13.72</v>
      </c>
      <c r="F20" s="373" t="n">
        <v>90</v>
      </c>
      <c r="G20" s="280">
        <f>ROUND(E20*F20,2)</f>
        <v/>
      </c>
      <c r="H20" s="236">
        <f>G20/$G$37</f>
        <v/>
      </c>
      <c r="I20" s="280">
        <f>ROUND(F20*Прил.10!$D$12,2)</f>
        <v/>
      </c>
      <c r="J20" s="280">
        <f>ROUND(I20*E20,2)</f>
        <v/>
      </c>
    </row>
    <row r="21" ht="25.5" customFormat="1" customHeight="1" s="297">
      <c r="A21" s="363" t="n">
        <v>5</v>
      </c>
      <c r="B21" s="232" t="inlineStr">
        <is>
          <t>91.14.02-001</t>
        </is>
      </c>
      <c r="C21" s="371" t="inlineStr">
        <is>
          <t>Автомобили бортовые, грузоподъемность до 5 т</t>
        </is>
      </c>
      <c r="D21" s="363" t="inlineStr">
        <is>
          <t>маш.-ч</t>
        </is>
      </c>
      <c r="E21" s="441" t="n">
        <v>6.89</v>
      </c>
      <c r="F21" s="373" t="n">
        <v>65.70999999999999</v>
      </c>
      <c r="G21" s="280">
        <f>ROUND(E21*F21,2)</f>
        <v/>
      </c>
      <c r="H21" s="236">
        <f>G21/$G$37</f>
        <v/>
      </c>
      <c r="I21" s="280">
        <f>ROUND(F21*Прил.10!$D$12,2)</f>
        <v/>
      </c>
      <c r="J21" s="280">
        <f>ROUND(I21*E21,2)</f>
        <v/>
      </c>
    </row>
    <row r="22" ht="25.5" customFormat="1" customHeight="1" s="297">
      <c r="A22" s="363" t="n">
        <v>6</v>
      </c>
      <c r="B22" s="232" t="inlineStr">
        <is>
          <t>91.05.05-014</t>
        </is>
      </c>
      <c r="C22" s="371" t="inlineStr">
        <is>
          <t>Краны на автомобильном ходу, грузоподъемность 10 т</t>
        </is>
      </c>
      <c r="D22" s="363" t="inlineStr">
        <is>
          <t>маш.-ч</t>
        </is>
      </c>
      <c r="E22" s="441" t="n">
        <v>3.66</v>
      </c>
      <c r="F22" s="373" t="n">
        <v>111.99</v>
      </c>
      <c r="G22" s="280">
        <f>ROUND(E22*F22,2)</f>
        <v/>
      </c>
      <c r="H22" s="236">
        <f>G22/$G$37</f>
        <v/>
      </c>
      <c r="I22" s="280">
        <f>ROUND(F22*Прил.10!$D$12,2)</f>
        <v/>
      </c>
      <c r="J22" s="280">
        <f>ROUND(I22*E22,2)</f>
        <v/>
      </c>
    </row>
    <row r="23" ht="14.25" customFormat="1" customHeight="1" s="297">
      <c r="A23" s="363" t="n">
        <v>7</v>
      </c>
      <c r="B23" s="232" t="inlineStr">
        <is>
          <t>91.06.05-011</t>
        </is>
      </c>
      <c r="C23" s="371" t="inlineStr">
        <is>
          <t>Погрузчики, грузоподъемность 5 т</t>
        </is>
      </c>
      <c r="D23" s="363" t="inlineStr">
        <is>
          <t>маш.-ч</t>
        </is>
      </c>
      <c r="E23" s="441" t="n">
        <v>2.04</v>
      </c>
      <c r="F23" s="373" t="n">
        <v>89.98999999999999</v>
      </c>
      <c r="G23" s="280">
        <f>ROUND(E23*F23,2)</f>
        <v/>
      </c>
      <c r="H23" s="236">
        <f>G23/$G$37</f>
        <v/>
      </c>
      <c r="I23" s="280">
        <f>ROUND(F23*Прил.10!$D$12,2)</f>
        <v/>
      </c>
      <c r="J23" s="280">
        <f>ROUND(I23*E23,2)</f>
        <v/>
      </c>
    </row>
    <row r="24" ht="14.25" customFormat="1" customHeight="1" s="297">
      <c r="A24" s="363" t="n"/>
      <c r="B24" s="363" t="n"/>
      <c r="C24" s="371" t="inlineStr">
        <is>
          <t>Итого основные машины и механизмы</t>
        </is>
      </c>
      <c r="D24" s="363" t="n"/>
      <c r="E24" s="441" t="n"/>
      <c r="F24" s="280" t="n"/>
      <c r="G24" s="280">
        <f>SUM(G19:G23)</f>
        <v/>
      </c>
      <c r="H24" s="374">
        <f>G24/G37</f>
        <v/>
      </c>
      <c r="I24" s="279" t="n"/>
      <c r="J24" s="280">
        <f>SUM(J19:J23)</f>
        <v/>
      </c>
    </row>
    <row r="25" hidden="1" outlineLevel="1" ht="14.25" customFormat="1" customHeight="1" s="297">
      <c r="A25" s="363" t="n">
        <v>8</v>
      </c>
      <c r="B25" s="232" t="inlineStr">
        <is>
          <t>91.08.11-011</t>
        </is>
      </c>
      <c r="C25" s="371" t="inlineStr">
        <is>
          <t>Заливщик швов на базе автомобиля</t>
        </is>
      </c>
      <c r="D25" s="363" t="inlineStr">
        <is>
          <t>маш.час</t>
        </is>
      </c>
      <c r="E25" s="441" t="n">
        <v>0.98</v>
      </c>
      <c r="F25" s="373" t="n">
        <v>175.25</v>
      </c>
      <c r="G25" s="280">
        <f>ROUND(E25*F25,2)</f>
        <v/>
      </c>
      <c r="H25" s="236">
        <f>G25/$G$37</f>
        <v/>
      </c>
      <c r="I25" s="280">
        <f>ROUND(F25*Прил.10!$D$12,2)</f>
        <v/>
      </c>
      <c r="J25" s="280">
        <f>ROUND(I25*E25,2)</f>
        <v/>
      </c>
    </row>
    <row r="26" hidden="1" outlineLevel="1" ht="25.5" customFormat="1" customHeight="1" s="297">
      <c r="A26" s="363" t="n">
        <v>9</v>
      </c>
      <c r="B26" s="232" t="inlineStr">
        <is>
          <t>91.08.06-003</t>
        </is>
      </c>
      <c r="C26" s="371" t="inlineStr">
        <is>
          <t>Нарезчик швов, максимальная глубина резки 200 мм</t>
        </is>
      </c>
      <c r="D26" s="363" t="inlineStr">
        <is>
          <t>маш.час</t>
        </is>
      </c>
      <c r="E26" s="441" t="n">
        <v>2.51</v>
      </c>
      <c r="F26" s="373" t="n">
        <v>60.89</v>
      </c>
      <c r="G26" s="280">
        <f>ROUND(E26*F26,2)</f>
        <v/>
      </c>
      <c r="H26" s="236">
        <f>G26/$G$37</f>
        <v/>
      </c>
      <c r="I26" s="280">
        <f>ROUND(F26*Прил.10!$D$12,2)</f>
        <v/>
      </c>
      <c r="J26" s="280">
        <f>ROUND(I26*E26,2)</f>
        <v/>
      </c>
    </row>
    <row r="27" hidden="1" outlineLevel="1" ht="25.5" customFormat="1" customHeight="1" s="297">
      <c r="A27" s="363" t="n">
        <v>10</v>
      </c>
      <c r="B27" s="232" t="inlineStr">
        <is>
          <t>91.01.02-004</t>
        </is>
      </c>
      <c r="C27" s="371" t="inlineStr">
        <is>
          <t>Автогрейдеры: среднего типа, мощность 99 кВт (135 л.с.)</t>
        </is>
      </c>
      <c r="D27" s="363" t="inlineStr">
        <is>
          <t>маш.час</t>
        </is>
      </c>
      <c r="E27" s="441" t="n">
        <v>0.95</v>
      </c>
      <c r="F27" s="373" t="n">
        <v>123</v>
      </c>
      <c r="G27" s="280">
        <f>ROUND(E27*F27,2)</f>
        <v/>
      </c>
      <c r="H27" s="236">
        <f>G27/$G$37</f>
        <v/>
      </c>
      <c r="I27" s="280">
        <f>ROUND(F27*Прил.10!$D$12,2)</f>
        <v/>
      </c>
      <c r="J27" s="280">
        <f>ROUND(I27*E27,2)</f>
        <v/>
      </c>
    </row>
    <row r="28" hidden="1" outlineLevel="1" ht="25.5" customFormat="1" customHeight="1" s="297">
      <c r="A28" s="363" t="n">
        <v>11</v>
      </c>
      <c r="B28" s="232" t="inlineStr">
        <is>
          <t>91.14.02-001</t>
        </is>
      </c>
      <c r="C28" s="371" t="inlineStr">
        <is>
          <t>Автомобили бортовые, грузоподъемность до 5 т</t>
        </is>
      </c>
      <c r="D28" s="363" t="inlineStr">
        <is>
          <t>маш.-ч</t>
        </is>
      </c>
      <c r="E28" s="441" t="n">
        <v>1.69</v>
      </c>
      <c r="F28" s="373" t="n">
        <v>65.70999999999999</v>
      </c>
      <c r="G28" s="280">
        <f>ROUND(E28*F28,2)</f>
        <v/>
      </c>
      <c r="H28" s="236">
        <f>G28/$G$37</f>
        <v/>
      </c>
      <c r="I28" s="280">
        <f>ROUND(F28*Прил.10!$D$12,2)</f>
        <v/>
      </c>
      <c r="J28" s="280">
        <f>ROUND(I28*E28,2)</f>
        <v/>
      </c>
    </row>
    <row r="29" hidden="1" outlineLevel="1" ht="14.25" customFormat="1" customHeight="1" s="297">
      <c r="A29" s="363" t="n">
        <v>12</v>
      </c>
      <c r="B29" s="232" t="inlineStr">
        <is>
          <t>91.13.01-038</t>
        </is>
      </c>
      <c r="C29" s="371" t="inlineStr">
        <is>
          <t>Машины поливомоечные 6000 л</t>
        </is>
      </c>
      <c r="D29" s="363" t="inlineStr">
        <is>
          <t>маш.час</t>
        </is>
      </c>
      <c r="E29" s="441" t="n">
        <v>0.39</v>
      </c>
      <c r="F29" s="373" t="n">
        <v>110</v>
      </c>
      <c r="G29" s="280">
        <f>ROUND(E29*F29,2)</f>
        <v/>
      </c>
      <c r="H29" s="236">
        <f>G29/$G$37</f>
        <v/>
      </c>
      <c r="I29" s="280">
        <f>ROUND(F29*Прил.10!$D$12,2)</f>
        <v/>
      </c>
      <c r="J29" s="280">
        <f>ROUND(I29*E29,2)</f>
        <v/>
      </c>
    </row>
    <row r="30" hidden="1" outlineLevel="1" ht="38.25" customFormat="1" customHeight="1" s="297">
      <c r="A30" s="363" t="n">
        <v>13</v>
      </c>
      <c r="B30" s="232" t="inlineStr">
        <is>
          <t>91.21.10-003</t>
        </is>
      </c>
      <c r="C30" s="371" t="inlineStr">
        <is>
          <t>Молотки при работе от передвижных компрессорных станций: отбойные пневматические</t>
        </is>
      </c>
      <c r="D30" s="363" t="inlineStr">
        <is>
          <t>маш.час</t>
        </is>
      </c>
      <c r="E30" s="441" t="n">
        <v>27.33</v>
      </c>
      <c r="F30" s="373" t="n">
        <v>1.53</v>
      </c>
      <c r="G30" s="280">
        <f>ROUND(E30*F30,2)</f>
        <v/>
      </c>
      <c r="H30" s="236">
        <f>G30/$G$37</f>
        <v/>
      </c>
      <c r="I30" s="280">
        <f>ROUND(F30*Прил.10!$D$12,2)</f>
        <v/>
      </c>
      <c r="J30" s="280">
        <f>ROUND(I30*E30,2)</f>
        <v/>
      </c>
    </row>
    <row r="31" hidden="1" outlineLevel="1" ht="14.25" customFormat="1" customHeight="1" s="297">
      <c r="A31" s="363" t="n">
        <v>14</v>
      </c>
      <c r="B31" s="232" t="inlineStr">
        <is>
          <t>91.01.01-035</t>
        </is>
      </c>
      <c r="C31" s="371" t="inlineStr">
        <is>
          <t>Бульдозеры, мощность 79 кВт (108 л.с.)</t>
        </is>
      </c>
      <c r="D31" s="363" t="inlineStr">
        <is>
          <t>маш.час</t>
        </is>
      </c>
      <c r="E31" s="441" t="n">
        <v>0.52</v>
      </c>
      <c r="F31" s="373" t="n">
        <v>79.06999999999999</v>
      </c>
      <c r="G31" s="280">
        <f>ROUND(E31*F31,2)</f>
        <v/>
      </c>
      <c r="H31" s="236">
        <f>G31/$G$37</f>
        <v/>
      </c>
      <c r="I31" s="280">
        <f>ROUND(F31*Прил.10!$D$12,2)</f>
        <v/>
      </c>
      <c r="J31" s="280">
        <f>ROUND(I31*E31,2)</f>
        <v/>
      </c>
    </row>
    <row r="32" hidden="1" outlineLevel="1" ht="25.5" customFormat="1" customHeight="1" s="297">
      <c r="A32" s="363" t="n">
        <v>15</v>
      </c>
      <c r="B32" s="232" t="inlineStr">
        <is>
          <t>91.15.02-023</t>
        </is>
      </c>
      <c r="C32" s="371" t="inlineStr">
        <is>
          <t>Тракторы на гусеничном ходу, мощность 59 кВт (80 л.с.)</t>
        </is>
      </c>
      <c r="D32" s="363" t="inlineStr">
        <is>
          <t>маш.час</t>
        </is>
      </c>
      <c r="E32" s="441" t="n">
        <v>0.33</v>
      </c>
      <c r="F32" s="373" t="n">
        <v>77.2</v>
      </c>
      <c r="G32" s="280">
        <f>ROUND(E32*F32,2)</f>
        <v/>
      </c>
      <c r="H32" s="236">
        <f>G32/$G$37</f>
        <v/>
      </c>
      <c r="I32" s="280">
        <f>ROUND(F32*Прил.10!$D$12,2)</f>
        <v/>
      </c>
      <c r="J32" s="280">
        <f>ROUND(I32*E32,2)</f>
        <v/>
      </c>
    </row>
    <row r="33" hidden="1" outlineLevel="1" ht="14.25" customFormat="1" customHeight="1" s="297">
      <c r="A33" s="363" t="n">
        <v>16</v>
      </c>
      <c r="B33" s="232" t="inlineStr">
        <is>
          <t>91.08.04-021</t>
        </is>
      </c>
      <c r="C33" s="371" t="inlineStr">
        <is>
          <t>Котлы битумные: передвижные 400 л</t>
        </is>
      </c>
      <c r="D33" s="363" t="inlineStr">
        <is>
          <t>маш.час</t>
        </is>
      </c>
      <c r="E33" s="441" t="n">
        <v>0.18</v>
      </c>
      <c r="F33" s="373" t="n">
        <v>30</v>
      </c>
      <c r="G33" s="280">
        <f>ROUND(E33*F33,2)</f>
        <v/>
      </c>
      <c r="H33" s="236">
        <f>G33/$G$37</f>
        <v/>
      </c>
      <c r="I33" s="280">
        <f>ROUND(F33*Прил.10!$D$12,2)</f>
        <v/>
      </c>
      <c r="J33" s="280">
        <f>ROUND(I33*E33,2)</f>
        <v/>
      </c>
    </row>
    <row r="34" hidden="1" outlineLevel="1" ht="14.25" customFormat="1" customHeight="1" s="297">
      <c r="A34" s="363" t="n">
        <v>17</v>
      </c>
      <c r="B34" s="232" t="inlineStr">
        <is>
          <t>91.12.06-012</t>
        </is>
      </c>
      <c r="C34" s="371" t="inlineStr">
        <is>
          <t>Рыхлители прицепные (без трактора)</t>
        </is>
      </c>
      <c r="D34" s="363" t="inlineStr">
        <is>
          <t>маш.час</t>
        </is>
      </c>
      <c r="E34" s="441" t="n">
        <v>0.33</v>
      </c>
      <c r="F34" s="373" t="n">
        <v>8</v>
      </c>
      <c r="G34" s="280">
        <f>ROUND(E34*F34,2)</f>
        <v/>
      </c>
      <c r="H34" s="236">
        <f>G34/$G$37</f>
        <v/>
      </c>
      <c r="I34" s="280">
        <f>ROUND(F34*Прил.10!$D$12,2)</f>
        <v/>
      </c>
      <c r="J34" s="280">
        <f>ROUND(I34*E34,2)</f>
        <v/>
      </c>
    </row>
    <row r="35" hidden="1" outlineLevel="1" ht="25.5" customFormat="1" customHeight="1" s="297">
      <c r="A35" s="363" t="n">
        <v>18</v>
      </c>
      <c r="B35" s="232" t="inlineStr">
        <is>
          <t>91.14.03-001</t>
        </is>
      </c>
      <c r="C35" s="371" t="inlineStr">
        <is>
          <t>Автомобиль-самосвал, грузоподъемность: до 7 т</t>
        </is>
      </c>
      <c r="D35" s="363" t="inlineStr">
        <is>
          <t>маш.час</t>
        </is>
      </c>
      <c r="E35" s="441" t="n">
        <v>0.01</v>
      </c>
      <c r="F35" s="373" t="n">
        <v>89.54000000000001</v>
      </c>
      <c r="G35" s="280">
        <f>ROUND(E35*F35,2)</f>
        <v/>
      </c>
      <c r="H35" s="236">
        <f>G35/$G$37</f>
        <v/>
      </c>
      <c r="I35" s="280">
        <f>ROUND(F35*Прил.10!$D$12,2)</f>
        <v/>
      </c>
      <c r="J35" s="280">
        <f>ROUND(I35*E35,2)</f>
        <v/>
      </c>
    </row>
    <row r="36" collapsed="1" ht="14.25" customFormat="1" customHeight="1" s="297">
      <c r="A36" s="363" t="n"/>
      <c r="B36" s="363" t="n"/>
      <c r="C36" s="371" t="inlineStr">
        <is>
          <t>Итого прочие машины и механизмы</t>
        </is>
      </c>
      <c r="D36" s="363" t="n"/>
      <c r="E36" s="372" t="n"/>
      <c r="F36" s="280" t="n"/>
      <c r="G36" s="279">
        <f>SUM(G25:G35)</f>
        <v/>
      </c>
      <c r="H36" s="236">
        <f>G36/G37</f>
        <v/>
      </c>
      <c r="I36" s="280" t="n"/>
      <c r="J36" s="279">
        <f>SUM(J25:J35)</f>
        <v/>
      </c>
    </row>
    <row r="37" ht="25.5" customFormat="1" customHeight="1" s="297">
      <c r="A37" s="363" t="n"/>
      <c r="B37" s="363" t="n"/>
      <c r="C37" s="349" t="inlineStr">
        <is>
          <t>Итого по разделу «Машины и механизмы»</t>
        </is>
      </c>
      <c r="D37" s="363" t="n"/>
      <c r="E37" s="372" t="n"/>
      <c r="F37" s="280" t="n"/>
      <c r="G37" s="280">
        <f>G36+G24</f>
        <v/>
      </c>
      <c r="H37" s="281" t="n">
        <v>1</v>
      </c>
      <c r="I37" s="282" t="n"/>
      <c r="J37" s="283">
        <f>J36+J24</f>
        <v/>
      </c>
    </row>
    <row r="38" ht="14.25" customFormat="1" customHeight="1" s="297">
      <c r="A38" s="363" t="n"/>
      <c r="B38" s="349" t="inlineStr">
        <is>
          <t>Оборудование</t>
        </is>
      </c>
      <c r="C38" s="431" t="n"/>
      <c r="D38" s="431" t="n"/>
      <c r="E38" s="431" t="n"/>
      <c r="F38" s="431" t="n"/>
      <c r="G38" s="431" t="n"/>
      <c r="H38" s="432" t="n"/>
      <c r="I38" s="238" t="n"/>
      <c r="J38" s="238" t="n"/>
    </row>
    <row r="39">
      <c r="A39" s="363" t="n"/>
      <c r="B39" s="371" t="inlineStr">
        <is>
          <t>Основное оборудование</t>
        </is>
      </c>
      <c r="C39" s="431" t="n"/>
      <c r="D39" s="431" t="n"/>
      <c r="E39" s="431" t="n"/>
      <c r="F39" s="431" t="n"/>
      <c r="G39" s="431" t="n"/>
      <c r="H39" s="432" t="n"/>
      <c r="I39" s="238" t="n"/>
      <c r="J39" s="238" t="n"/>
      <c r="K39" s="297" t="n"/>
      <c r="L39" s="297" t="n"/>
    </row>
    <row r="40">
      <c r="A40" s="363" t="n"/>
      <c r="B40" s="363" t="n"/>
      <c r="C40" s="371" t="inlineStr">
        <is>
          <t>Итого основное оборудование</t>
        </is>
      </c>
      <c r="D40" s="363" t="n"/>
      <c r="E40" s="442" t="n"/>
      <c r="F40" s="373" t="n"/>
      <c r="G40" s="280" t="n">
        <v>0</v>
      </c>
      <c r="H40" s="236" t="n">
        <v>0</v>
      </c>
      <c r="I40" s="279" t="n"/>
      <c r="J40" s="280" t="n">
        <v>0</v>
      </c>
      <c r="K40" s="297" t="n"/>
      <c r="L40" s="297" t="n"/>
    </row>
    <row r="41">
      <c r="A41" s="363" t="n"/>
      <c r="B41" s="363" t="n"/>
      <c r="C41" s="371" t="inlineStr">
        <is>
          <t>Итого прочее оборудование</t>
        </is>
      </c>
      <c r="D41" s="363" t="n"/>
      <c r="E41" s="441" t="n"/>
      <c r="F41" s="373" t="n"/>
      <c r="G41" s="280" t="n">
        <v>0</v>
      </c>
      <c r="H41" s="236" t="n">
        <v>0</v>
      </c>
      <c r="I41" s="279" t="n"/>
      <c r="J41" s="280" t="n">
        <v>0</v>
      </c>
      <c r="K41" s="297" t="n"/>
      <c r="L41" s="297" t="n"/>
    </row>
    <row r="42">
      <c r="A42" s="363" t="n"/>
      <c r="B42" s="363" t="n"/>
      <c r="C42" s="349" t="inlineStr">
        <is>
          <t>Итого по разделу «Оборудование»</t>
        </is>
      </c>
      <c r="D42" s="363" t="n"/>
      <c r="E42" s="372" t="n"/>
      <c r="F42" s="373" t="n"/>
      <c r="G42" s="280">
        <f>G40+G41</f>
        <v/>
      </c>
      <c r="H42" s="236" t="n">
        <v>0</v>
      </c>
      <c r="I42" s="279" t="n"/>
      <c r="J42" s="280">
        <f>J41+J40</f>
        <v/>
      </c>
      <c r="K42" s="297" t="n"/>
      <c r="L42" s="297" t="n"/>
    </row>
    <row r="43" ht="25.5" customHeight="1" s="314">
      <c r="A43" s="363" t="n"/>
      <c r="B43" s="363" t="n"/>
      <c r="C43" s="371" t="inlineStr">
        <is>
          <t>в том числе технологическое оборудование</t>
        </is>
      </c>
      <c r="D43" s="363" t="n"/>
      <c r="E43" s="442" t="n"/>
      <c r="F43" s="373" t="n"/>
      <c r="G43" s="280">
        <f>'Прил.6 Расчет ОБ'!G12</f>
        <v/>
      </c>
      <c r="H43" s="374" t="n"/>
      <c r="I43" s="279" t="n"/>
      <c r="J43" s="280">
        <f>J42</f>
        <v/>
      </c>
      <c r="K43" s="297" t="n"/>
      <c r="L43" s="297" t="n"/>
    </row>
    <row r="44" ht="14.25" customFormat="1" customHeight="1" s="297">
      <c r="A44" s="363" t="n"/>
      <c r="B44" s="349" t="inlineStr">
        <is>
          <t>Материалы</t>
        </is>
      </c>
      <c r="C44" s="431" t="n"/>
      <c r="D44" s="431" t="n"/>
      <c r="E44" s="431" t="n"/>
      <c r="F44" s="431" t="n"/>
      <c r="G44" s="431" t="n"/>
      <c r="H44" s="432" t="n"/>
      <c r="I44" s="238" t="n"/>
      <c r="J44" s="238" t="n"/>
    </row>
    <row r="45" ht="14.25" customFormat="1" customHeight="1" s="297">
      <c r="A45" s="364" t="n"/>
      <c r="B45" s="367" t="inlineStr">
        <is>
          <t>Основные материалы</t>
        </is>
      </c>
      <c r="C45" s="443" t="n"/>
      <c r="D45" s="443" t="n"/>
      <c r="E45" s="443" t="n"/>
      <c r="F45" s="443" t="n"/>
      <c r="G45" s="443" t="n"/>
      <c r="H45" s="444" t="n"/>
      <c r="I45" s="249" t="n"/>
      <c r="J45" s="249" t="n"/>
    </row>
    <row r="46" ht="25.5" customFormat="1" customHeight="1" s="297">
      <c r="A46" s="363" t="n">
        <v>19</v>
      </c>
      <c r="B46" s="363" t="inlineStr">
        <is>
          <t>06.1.01.05-0021</t>
        </is>
      </c>
      <c r="C46" s="371" t="inlineStr">
        <is>
          <t>Кирпич керамический лицевой, размер 250x120x65 мм, марка 300</t>
        </is>
      </c>
      <c r="D46" s="363" t="inlineStr">
        <is>
          <t>1000 шт</t>
        </is>
      </c>
      <c r="E46" s="442" t="n">
        <v>1.948</v>
      </c>
      <c r="F46" s="373" t="n">
        <v>2271.3</v>
      </c>
      <c r="G46" s="280">
        <f>ROUND(E46*F46,2)</f>
        <v/>
      </c>
      <c r="H46" s="236">
        <f>G46/$G$58</f>
        <v/>
      </c>
      <c r="I46" s="280">
        <f>ROUND(F46*Прил.10!$D$13,2)</f>
        <v/>
      </c>
      <c r="J46" s="280">
        <f>ROUND(I46*E46,2)</f>
        <v/>
      </c>
    </row>
    <row r="47" ht="25.5" customFormat="1" customHeight="1" s="297">
      <c r="A47" s="363" t="n">
        <v>20</v>
      </c>
      <c r="B47" s="363" t="inlineStr">
        <is>
          <t>02.3.01.02-0015</t>
        </is>
      </c>
      <c r="C47" s="371" t="inlineStr">
        <is>
          <t>Песок природный для строительных: работ средний</t>
        </is>
      </c>
      <c r="D47" s="363" t="inlineStr">
        <is>
          <t>м3</t>
        </is>
      </c>
      <c r="E47" s="442" t="n">
        <v>18</v>
      </c>
      <c r="F47" s="373" t="n">
        <v>55.26</v>
      </c>
      <c r="G47" s="280">
        <f>ROUND(E47*F47,2)</f>
        <v/>
      </c>
      <c r="H47" s="236">
        <f>G47/$G$58</f>
        <v/>
      </c>
      <c r="I47" s="280">
        <f>ROUND(F47*Прил.10!$D$13,2)</f>
        <v/>
      </c>
      <c r="J47" s="280">
        <f>ROUND(I47*E47,2)</f>
        <v/>
      </c>
    </row>
    <row r="48" ht="14.25" customFormat="1" customHeight="1" s="297">
      <c r="A48" s="365" t="n"/>
      <c r="B48" s="159" t="n"/>
      <c r="C48" s="160" t="inlineStr">
        <is>
          <t>Итого основные материалы</t>
        </is>
      </c>
      <c r="D48" s="365" t="n"/>
      <c r="E48" s="445" t="n"/>
      <c r="F48" s="283" t="n"/>
      <c r="G48" s="283">
        <f>SUM(G46:G47)</f>
        <v/>
      </c>
      <c r="H48" s="236">
        <f>G48/$G$58</f>
        <v/>
      </c>
      <c r="I48" s="280" t="n"/>
      <c r="J48" s="283">
        <f>SUM(J46:J47)</f>
        <v/>
      </c>
    </row>
    <row r="49" hidden="1" outlineLevel="1" ht="14.25" customFormat="1" customHeight="1" s="297">
      <c r="A49" s="363" t="n">
        <v>21</v>
      </c>
      <c r="B49" s="363" t="inlineStr">
        <is>
          <t>01.7.07.29-0221</t>
        </is>
      </c>
      <c r="C49" s="371" t="inlineStr">
        <is>
          <t>Уплотнительный состав</t>
        </is>
      </c>
      <c r="D49" s="363" t="inlineStr">
        <is>
          <t>кг</t>
        </is>
      </c>
      <c r="E49" s="442" t="n">
        <v>11.52</v>
      </c>
      <c r="F49" s="373" t="n">
        <v>16.7</v>
      </c>
      <c r="G49" s="280">
        <f>ROUND(E49*F49,2)</f>
        <v/>
      </c>
      <c r="H49" s="236">
        <f>G49/$G$58</f>
        <v/>
      </c>
      <c r="I49" s="280">
        <f>ROUND(F49*Прил.10!$D$13,2)</f>
        <v/>
      </c>
      <c r="J49" s="280">
        <f>ROUND(I49*E49,2)</f>
        <v/>
      </c>
    </row>
    <row r="50" hidden="1" outlineLevel="1" ht="14.25" customFormat="1" customHeight="1" s="297">
      <c r="A50" s="363" t="n">
        <v>22</v>
      </c>
      <c r="B50" s="363" t="inlineStr">
        <is>
          <t>01.2.03.03-0045</t>
        </is>
      </c>
      <c r="C50" s="371" t="inlineStr">
        <is>
          <t>Мастика битумно-полимерная</t>
        </is>
      </c>
      <c r="D50" s="363" t="inlineStr">
        <is>
          <t>т</t>
        </is>
      </c>
      <c r="E50" s="442" t="n">
        <v>0.021</v>
      </c>
      <c r="F50" s="373" t="n">
        <v>1500</v>
      </c>
      <c r="G50" s="280">
        <f>ROUND(E50*F50,2)</f>
        <v/>
      </c>
      <c r="H50" s="236">
        <f>G50/$G$58</f>
        <v/>
      </c>
      <c r="I50" s="280">
        <f>ROUND(F50*Прил.10!$D$13,2)</f>
        <v/>
      </c>
      <c r="J50" s="280">
        <f>ROUND(I50*E50,2)</f>
        <v/>
      </c>
    </row>
    <row r="51" hidden="1" outlineLevel="1" ht="25.5" customFormat="1" customHeight="1" s="297">
      <c r="A51" s="363" t="n">
        <v>23</v>
      </c>
      <c r="B51" s="363" t="inlineStr">
        <is>
          <t>01.1.01.09-0024</t>
        </is>
      </c>
      <c r="C51" s="371" t="inlineStr">
        <is>
          <t>Шнур асбестовый общего назначения марки: ШАОН диаметром 3-5 мм</t>
        </is>
      </c>
      <c r="D51" s="363" t="inlineStr">
        <is>
          <t>т</t>
        </is>
      </c>
      <c r="E51" s="442" t="n">
        <v>0.001</v>
      </c>
      <c r="F51" s="373" t="n">
        <v>26950</v>
      </c>
      <c r="G51" s="280">
        <f>ROUND(E51*F51,2)</f>
        <v/>
      </c>
      <c r="H51" s="236">
        <f>G51/$G$58</f>
        <v/>
      </c>
      <c r="I51" s="280">
        <f>ROUND(F51*Прил.10!$D$13,2)</f>
        <v/>
      </c>
      <c r="J51" s="280">
        <f>ROUND(I51*E51,2)</f>
        <v/>
      </c>
    </row>
    <row r="52" hidden="1" outlineLevel="1" ht="14.25" customFormat="1" customHeight="1" s="297">
      <c r="A52" s="363" t="n">
        <v>24</v>
      </c>
      <c r="B52" s="363" t="inlineStr">
        <is>
          <t>01.7.07.29-0111</t>
        </is>
      </c>
      <c r="C52" s="371" t="inlineStr">
        <is>
          <t>Пакля пропитанная</t>
        </is>
      </c>
      <c r="D52" s="363" t="inlineStr">
        <is>
          <t>кг</t>
        </is>
      </c>
      <c r="E52" s="442" t="n">
        <v>2.4</v>
      </c>
      <c r="F52" s="373" t="n">
        <v>9.039999999999999</v>
      </c>
      <c r="G52" s="280">
        <f>ROUND(E52*F52,2)</f>
        <v/>
      </c>
      <c r="H52" s="236">
        <f>G52/$G$58</f>
        <v/>
      </c>
      <c r="I52" s="280">
        <f>ROUND(F52*Прил.10!$D$13,2)</f>
        <v/>
      </c>
      <c r="J52" s="280">
        <f>ROUND(I52*E52,2)</f>
        <v/>
      </c>
    </row>
    <row r="53" hidden="1" outlineLevel="1" ht="25.5" customFormat="1" customHeight="1" s="297">
      <c r="A53" s="363" t="n">
        <v>25</v>
      </c>
      <c r="B53" s="363" t="inlineStr">
        <is>
          <t>01.2.01.01-0019</t>
        </is>
      </c>
      <c r="C53" s="371" t="inlineStr">
        <is>
          <t>Битумы нефтяные дорожные марки: БНД-60/90, БНД 90/130</t>
        </is>
      </c>
      <c r="D53" s="363" t="inlineStr">
        <is>
          <t>т</t>
        </is>
      </c>
      <c r="E53" s="442" t="n">
        <v>0.003</v>
      </c>
      <c r="F53" s="373" t="n">
        <v>1690</v>
      </c>
      <c r="G53" s="280">
        <f>ROUND(E53*F53,2)</f>
        <v/>
      </c>
      <c r="H53" s="236">
        <f>G53/$G$58</f>
        <v/>
      </c>
      <c r="I53" s="280">
        <f>ROUND(F53*Прил.10!$D$13,2)</f>
        <v/>
      </c>
      <c r="J53" s="280">
        <f>ROUND(I53*E53,2)</f>
        <v/>
      </c>
    </row>
    <row r="54" hidden="1" outlineLevel="1" ht="25.5" customFormat="1" customHeight="1" s="297">
      <c r="A54" s="363" t="n">
        <v>26</v>
      </c>
      <c r="B54" s="363" t="inlineStr">
        <is>
          <t>999-9950</t>
        </is>
      </c>
      <c r="C54" s="371" t="inlineStr">
        <is>
          <t>Вспомогательные ненормируемые ресурсы (2% от Оплаты труда рабочих)</t>
        </is>
      </c>
      <c r="D54" s="363" t="inlineStr">
        <is>
          <t>руб.</t>
        </is>
      </c>
      <c r="E54" s="442" t="n">
        <v>4.903</v>
      </c>
      <c r="F54" s="373" t="n">
        <v>1</v>
      </c>
      <c r="G54" s="280">
        <f>ROUND(E54*F54,2)</f>
        <v/>
      </c>
      <c r="H54" s="236">
        <f>G54/$G$58</f>
        <v/>
      </c>
      <c r="I54" s="280">
        <f>ROUND(F54*Прил.10!$D$13,2)</f>
        <v/>
      </c>
      <c r="J54" s="280">
        <f>ROUND(I54*E54,2)</f>
        <v/>
      </c>
    </row>
    <row r="55" hidden="1" outlineLevel="1" ht="14.25" customFormat="1" customHeight="1" s="297">
      <c r="A55" s="363" t="n">
        <v>27</v>
      </c>
      <c r="B55" s="363" t="inlineStr">
        <is>
          <t>01.7.03.01-0001</t>
        </is>
      </c>
      <c r="C55" s="371" t="inlineStr">
        <is>
          <t>Вода</t>
        </is>
      </c>
      <c r="D55" s="363" t="inlineStr">
        <is>
          <t>м3</t>
        </is>
      </c>
      <c r="E55" s="442" t="n">
        <v>1.05</v>
      </c>
      <c r="F55" s="373" t="n">
        <v>2.44</v>
      </c>
      <c r="G55" s="280">
        <f>ROUND(E55*F55,2)</f>
        <v/>
      </c>
      <c r="H55" s="236">
        <f>G55/$G$58</f>
        <v/>
      </c>
      <c r="I55" s="280">
        <f>ROUND(F55*Прил.10!$D$13,2)</f>
        <v/>
      </c>
      <c r="J55" s="280">
        <f>ROUND(I55*E55,2)</f>
        <v/>
      </c>
    </row>
    <row r="56" hidden="1" outlineLevel="1" ht="38.25" customFormat="1" customHeight="1" s="297">
      <c r="A56" s="363" t="n">
        <v>28</v>
      </c>
      <c r="B56" s="363" t="inlineStr">
        <is>
          <t>02.2.05.04-0093</t>
        </is>
      </c>
      <c r="C56" s="371" t="inlineStr">
        <is>
          <t>Щебень из природного камня для строительных работ марка: 800, фракция 20-40 мм</t>
        </is>
      </c>
      <c r="D56" s="363" t="inlineStr">
        <is>
          <t>м3</t>
        </is>
      </c>
      <c r="E56" s="442" t="n">
        <v>0.0052</v>
      </c>
      <c r="F56" s="373" t="n">
        <v>108.4</v>
      </c>
      <c r="G56" s="280">
        <f>ROUND(E56*F56,2)</f>
        <v/>
      </c>
      <c r="H56" s="236">
        <f>G56/$G$58</f>
        <v/>
      </c>
      <c r="I56" s="280">
        <f>ROUND(F56*Прил.10!$D$13,2)</f>
        <v/>
      </c>
      <c r="J56" s="280">
        <f>ROUND(I56*E56,2)</f>
        <v/>
      </c>
    </row>
    <row r="57" collapsed="1" ht="14.25" customFormat="1" customHeight="1" s="297">
      <c r="A57" s="363" t="n"/>
      <c r="B57" s="363" t="n"/>
      <c r="C57" s="371" t="inlineStr">
        <is>
          <t>Итого прочие материалы</t>
        </is>
      </c>
      <c r="D57" s="363" t="n"/>
      <c r="E57" s="372" t="n"/>
      <c r="F57" s="373" t="n"/>
      <c r="G57" s="280">
        <f>SUM(G49:G56)</f>
        <v/>
      </c>
      <c r="H57" s="236">
        <f>G57/$G$58</f>
        <v/>
      </c>
      <c r="I57" s="280" t="n"/>
      <c r="J57" s="280">
        <f>SUM(J49:J56)</f>
        <v/>
      </c>
    </row>
    <row r="58" ht="14.25" customFormat="1" customHeight="1" s="297">
      <c r="A58" s="363" t="n"/>
      <c r="B58" s="363" t="n"/>
      <c r="C58" s="349" t="inlineStr">
        <is>
          <t>Итого по разделу «Материалы»</t>
        </is>
      </c>
      <c r="D58" s="363" t="n"/>
      <c r="E58" s="372" t="n"/>
      <c r="F58" s="373" t="n"/>
      <c r="G58" s="280">
        <f>G48+G57</f>
        <v/>
      </c>
      <c r="H58" s="374">
        <f>G58/$G$58</f>
        <v/>
      </c>
      <c r="I58" s="280" t="n"/>
      <c r="J58" s="280">
        <f>J48+J57</f>
        <v/>
      </c>
    </row>
    <row r="59" ht="14.25" customFormat="1" customHeight="1" s="297">
      <c r="A59" s="363" t="n"/>
      <c r="B59" s="363" t="n"/>
      <c r="C59" s="371" t="inlineStr">
        <is>
          <t>ИТОГО ПО РМ</t>
        </is>
      </c>
      <c r="D59" s="363" t="n"/>
      <c r="E59" s="372" t="n"/>
      <c r="F59" s="373" t="n"/>
      <c r="G59" s="280">
        <f>G14+G37+G58</f>
        <v/>
      </c>
      <c r="H59" s="374" t="n"/>
      <c r="I59" s="280" t="n"/>
      <c r="J59" s="280">
        <f>J14+J37+J58</f>
        <v/>
      </c>
    </row>
    <row r="60" ht="14.25" customFormat="1" customHeight="1" s="297">
      <c r="A60" s="363" t="n"/>
      <c r="B60" s="363" t="n"/>
      <c r="C60" s="371" t="inlineStr">
        <is>
          <t>Накладные расходы</t>
        </is>
      </c>
      <c r="D60" s="253">
        <f>ROUND(G60/(G$16+$G$14),2)</f>
        <v/>
      </c>
      <c r="E60" s="372" t="n"/>
      <c r="F60" s="373" t="n"/>
      <c r="G60" s="280">
        <f>7373.15+935.33</f>
        <v/>
      </c>
      <c r="H60" s="374" t="n"/>
      <c r="I60" s="280" t="n"/>
      <c r="J60" s="280">
        <f>ROUND(D60*(J14+J16),2)</f>
        <v/>
      </c>
    </row>
    <row r="61" ht="14.25" customFormat="1" customHeight="1" s="297">
      <c r="A61" s="363" t="n"/>
      <c r="B61" s="363" t="n"/>
      <c r="C61" s="371" t="inlineStr">
        <is>
          <t>Сметная прибыль</t>
        </is>
      </c>
      <c r="D61" s="253">
        <f>ROUND(G61/(G$14+G$16),2)</f>
        <v/>
      </c>
      <c r="E61" s="372" t="n"/>
      <c r="F61" s="373" t="n"/>
      <c r="G61" s="280">
        <f>4395.82+492.31</f>
        <v/>
      </c>
      <c r="H61" s="374" t="n"/>
      <c r="I61" s="280" t="n"/>
      <c r="J61" s="280">
        <f>ROUND(D61*(J14+J16),2)</f>
        <v/>
      </c>
    </row>
    <row r="62" ht="14.25" customFormat="1" customHeight="1" s="297">
      <c r="A62" s="363" t="n"/>
      <c r="B62" s="363" t="n"/>
      <c r="C62" s="371" t="inlineStr">
        <is>
          <t>Итого СМР (с НР и СП)</t>
        </is>
      </c>
      <c r="D62" s="363" t="n"/>
      <c r="E62" s="372" t="n"/>
      <c r="F62" s="373" t="n"/>
      <c r="G62" s="280">
        <f>G14+G37+G58+G60+G61</f>
        <v/>
      </c>
      <c r="H62" s="374" t="n"/>
      <c r="I62" s="280" t="n"/>
      <c r="J62" s="280">
        <f>J14+J37+J58+J60+J61</f>
        <v/>
      </c>
    </row>
    <row r="63" ht="14.25" customFormat="1" customHeight="1" s="297">
      <c r="A63" s="363" t="n"/>
      <c r="B63" s="363" t="n"/>
      <c r="C63" s="371" t="inlineStr">
        <is>
          <t>ВСЕГО СМР + ОБОРУДОВАНИЕ</t>
        </is>
      </c>
      <c r="D63" s="363" t="n"/>
      <c r="E63" s="372" t="n"/>
      <c r="F63" s="373" t="n"/>
      <c r="G63" s="280">
        <f>G62+G42</f>
        <v/>
      </c>
      <c r="H63" s="374" t="n"/>
      <c r="I63" s="280" t="n"/>
      <c r="J63" s="280">
        <f>J62+J42</f>
        <v/>
      </c>
    </row>
    <row r="64" ht="14.25" customFormat="1" customHeight="1" s="297">
      <c r="A64" s="363" t="n"/>
      <c r="B64" s="363" t="n"/>
      <c r="C64" s="371" t="inlineStr">
        <is>
          <t>ИТОГО ПОКАЗАТЕЛЬ НА ЕД. ИЗМ.</t>
        </is>
      </c>
      <c r="D64" s="363" t="inlineStr">
        <is>
          <t>1 км.</t>
        </is>
      </c>
      <c r="E64" s="446" t="n">
        <v>0.865</v>
      </c>
      <c r="F64" s="373" t="n"/>
      <c r="G64" s="280">
        <f>G63/E64</f>
        <v/>
      </c>
      <c r="H64" s="374" t="n"/>
      <c r="I64" s="280" t="n"/>
      <c r="J64" s="280">
        <f>J63/E64</f>
        <v/>
      </c>
    </row>
    <row r="66" ht="14.25" customFormat="1" customHeight="1" s="297">
      <c r="A66" s="296" t="inlineStr">
        <is>
          <t>Составил ______________________    Д.Ю. Нефедова</t>
        </is>
      </c>
    </row>
    <row r="67" ht="14.25" customFormat="1" customHeight="1" s="297">
      <c r="A67" s="299" t="inlineStr">
        <is>
          <t xml:space="preserve">                         (подпись, инициалы, фамилия)</t>
        </is>
      </c>
    </row>
    <row r="68" ht="14.25" customFormat="1" customHeight="1" s="297">
      <c r="A68" s="296" t="n"/>
    </row>
    <row r="69" ht="14.25" customFormat="1" customHeight="1" s="297">
      <c r="A69" s="296" t="inlineStr">
        <is>
          <t>Проверил ______________________        А.В. Костянецкая</t>
        </is>
      </c>
    </row>
    <row r="70" ht="14.25" customFormat="1" customHeight="1" s="297">
      <c r="A70" s="299" t="inlineStr">
        <is>
          <t xml:space="preserve">                        (подпись, инициалы, фамилия)</t>
        </is>
      </c>
    </row>
    <row r="73">
      <c r="G73" s="447" t="n"/>
      <c r="H73" s="447" t="n"/>
      <c r="I73" s="447" t="n"/>
      <c r="J73" s="447" t="n"/>
    </row>
    <row r="74">
      <c r="G74" s="447" t="n"/>
      <c r="H74" s="447" t="n"/>
      <c r="I74" s="447" t="n"/>
      <c r="J74" s="447" t="n"/>
    </row>
  </sheetData>
  <mergeCells count="21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C25" sqref="C24:C25"/>
    </sheetView>
  </sheetViews>
  <sheetFormatPr baseColWidth="8" defaultRowHeight="15"/>
  <cols>
    <col width="5.7109375" customWidth="1" style="314" min="1" max="1"/>
    <col width="17.5703125" customWidth="1" style="314" min="2" max="2"/>
    <col width="39.140625" customWidth="1" style="314" min="3" max="3"/>
    <col width="10.7109375" customWidth="1" style="314" min="4" max="4"/>
    <col width="13.85546875" customWidth="1" style="314" min="5" max="5"/>
    <col width="13.28515625" customWidth="1" style="314" min="6" max="6"/>
    <col width="14.140625" customWidth="1" style="314" min="7" max="7"/>
  </cols>
  <sheetData>
    <row r="1">
      <c r="A1" s="379" t="inlineStr">
        <is>
          <t>Приложение №6</t>
        </is>
      </c>
    </row>
    <row r="2" ht="21.75" customHeight="1" s="314">
      <c r="A2" s="379" t="n"/>
      <c r="B2" s="379" t="n"/>
      <c r="C2" s="379" t="n"/>
      <c r="D2" s="379" t="n"/>
      <c r="E2" s="379" t="n"/>
      <c r="F2" s="379" t="n"/>
      <c r="G2" s="379" t="n"/>
    </row>
    <row r="3">
      <c r="A3" s="336" t="inlineStr">
        <is>
          <t>Расчет стоимости оборудования</t>
        </is>
      </c>
    </row>
    <row r="4" ht="27" customHeight="1" s="314">
      <c r="A4" s="339" t="inlineStr">
        <is>
          <t>Наименование разрабатываемого показателя УНЦ — Устройство траншеи при прокладке двух кабелей ВОК с учетом восстановления газонов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1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4">
      <c r="A9" s="257" t="n"/>
      <c r="B9" s="371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14">
      <c r="A10" s="363" t="n"/>
      <c r="B10" s="349" t="n"/>
      <c r="C10" s="371" t="inlineStr">
        <is>
          <t>ИТОГО ИНЖЕНЕРНОЕ ОБОРУДОВАНИЕ</t>
        </is>
      </c>
      <c r="D10" s="349" t="n"/>
      <c r="E10" s="258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14">
      <c r="A12" s="363" t="n"/>
      <c r="B12" s="371" t="n"/>
      <c r="C12" s="371" t="inlineStr">
        <is>
          <t>ИТОГО ТЕХНОЛОГИЧЕСКОЕ ОБОРУДОВАНИЕ</t>
        </is>
      </c>
      <c r="D12" s="371" t="n"/>
      <c r="E12" s="383" t="n"/>
      <c r="F12" s="373" t="n"/>
      <c r="G12" s="280" t="n">
        <v>0</v>
      </c>
    </row>
    <row r="13" ht="19.5" customHeight="1" s="314">
      <c r="A13" s="363" t="n"/>
      <c r="B13" s="371" t="n"/>
      <c r="C13" s="371" t="inlineStr">
        <is>
          <t>Всего по разделу «Оборудование»</t>
        </is>
      </c>
      <c r="D13" s="371" t="n"/>
      <c r="E13" s="383" t="n"/>
      <c r="F13" s="373" t="n"/>
      <c r="G13" s="280">
        <f>G10+G12</f>
        <v/>
      </c>
    </row>
    <row r="14">
      <c r="A14" s="298" t="n"/>
      <c r="B14" s="261" t="n"/>
      <c r="C14" s="298" t="n"/>
      <c r="D14" s="298" t="n"/>
      <c r="E14" s="298" t="n"/>
      <c r="F14" s="298" t="n"/>
      <c r="G14" s="298" t="n"/>
    </row>
    <row r="15">
      <c r="A15" s="296" t="inlineStr">
        <is>
          <t>Составил ______________________    Д.Ю. Нефедова</t>
        </is>
      </c>
      <c r="B15" s="297" t="n"/>
      <c r="C15" s="297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297" t="n"/>
      <c r="C16" s="297" t="n"/>
      <c r="D16" s="298" t="n"/>
      <c r="E16" s="298" t="n"/>
      <c r="F16" s="298" t="n"/>
      <c r="G16" s="298" t="n"/>
    </row>
    <row r="17">
      <c r="A17" s="296" t="n"/>
      <c r="B17" s="297" t="n"/>
      <c r="C17" s="297" t="n"/>
      <c r="D17" s="298" t="n"/>
      <c r="E17" s="298" t="n"/>
      <c r="F17" s="298" t="n"/>
      <c r="G17" s="298" t="n"/>
    </row>
    <row r="18">
      <c r="A18" s="296" t="inlineStr">
        <is>
          <t>Проверил ______________________        А.В. Костянецкая</t>
        </is>
      </c>
      <c r="B18" s="297" t="n"/>
      <c r="C18" s="297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297" t="n"/>
      <c r="C19" s="297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4" min="1" max="1"/>
    <col width="22.42578125" customWidth="1" style="314" min="2" max="2"/>
    <col width="37.140625" customWidth="1" style="314" min="3" max="3"/>
    <col width="49" customWidth="1" style="314" min="4" max="4"/>
    <col width="9.140625" customWidth="1" style="314" min="5" max="5"/>
  </cols>
  <sheetData>
    <row r="1" ht="15.75" customHeight="1" s="314">
      <c r="A1" s="316" t="n"/>
      <c r="B1" s="316" t="n"/>
      <c r="C1" s="316" t="n"/>
      <c r="D1" s="316" t="inlineStr">
        <is>
          <t>Приложение №7</t>
        </is>
      </c>
    </row>
    <row r="2" ht="15.75" customHeight="1" s="314">
      <c r="A2" s="316" t="n"/>
      <c r="B2" s="316" t="n"/>
      <c r="C2" s="316" t="n"/>
      <c r="D2" s="316" t="n"/>
    </row>
    <row r="3" ht="15.75" customHeight="1" s="314">
      <c r="A3" s="316" t="n"/>
      <c r="B3" s="290" t="inlineStr">
        <is>
          <t>Расчет показателя УНЦ</t>
        </is>
      </c>
      <c r="C3" s="316" t="n"/>
      <c r="D3" s="316" t="n"/>
    </row>
    <row r="4" ht="15.75" customHeight="1" s="314">
      <c r="A4" s="316" t="n"/>
      <c r="B4" s="316" t="n"/>
      <c r="C4" s="316" t="n"/>
      <c r="D4" s="316" t="n"/>
    </row>
    <row r="5" ht="31.5" customHeight="1" s="31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14">
      <c r="A6" s="316" t="inlineStr">
        <is>
          <t>Единица измерения  — 1 км</t>
        </is>
      </c>
      <c r="B6" s="316" t="n"/>
      <c r="C6" s="316" t="n"/>
      <c r="D6" s="316" t="n"/>
    </row>
    <row r="7" ht="15.75" customHeight="1" s="314">
      <c r="A7" s="316" t="n"/>
      <c r="B7" s="316" t="n"/>
      <c r="C7" s="316" t="n"/>
      <c r="D7" s="316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14">
      <c r="A10" s="348" t="n">
        <v>1</v>
      </c>
      <c r="B10" s="348" t="n">
        <v>2</v>
      </c>
      <c r="C10" s="348" t="n">
        <v>3</v>
      </c>
      <c r="D10" s="348" t="n">
        <v>4</v>
      </c>
    </row>
    <row r="11" ht="126" customHeight="1" s="314">
      <c r="A11" s="348" t="inlineStr">
        <is>
          <t>Б3-03</t>
        </is>
      </c>
      <c r="B11" s="348" t="inlineStr">
        <is>
          <t xml:space="preserve">УНЦ на устройство траншеи ВОК и восстановление благоустройства по трассе (для всех субъектов Российской Федерации) </t>
        </is>
      </c>
      <c r="C11" s="294">
        <f>D5</f>
        <v/>
      </c>
      <c r="D11" s="322">
        <f>'Прил.4 РМ'!C41/1000</f>
        <v/>
      </c>
    </row>
    <row r="13">
      <c r="A13" s="296" t="inlineStr">
        <is>
          <t>Составил ______________________    Д.Ю. Нефедова</t>
        </is>
      </c>
      <c r="B13" s="297" t="n"/>
      <c r="C13" s="297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297" t="n"/>
      <c r="C14" s="297" t="n"/>
      <c r="D14" s="298" t="n"/>
    </row>
    <row r="15">
      <c r="A15" s="296" t="n"/>
      <c r="B15" s="297" t="n"/>
      <c r="C15" s="297" t="n"/>
      <c r="D15" s="298" t="n"/>
    </row>
    <row r="16">
      <c r="A16" s="296" t="inlineStr">
        <is>
          <t>Проверил ______________________        А.В. Костянецкая</t>
        </is>
      </c>
      <c r="B16" s="297" t="n"/>
      <c r="C16" s="297" t="n"/>
      <c r="D16" s="298" t="n"/>
    </row>
    <row r="17" ht="20.25" customHeight="1" s="314">
      <c r="A17" s="299" t="inlineStr">
        <is>
          <t xml:space="preserve">                        (подпись, инициалы, фамилия)</t>
        </is>
      </c>
      <c r="B17" s="297" t="n"/>
      <c r="C17" s="297" t="n"/>
      <c r="D17" s="298" t="n"/>
    </row>
    <row r="29" ht="14.25" customHeight="1" s="314"/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J26" sqref="J26"/>
    </sheetView>
  </sheetViews>
  <sheetFormatPr baseColWidth="8" defaultRowHeight="15"/>
  <cols>
    <col width="9.140625" customWidth="1" style="314" min="1" max="1"/>
    <col width="40.7109375" customWidth="1" style="314" min="2" max="2"/>
    <col width="37.5703125" customWidth="1" style="314" min="3" max="3"/>
    <col width="32" customWidth="1" style="314" min="4" max="4"/>
    <col width="9.140625" customWidth="1" style="314" min="5" max="5"/>
  </cols>
  <sheetData>
    <row r="4" ht="15.75" customHeight="1" s="314">
      <c r="B4" s="343" t="inlineStr">
        <is>
          <t>Приложение № 10</t>
        </is>
      </c>
    </row>
    <row r="5" ht="18.75" customHeight="1" s="314">
      <c r="B5" s="262" t="n"/>
    </row>
    <row r="6" ht="15.75" customHeight="1" s="314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4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14">
      <c r="B10" s="348" t="n">
        <v>1</v>
      </c>
      <c r="C10" s="348" t="n">
        <v>2</v>
      </c>
      <c r="D10" s="348" t="n">
        <v>3</v>
      </c>
    </row>
    <row r="11" ht="45" customHeight="1" s="314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29.25" customHeight="1" s="314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10.77</v>
      </c>
    </row>
    <row r="13" ht="29.25" customHeight="1" s="314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4.39</v>
      </c>
    </row>
    <row r="14" ht="30.75" customHeight="1" s="314">
      <c r="B14" s="348" t="inlineStr">
        <is>
          <t>Индекс изменения сметной стоимости на 1 квартал 2023 года. ОБ</t>
        </is>
      </c>
      <c r="C14" s="173" t="inlineStr">
        <is>
          <t>Письмо Минстроя России от 23.02.2023г. №9791-ИФ/09 прил.6</t>
        </is>
      </c>
      <c r="D14" s="348" t="n">
        <v>6.26</v>
      </c>
    </row>
    <row r="15" ht="89.25" customHeight="1" s="314">
      <c r="B15" s="348" t="inlineStr">
        <is>
          <t>Временные здания и сооружения</t>
        </is>
      </c>
      <c r="C15" s="34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0.025</v>
      </c>
    </row>
    <row r="16" ht="78.75" customHeight="1" s="314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14">
      <c r="B17" s="348" t="inlineStr">
        <is>
          <t>Строительный контроль</t>
        </is>
      </c>
      <c r="C17" s="348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14">
      <c r="B18" s="348" t="inlineStr">
        <is>
          <t>Авторский надзор - 0,2%</t>
        </is>
      </c>
      <c r="C18" s="348" t="inlineStr">
        <is>
          <t>Приказ от 4.08.2020 № 421/пр п.173</t>
        </is>
      </c>
      <c r="D18" s="264" t="n">
        <v>0.002</v>
      </c>
    </row>
    <row r="19" ht="24" customHeight="1" s="314">
      <c r="B19" s="348" t="inlineStr">
        <is>
          <t>Непредвиденные расходы</t>
        </is>
      </c>
      <c r="C19" s="348" t="inlineStr">
        <is>
          <t>Приказ от 4.08.2020 № 421/пр п.179</t>
        </is>
      </c>
      <c r="D19" s="264" t="n">
        <v>0.03</v>
      </c>
    </row>
    <row r="20" ht="18.75" customHeight="1" s="314">
      <c r="B20" s="265" t="n"/>
    </row>
    <row r="21" ht="18.75" customHeight="1" s="314">
      <c r="B21" s="265" t="n"/>
    </row>
    <row r="22" ht="18.75" customHeight="1" s="314">
      <c r="B22" s="265" t="n"/>
    </row>
    <row r="23" ht="18.75" customHeight="1" s="314">
      <c r="B23" s="265" t="n"/>
    </row>
    <row r="26">
      <c r="B26" s="296" t="inlineStr">
        <is>
          <t>Составил ______________________        Д.Ю. Нефедова</t>
        </is>
      </c>
      <c r="C26" s="297" t="n"/>
    </row>
    <row r="27">
      <c r="B27" s="299" t="inlineStr">
        <is>
          <t xml:space="preserve">                         (подпись, инициалы, фамилия)</t>
        </is>
      </c>
      <c r="C27" s="297" t="n"/>
    </row>
    <row r="28">
      <c r="B28" s="296" t="n"/>
      <c r="C28" s="297" t="n"/>
    </row>
    <row r="29">
      <c r="B29" s="296" t="inlineStr">
        <is>
          <t>Проверил ______________________        А.В. Костянецкая</t>
        </is>
      </c>
      <c r="C29" s="297" t="n"/>
    </row>
    <row r="30">
      <c r="B30" s="299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4" sqref="N14"/>
    </sheetView>
  </sheetViews>
  <sheetFormatPr baseColWidth="8" defaultColWidth="9.140625" defaultRowHeight="15"/>
  <cols>
    <col width="44.85546875" customWidth="1" style="314" min="2" max="2"/>
    <col width="13" customWidth="1" style="314" min="3" max="3"/>
    <col width="22.85546875" customWidth="1" style="314" min="4" max="4"/>
    <col width="21.5703125" customWidth="1" style="314" min="5" max="5"/>
    <col width="43.85546875" customWidth="1" style="314" min="6" max="6"/>
  </cols>
  <sheetData>
    <row r="1" s="314"/>
    <row r="2" ht="17.25" customHeight="1" s="314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4"/>
    <row r="4" ht="18" customHeight="1" s="314">
      <c r="A4" s="315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4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  <c r="G5" s="316" t="n"/>
    </row>
    <row r="6" ht="15.75" customHeight="1" s="314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  <c r="G6" s="316" t="n"/>
    </row>
    <row r="7" ht="110.25" customHeight="1" s="314">
      <c r="A7" s="318" t="inlineStr">
        <is>
          <t>1.1</t>
        </is>
      </c>
      <c r="B7" s="3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21" t="n">
        <v>47872.94</v>
      </c>
      <c r="F7" s="3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4">
      <c r="A8" s="318" t="inlineStr">
        <is>
          <t>1.2</t>
        </is>
      </c>
      <c r="B8" s="323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22">
        <f>1973/12</f>
        <v/>
      </c>
      <c r="F8" s="323" t="inlineStr">
        <is>
          <t>Производственный календарь 2023 год
(40-часов.неделя)</t>
        </is>
      </c>
      <c r="G8" s="325" t="n"/>
    </row>
    <row r="9" ht="15.75" customHeight="1" s="314">
      <c r="A9" s="318" t="inlineStr">
        <is>
          <t>1.3</t>
        </is>
      </c>
      <c r="B9" s="323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22" t="n">
        <v>1</v>
      </c>
      <c r="F9" s="323" t="n"/>
      <c r="G9" s="325" t="n"/>
    </row>
    <row r="10" ht="15.75" customHeight="1" s="314">
      <c r="A10" s="318" t="inlineStr">
        <is>
          <t>1.4</t>
        </is>
      </c>
      <c r="B10" s="323" t="inlineStr">
        <is>
          <t>Средний разряд работ</t>
        </is>
      </c>
      <c r="C10" s="348" t="n"/>
      <c r="D10" s="348" t="n"/>
      <c r="E10" s="448" t="n">
        <v>2</v>
      </c>
      <c r="F10" s="323" t="inlineStr">
        <is>
          <t>РТМ</t>
        </is>
      </c>
      <c r="G10" s="325" t="n"/>
    </row>
    <row r="11" ht="78.75" customHeight="1" s="314">
      <c r="A11" s="318" t="inlineStr">
        <is>
          <t>1.5</t>
        </is>
      </c>
      <c r="B11" s="323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49" t="n">
        <v>1.085</v>
      </c>
      <c r="F11" s="3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4">
      <c r="A12" s="318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50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n"/>
    </row>
    <row r="13" ht="63" customHeight="1" s="314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2025-01-24T11:54:18Z</dcterms:modified>
  <cp:lastModifiedBy>REDMIBOOK</cp:lastModifiedBy>
  <cp:lastPrinted>2023-12-01T12:37:16Z</cp:lastPrinted>
</cp:coreProperties>
</file>