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#,##0.000"/>
    <numFmt numFmtId="166" formatCode="0.0000"/>
    <numFmt numFmtId="167" formatCode="#,##0.0000"/>
    <numFmt numFmtId="168" formatCode="_-* #,##0.00_-;\-* #,##0.00_-;_-* &quot;-&quot;??_-;_-@_-"/>
    <numFmt numFmtId="169" formatCode="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164" fontId="6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2" fillId="0" borderId="2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14" fontId="6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8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4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0" fillId="0" borderId="1" applyAlignment="1" pivotButton="0" quotePrefix="0" xfId="0">
      <alignment horizontal="center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top" wrapText="1"/>
    </xf>
    <xf numFmtId="49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9" fontId="6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 wrapText="1"/>
    </xf>
    <xf numFmtId="169" fontId="8" fillId="0" borderId="1" applyAlignment="1" pivotButton="0" quotePrefix="0" xfId="0">
      <alignment vertical="center" wrapText="1"/>
    </xf>
    <xf numFmtId="169" fontId="6" fillId="0" borderId="1" pivotButton="0" quotePrefix="0" xfId="0"/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justify" vertical="center" wrapText="1"/>
    </xf>
    <xf numFmtId="0" fontId="6" fillId="2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114" min="1" max="2"/>
    <col width="51.7109375" customWidth="1" style="114" min="3" max="3"/>
    <col width="47" customWidth="1" style="114" min="4" max="4"/>
    <col width="37.42578125" customWidth="1" style="114" min="5" max="5"/>
    <col width="9.140625" customWidth="1" style="114" min="6" max="6"/>
  </cols>
  <sheetData>
    <row r="3">
      <c r="B3" s="128" t="inlineStr">
        <is>
          <t>Приложение № 1</t>
        </is>
      </c>
    </row>
    <row r="4">
      <c r="B4" s="129" t="inlineStr">
        <is>
          <t>Сравнительная таблица отбора объекта-представителя</t>
        </is>
      </c>
    </row>
    <row r="5" ht="84" customHeight="1" s="103">
      <c r="B5" s="1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3">
      <c r="B6" s="82" t="n"/>
      <c r="C6" s="82" t="n"/>
      <c r="D6" s="82" t="n"/>
    </row>
    <row r="7" ht="64.5" customHeight="1" s="103">
      <c r="B7" s="130" t="inlineStr">
        <is>
          <t>Наименование разрабатываемого показателя УНЦ - Восстановление дорожного покрытия проезжей части при прокладке кабельной линии (для всех субъектов Российской Федерации)</t>
        </is>
      </c>
    </row>
    <row r="8" ht="31.5" customHeight="1" s="103">
      <c r="B8" s="132" t="inlineStr">
        <is>
          <t>Сопоставимый уровень цен: 01.01.2001</t>
        </is>
      </c>
    </row>
    <row r="9" ht="15.75" customHeight="1" s="103">
      <c r="B9" s="132" t="inlineStr">
        <is>
          <t>Единица измерения  — 1 м2</t>
        </is>
      </c>
    </row>
    <row r="10">
      <c r="B10" s="132" t="n"/>
    </row>
    <row r="11"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 xml:space="preserve">Объект-представитель </t>
        </is>
      </c>
      <c r="E11" s="63" t="n"/>
    </row>
    <row r="12" ht="96.75" customHeight="1" s="103">
      <c r="B12" s="134" t="n">
        <v>1</v>
      </c>
      <c r="C12" s="118" t="inlineStr">
        <is>
          <t>Наименование объекта-представителя</t>
        </is>
      </c>
      <c r="D12" s="124" t="inlineStr">
        <is>
          <t>Реконструкция КЛ 110кВ Угреша-Новоспасская №1, №2</t>
        </is>
      </c>
    </row>
    <row r="13">
      <c r="B13" s="134" t="n">
        <v>2</v>
      </c>
      <c r="C13" s="118" t="inlineStr">
        <is>
          <t>Наименование субъекта Российской Федерации</t>
        </is>
      </c>
      <c r="D13" s="124" t="inlineStr">
        <is>
          <t>г. Москва</t>
        </is>
      </c>
    </row>
    <row r="14">
      <c r="B14" s="134" t="n">
        <v>3</v>
      </c>
      <c r="C14" s="118" t="inlineStr">
        <is>
          <t>Климатический район и подрайон</t>
        </is>
      </c>
      <c r="D14" s="125" t="inlineStr">
        <is>
          <t>IIВ</t>
        </is>
      </c>
    </row>
    <row r="15">
      <c r="B15" s="134" t="n">
        <v>4</v>
      </c>
      <c r="C15" s="118" t="inlineStr">
        <is>
          <t>Мощность объекта</t>
        </is>
      </c>
      <c r="D15" s="124" t="n">
        <v>3400</v>
      </c>
    </row>
    <row r="16" ht="116.25" customHeight="1" s="103">
      <c r="B16" s="134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4" t="inlineStr">
        <is>
          <t>Щебень, песок, смеси асфальтобетонные</t>
        </is>
      </c>
    </row>
    <row r="17" ht="79.5" customHeight="1" s="103">
      <c r="B17" s="134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6" t="n">
        <v>1725.428</v>
      </c>
      <c r="E17" s="81" t="n"/>
    </row>
    <row r="18">
      <c r="B18" s="62" t="inlineStr">
        <is>
          <t>6.1</t>
        </is>
      </c>
      <c r="C18" s="118" t="inlineStr">
        <is>
          <t>строительно-монтажные работы</t>
        </is>
      </c>
      <c r="D18" s="126" t="n">
        <v>1725.428</v>
      </c>
    </row>
    <row r="19" ht="15.75" customHeight="1" s="103">
      <c r="B19" s="62" t="inlineStr">
        <is>
          <t>6.2</t>
        </is>
      </c>
      <c r="C19" s="118" t="inlineStr">
        <is>
          <t>оборудование и инвентарь</t>
        </is>
      </c>
      <c r="D19" s="126" t="n"/>
    </row>
    <row r="20" ht="16.5" customHeight="1" s="103">
      <c r="B20" s="62" t="inlineStr">
        <is>
          <t>6.3</t>
        </is>
      </c>
      <c r="C20" s="118" t="inlineStr">
        <is>
          <t>пусконаладочные работы</t>
        </is>
      </c>
      <c r="D20" s="126" t="n"/>
    </row>
    <row r="21" ht="35.25" customHeight="1" s="103">
      <c r="B21" s="62" t="inlineStr">
        <is>
          <t>6.4</t>
        </is>
      </c>
      <c r="C21" s="61" t="inlineStr">
        <is>
          <t>прочие и лимитированные затраты</t>
        </is>
      </c>
      <c r="D21" s="126" t="n"/>
    </row>
    <row r="22">
      <c r="B22" s="134" t="n">
        <v>7</v>
      </c>
      <c r="C22" s="61" t="inlineStr">
        <is>
          <t>Сопоставимый уровень цен</t>
        </is>
      </c>
      <c r="D22" s="127" t="inlineStr">
        <is>
          <t>апрель 2011 г</t>
        </is>
      </c>
      <c r="E22" s="59" t="n"/>
    </row>
    <row r="23" ht="123" customHeight="1" s="103">
      <c r="B23" s="134" t="n">
        <v>8</v>
      </c>
      <c r="C23" s="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6" t="n">
        <v>1725.428</v>
      </c>
      <c r="E23" s="81" t="n"/>
    </row>
    <row r="24" ht="60.75" customHeight="1" s="103">
      <c r="B24" s="134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126" t="n">
        <v>0.50747882352941</v>
      </c>
      <c r="E24" s="59" t="n"/>
    </row>
    <row r="25" ht="48" customHeight="1" s="103">
      <c r="B25" s="134" t="n">
        <v>10</v>
      </c>
      <c r="C25" s="118" t="inlineStr">
        <is>
          <t>Примечание</t>
        </is>
      </c>
      <c r="D25" s="134" t="n"/>
    </row>
    <row r="26">
      <c r="B26" s="58" t="n"/>
      <c r="C26" s="57" t="n"/>
      <c r="D26" s="57" t="n"/>
    </row>
    <row r="27" ht="37.5" customHeight="1" s="103">
      <c r="B27" s="56" t="n"/>
    </row>
    <row r="28">
      <c r="B28" s="114" t="inlineStr">
        <is>
          <t>Составил ______________________    Р.Р Шагеева</t>
        </is>
      </c>
    </row>
    <row r="29">
      <c r="B29" s="56" t="inlineStr">
        <is>
          <t xml:space="preserve">                         (подпись, инициалы, фамилия)</t>
        </is>
      </c>
    </row>
    <row r="31">
      <c r="B31" s="114" t="inlineStr">
        <is>
          <t>Проверил ______________________        А.В. Костянецкая</t>
        </is>
      </c>
    </row>
    <row r="32">
      <c r="B32" s="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:G20"/>
    </sheetView>
  </sheetViews>
  <sheetFormatPr baseColWidth="8" defaultColWidth="9.140625" defaultRowHeight="15.75"/>
  <cols>
    <col width="5.5703125" customWidth="1" style="114" min="1" max="1"/>
    <col width="9.140625" customWidth="1" style="114" min="2" max="2"/>
    <col width="35.28515625" customWidth="1" style="114" min="3" max="3"/>
    <col width="13.85546875" customWidth="1" style="114" min="4" max="4"/>
    <col width="24.85546875" customWidth="1" style="114" min="5" max="5"/>
    <col width="15.5703125" customWidth="1" style="114" min="6" max="6"/>
    <col width="14.85546875" customWidth="1" style="114" min="7" max="7"/>
    <col width="16.7109375" customWidth="1" style="114" min="8" max="8"/>
    <col width="13" customWidth="1" style="114" min="9" max="10"/>
    <col width="18" customWidth="1" style="114" min="11" max="11"/>
    <col width="9.140625" customWidth="1" style="114" min="12" max="12"/>
  </cols>
  <sheetData>
    <row r="3">
      <c r="B3" s="128" t="inlineStr">
        <is>
          <t>Приложение № 2</t>
        </is>
      </c>
      <c r="K3" s="56" t="n"/>
    </row>
    <row r="4">
      <c r="B4" s="129" t="inlineStr">
        <is>
          <t>Расчет стоимости основных видов работ для выбора объекта-представителя</t>
        </is>
      </c>
    </row>
    <row r="5">
      <c r="B5" s="64" t="n"/>
      <c r="C5" s="64" t="n"/>
      <c r="D5" s="64" t="n"/>
      <c r="E5" s="64" t="n"/>
      <c r="F5" s="64" t="n"/>
      <c r="G5" s="64" t="n"/>
      <c r="H5" s="64" t="n"/>
      <c r="I5" s="64" t="n"/>
      <c r="J5" s="64" t="n"/>
      <c r="K5" s="64" t="n"/>
    </row>
    <row r="6" ht="29.25" customHeight="1" s="103">
      <c r="B6" s="136">
        <f>'Прил.1 Сравнит табл'!B7:D7</f>
        <v/>
      </c>
      <c r="K6" s="56" t="n"/>
    </row>
    <row r="7" ht="15.75" customHeight="1" s="103">
      <c r="B7" s="135">
        <f>'Прил.1 Сравнит табл'!B9:D9</f>
        <v/>
      </c>
      <c r="K7" s="56" t="n"/>
    </row>
    <row r="8" ht="18.75" customHeight="1" s="103">
      <c r="B8" s="32" t="n"/>
    </row>
    <row r="9" ht="27.75" customFormat="1" customHeight="1" s="114">
      <c r="B9" s="134" t="inlineStr">
        <is>
          <t>№ п/п</t>
        </is>
      </c>
      <c r="C9" s="1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4" t="inlineStr">
        <is>
          <t xml:space="preserve">Объект-представитель </t>
        </is>
      </c>
      <c r="E9" s="173" t="n"/>
      <c r="F9" s="173" t="n"/>
      <c r="G9" s="173" t="n"/>
      <c r="H9" s="173" t="n"/>
      <c r="I9" s="173" t="n"/>
      <c r="J9" s="174" t="n"/>
    </row>
    <row r="10" ht="21" customFormat="1" customHeight="1" s="114">
      <c r="B10" s="175" t="n"/>
      <c r="C10" s="175" t="n"/>
      <c r="D10" s="134" t="inlineStr">
        <is>
          <t>Номер сметы</t>
        </is>
      </c>
      <c r="E10" s="134" t="inlineStr">
        <is>
          <t>Наименование сметы</t>
        </is>
      </c>
      <c r="F10" s="134" t="inlineStr">
        <is>
          <t>Сметная стоимость в уровне цен апрель 2011г., тыс. руб.</t>
        </is>
      </c>
      <c r="G10" s="173" t="n"/>
      <c r="H10" s="173" t="n"/>
      <c r="I10" s="173" t="n"/>
      <c r="J10" s="174" t="n"/>
    </row>
    <row r="11" ht="55.5" customFormat="1" customHeight="1" s="114">
      <c r="B11" s="176" t="n"/>
      <c r="C11" s="176" t="n"/>
      <c r="D11" s="176" t="n"/>
      <c r="E11" s="176" t="n"/>
      <c r="F11" s="134" t="inlineStr">
        <is>
          <t>Строительные работы</t>
        </is>
      </c>
      <c r="G11" s="134" t="inlineStr">
        <is>
          <t>Монтажные работы</t>
        </is>
      </c>
      <c r="H11" s="134" t="inlineStr">
        <is>
          <t>Оборудование</t>
        </is>
      </c>
      <c r="I11" s="134" t="inlineStr">
        <is>
          <t>Прочее</t>
        </is>
      </c>
      <c r="J11" s="134" t="inlineStr">
        <is>
          <t>Всего</t>
        </is>
      </c>
    </row>
    <row r="12" ht="45.75" customFormat="1" customHeight="1" s="114">
      <c r="B12" s="134" t="n"/>
      <c r="C12" s="116" t="inlineStr">
        <is>
          <t>Щебень, песок, смеси асфальтобетонные</t>
        </is>
      </c>
      <c r="D12" s="117" t="inlineStr">
        <is>
          <t xml:space="preserve">3-А-К3/1107  </t>
        </is>
      </c>
      <c r="E12" s="118" t="inlineStr">
        <is>
          <t>Дорожные работы</t>
        </is>
      </c>
      <c r="F12" s="119" t="n">
        <v>1725.428</v>
      </c>
      <c r="G12" s="120" t="n"/>
      <c r="H12" s="120" t="n"/>
      <c r="I12" s="121" t="n"/>
      <c r="J12" s="119" t="n">
        <v>1725.428</v>
      </c>
    </row>
    <row r="13" ht="15.6" customFormat="1" customHeight="1" s="114">
      <c r="B13" s="137" t="inlineStr">
        <is>
          <t>Всего по объекту:</t>
        </is>
      </c>
      <c r="C13" s="173" t="n"/>
      <c r="D13" s="173" t="n"/>
      <c r="E13" s="174" t="n"/>
      <c r="F13" s="122" t="n">
        <v>1725.428</v>
      </c>
      <c r="G13" s="123" t="n"/>
      <c r="H13" s="123" t="n"/>
      <c r="I13" s="123" t="n"/>
      <c r="J13" s="123" t="n">
        <v>1725.428</v>
      </c>
    </row>
    <row r="14" ht="15.75" customFormat="1" customHeight="1" s="114">
      <c r="B14" s="137" t="inlineStr">
        <is>
          <t>Всего по объекту в сопоставимом уровне цен апрель 2011г:</t>
        </is>
      </c>
      <c r="C14" s="173" t="n"/>
      <c r="D14" s="173" t="n"/>
      <c r="E14" s="174" t="n"/>
      <c r="F14" s="122" t="n">
        <v>1725.428</v>
      </c>
      <c r="G14" s="122" t="n"/>
      <c r="H14" s="122" t="n"/>
      <c r="I14" s="122" t="n"/>
      <c r="J14" s="122" t="n">
        <v>1725.428</v>
      </c>
    </row>
    <row r="15" ht="15" customHeight="1" s="103"/>
    <row r="16" ht="15" customHeight="1" s="103"/>
    <row r="17" ht="15" customHeight="1" s="103"/>
    <row r="18" ht="15" customHeight="1" s="103">
      <c r="C18" s="109" t="inlineStr">
        <is>
          <t>Составил ______________________     Р.Р Шагеева</t>
        </is>
      </c>
      <c r="D18" s="110" t="n"/>
      <c r="E18" s="110" t="n"/>
    </row>
    <row r="19" ht="15" customHeight="1" s="103">
      <c r="C19" s="112" t="inlineStr">
        <is>
          <t xml:space="preserve">                         (подпись, инициалы, фамилия)</t>
        </is>
      </c>
      <c r="D19" s="110" t="n"/>
      <c r="E19" s="110" t="n"/>
    </row>
    <row r="20" ht="15" customHeight="1" s="103">
      <c r="C20" s="109" t="n"/>
      <c r="D20" s="110" t="n"/>
      <c r="E20" s="110" t="n"/>
    </row>
    <row r="21" ht="15" customHeight="1" s="103">
      <c r="C21" s="109" t="inlineStr">
        <is>
          <t>Проверил ______________________        А.В. Костянецкая</t>
        </is>
      </c>
      <c r="D21" s="110" t="n"/>
      <c r="E21" s="110" t="n"/>
    </row>
    <row r="22" ht="15" customHeight="1" s="103">
      <c r="C22" s="112" t="inlineStr">
        <is>
          <t xml:space="preserve">                        (подпись, инициалы, фамилия)</t>
        </is>
      </c>
      <c r="D22" s="110" t="n"/>
      <c r="E22" s="110" t="n"/>
    </row>
    <row r="23" ht="15" customHeight="1" s="103"/>
    <row r="24" ht="15" customHeight="1" s="103"/>
    <row r="25" ht="15" customHeight="1" s="103"/>
    <row r="26" ht="15" customHeight="1" s="103"/>
    <row r="27" ht="15" customHeight="1" s="103"/>
    <row r="28" ht="15" customHeight="1" s="103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7"/>
  <sheetViews>
    <sheetView view="pageBreakPreview" topLeftCell="A43" zoomScale="85" zoomScaleSheetLayoutView="85" workbookViewId="0">
      <selection activeCell="D66" sqref="D66"/>
    </sheetView>
  </sheetViews>
  <sheetFormatPr baseColWidth="8" defaultColWidth="9.140625" defaultRowHeight="15.75"/>
  <cols>
    <col width="9.140625" customWidth="1" style="114" min="1" max="1"/>
    <col width="12.5703125" customWidth="1" style="114" min="2" max="2"/>
    <col width="22.42578125" customWidth="1" style="114" min="3" max="3"/>
    <col width="49.7109375" customWidth="1" style="114" min="4" max="4"/>
    <col width="10.140625" customWidth="1" style="114" min="5" max="5"/>
    <col width="20.7109375" customWidth="1" style="114" min="6" max="6"/>
    <col width="20" customWidth="1" style="114" min="7" max="7"/>
    <col width="16.7109375" customWidth="1" style="114" min="8" max="8"/>
    <col width="9.140625" customWidth="1" style="114" min="9" max="10"/>
    <col width="15" customWidth="1" style="114" min="11" max="11"/>
    <col width="9.140625" customWidth="1" style="114" min="12" max="12"/>
  </cols>
  <sheetData>
    <row r="2" s="103">
      <c r="A2" s="114" t="n"/>
      <c r="B2" s="114" t="n"/>
      <c r="C2" s="114" t="n"/>
      <c r="D2" s="114" t="n"/>
      <c r="E2" s="114" t="n"/>
      <c r="F2" s="114" t="n"/>
      <c r="G2" s="114" t="n"/>
      <c r="H2" s="114" t="n"/>
      <c r="I2" s="114" t="n"/>
      <c r="J2" s="114" t="n"/>
      <c r="K2" s="114" t="n"/>
      <c r="L2" s="114" t="n"/>
    </row>
    <row r="3">
      <c r="A3" s="128" t="inlineStr">
        <is>
          <t xml:space="preserve">Приложение № 3 </t>
        </is>
      </c>
    </row>
    <row r="4">
      <c r="A4" s="129" t="inlineStr">
        <is>
          <t>Объектная ресурсная ведомость</t>
        </is>
      </c>
    </row>
    <row r="5" ht="18.75" customHeight="1" s="103">
      <c r="A5" s="90" t="n"/>
      <c r="B5" s="90" t="n"/>
      <c r="C5" s="1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132" t="n"/>
    </row>
    <row r="7" ht="28.5" customHeight="1" s="103">
      <c r="A7" s="136" t="inlineStr">
        <is>
          <t>Наименование разрабатываемого показателя УНЦ -  Восстановление дорожного покрытия проезжей части при прокладке кабельной линии (для всех субъектов Российской Федерации)</t>
        </is>
      </c>
    </row>
    <row r="8">
      <c r="A8" s="135" t="n"/>
      <c r="B8" s="135" t="n"/>
      <c r="C8" s="135" t="n"/>
      <c r="D8" s="135" t="n"/>
      <c r="E8" s="135" t="n"/>
      <c r="F8" s="135" t="n"/>
      <c r="G8" s="135" t="n"/>
      <c r="H8" s="135" t="n"/>
    </row>
    <row r="9" ht="38.25" customHeight="1" s="103">
      <c r="A9" s="134" t="inlineStr">
        <is>
          <t>п/п</t>
        </is>
      </c>
      <c r="B9" s="134" t="inlineStr">
        <is>
          <t>№ЛСР</t>
        </is>
      </c>
      <c r="C9" s="134" t="inlineStr">
        <is>
          <t>Код ресурса</t>
        </is>
      </c>
      <c r="D9" s="134" t="inlineStr">
        <is>
          <t>Наименование ресурса</t>
        </is>
      </c>
      <c r="E9" s="134" t="inlineStr">
        <is>
          <t>Ед. изм.</t>
        </is>
      </c>
      <c r="F9" s="134" t="inlineStr">
        <is>
          <t>Кол-во единиц по данным объекта-представителя</t>
        </is>
      </c>
      <c r="G9" s="134" t="inlineStr">
        <is>
          <t>Сметная стоимость в ценах на 01.01.2000 (руб.)</t>
        </is>
      </c>
      <c r="H9" s="174" t="n"/>
    </row>
    <row r="10" ht="40.5" customHeight="1" s="103">
      <c r="A10" s="176" t="n"/>
      <c r="B10" s="176" t="n"/>
      <c r="C10" s="176" t="n"/>
      <c r="D10" s="176" t="n"/>
      <c r="E10" s="176" t="n"/>
      <c r="F10" s="176" t="n"/>
      <c r="G10" s="134" t="inlineStr">
        <is>
          <t>на ед.изм.</t>
        </is>
      </c>
      <c r="H10" s="134" t="inlineStr">
        <is>
          <t>общая</t>
        </is>
      </c>
    </row>
    <row r="11">
      <c r="A11" s="71" t="n">
        <v>1</v>
      </c>
      <c r="B11" s="71" t="n"/>
      <c r="C11" s="71" t="n">
        <v>2</v>
      </c>
      <c r="D11" s="71" t="inlineStr">
        <is>
          <t>З</t>
        </is>
      </c>
      <c r="E11" s="71" t="n">
        <v>4</v>
      </c>
      <c r="F11" s="71" t="n">
        <v>5</v>
      </c>
      <c r="G11" s="71" t="n">
        <v>6</v>
      </c>
      <c r="H11" s="71" t="n">
        <v>7</v>
      </c>
    </row>
    <row r="12" customFormat="1" s="104">
      <c r="A12" s="139" t="inlineStr">
        <is>
          <t>Затраты труда рабочих</t>
        </is>
      </c>
      <c r="B12" s="173" t="n"/>
      <c r="C12" s="173" t="n"/>
      <c r="D12" s="173" t="n"/>
      <c r="E12" s="174" t="n"/>
      <c r="F12" s="86">
        <f>SUM(F13:F17)</f>
        <v/>
      </c>
      <c r="G12" s="87" t="n"/>
      <c r="H12" s="86">
        <f>SUM(H13:H17)</f>
        <v/>
      </c>
    </row>
    <row r="13">
      <c r="A13" s="83" t="n">
        <v>1</v>
      </c>
      <c r="B13" s="70" t="n"/>
      <c r="C13" s="93" t="inlineStr">
        <is>
          <t>1-2-7</t>
        </is>
      </c>
      <c r="D13" s="151" t="inlineStr">
        <is>
          <t>Затраты труда рабочих (ср 2,7)</t>
        </is>
      </c>
      <c r="E13" s="170" t="inlineStr">
        <is>
          <t>чел.-ч</t>
        </is>
      </c>
      <c r="F13" s="93" t="n">
        <v>363.59</v>
      </c>
      <c r="G13" s="98" t="n">
        <v>8.31</v>
      </c>
      <c r="H13" s="85">
        <f>ROUND(F13*G13,2)</f>
        <v/>
      </c>
    </row>
    <row r="14">
      <c r="A14" s="89" t="n">
        <v>2</v>
      </c>
      <c r="B14" s="70" t="n"/>
      <c r="C14" s="93" t="inlineStr">
        <is>
          <t>1-3-2</t>
        </is>
      </c>
      <c r="D14" s="151" t="inlineStr">
        <is>
          <t>Затраты труда рабочих (ср 3,2)</t>
        </is>
      </c>
      <c r="E14" s="170" t="inlineStr">
        <is>
          <t>чел.-ч</t>
        </is>
      </c>
      <c r="F14" s="93" t="n">
        <v>73.76000000000001</v>
      </c>
      <c r="G14" s="98" t="n">
        <v>8.74</v>
      </c>
      <c r="H14" s="85">
        <f>ROUND(F14*G14,2)</f>
        <v/>
      </c>
    </row>
    <row r="15">
      <c r="A15" s="170" t="n">
        <v>3</v>
      </c>
      <c r="B15" s="70" t="n"/>
      <c r="C15" s="93" t="inlineStr">
        <is>
          <t>1-2-0</t>
        </is>
      </c>
      <c r="D15" s="151" t="inlineStr">
        <is>
          <t>Затраты труда рабочих (ср 2)</t>
        </is>
      </c>
      <c r="E15" s="170" t="inlineStr">
        <is>
          <t>чел.-ч</t>
        </is>
      </c>
      <c r="F15" s="93" t="n">
        <v>26.55</v>
      </c>
      <c r="G15" s="98" t="n">
        <v>7.8</v>
      </c>
      <c r="H15" s="85">
        <f>ROUND(F15*G15,2)</f>
        <v/>
      </c>
    </row>
    <row r="16">
      <c r="A16" s="89" t="n">
        <v>4</v>
      </c>
      <c r="B16" s="70" t="n"/>
      <c r="C16" s="93" t="inlineStr">
        <is>
          <t>1-2-3</t>
        </is>
      </c>
      <c r="D16" s="151" t="inlineStr">
        <is>
          <t>Затраты труда рабочих (ср 2,3)</t>
        </is>
      </c>
      <c r="E16" s="170" t="inlineStr">
        <is>
          <t>чел.-ч</t>
        </is>
      </c>
      <c r="F16" s="93" t="n">
        <v>13.31</v>
      </c>
      <c r="G16" s="98" t="n">
        <v>8.02</v>
      </c>
      <c r="H16" s="85">
        <f>ROUND(F16*G16,2)</f>
        <v/>
      </c>
    </row>
    <row r="17">
      <c r="A17" s="170" t="n">
        <v>5</v>
      </c>
      <c r="B17" s="70" t="n"/>
      <c r="C17" s="93" t="inlineStr">
        <is>
          <t>1-3-8</t>
        </is>
      </c>
      <c r="D17" s="151" t="inlineStr">
        <is>
          <t>Затраты труда рабочих (ср 3,8)</t>
        </is>
      </c>
      <c r="E17" s="170" t="inlineStr">
        <is>
          <t>чел.-ч</t>
        </is>
      </c>
      <c r="F17" s="93" t="n">
        <v>0.49</v>
      </c>
      <c r="G17" s="98" t="n">
        <v>9.4</v>
      </c>
      <c r="H17" s="85">
        <f>ROUND(F17*G17,2)</f>
        <v/>
      </c>
    </row>
    <row r="18">
      <c r="A18" s="138" t="inlineStr">
        <is>
          <t>Затраты труда машинистов</t>
        </is>
      </c>
      <c r="B18" s="173" t="n"/>
      <c r="C18" s="173" t="n"/>
      <c r="D18" s="173" t="n"/>
      <c r="E18" s="174" t="n"/>
      <c r="F18" s="139" t="n"/>
      <c r="G18" s="68" t="n"/>
      <c r="H18" s="86">
        <f>H19</f>
        <v/>
      </c>
    </row>
    <row r="19">
      <c r="A19" s="170" t="n">
        <v>6</v>
      </c>
      <c r="B19" s="140" t="n"/>
      <c r="C19" s="83" t="n">
        <v>2</v>
      </c>
      <c r="D19" s="88" t="inlineStr">
        <is>
          <t>Затраты труда машинистов</t>
        </is>
      </c>
      <c r="E19" s="170" t="inlineStr">
        <is>
          <t>чел.-ч</t>
        </is>
      </c>
      <c r="F19" s="170" t="n">
        <v>123.61</v>
      </c>
      <c r="G19" s="99" t="n"/>
      <c r="H19" s="100" t="n">
        <v>1331.26</v>
      </c>
    </row>
    <row r="20" customFormat="1" s="104">
      <c r="A20" s="139" t="inlineStr">
        <is>
          <t>Машины и механизмы</t>
        </is>
      </c>
      <c r="B20" s="173" t="n"/>
      <c r="C20" s="173" t="n"/>
      <c r="D20" s="173" t="n"/>
      <c r="E20" s="174" t="n"/>
      <c r="F20" s="139" t="n"/>
      <c r="G20" s="68" t="n"/>
      <c r="H20" s="86">
        <f>SUM(H21:H43)</f>
        <v/>
      </c>
    </row>
    <row r="21" ht="38.25" customHeight="1" s="103">
      <c r="A21" s="170" t="n">
        <v>7</v>
      </c>
      <c r="B21" s="140" t="n"/>
      <c r="C21" s="93" t="inlineStr">
        <is>
          <t>91.18.01-007</t>
        </is>
      </c>
      <c r="D21" s="1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1" s="152" t="inlineStr">
        <is>
          <t>маш.час</t>
        </is>
      </c>
      <c r="F21" s="93" t="n">
        <v>89.14</v>
      </c>
      <c r="G21" s="154" t="n">
        <v>90</v>
      </c>
      <c r="H21" s="85">
        <f>ROUND(F21*G21,2)</f>
        <v/>
      </c>
      <c r="I21" s="72" t="n"/>
      <c r="J21" s="91" t="n"/>
      <c r="L21" s="72" t="n"/>
    </row>
    <row r="22" ht="25.5" customFormat="1" customHeight="1" s="104">
      <c r="A22" s="170" t="n">
        <v>8</v>
      </c>
      <c r="B22" s="140" t="n"/>
      <c r="C22" s="93" t="inlineStr">
        <is>
          <t>91.08.03-030</t>
        </is>
      </c>
      <c r="D22" s="151" t="inlineStr">
        <is>
          <t>Катки самоходные пневмоколесные статические, масса 30 т</t>
        </is>
      </c>
      <c r="E22" s="152" t="inlineStr">
        <is>
          <t>маш.час</t>
        </is>
      </c>
      <c r="F22" s="93" t="n">
        <v>6.55</v>
      </c>
      <c r="G22" s="154" t="n">
        <v>364.07</v>
      </c>
      <c r="H22" s="85">
        <f>ROUND(F22*G22,2)</f>
        <v/>
      </c>
      <c r="I22" s="72" t="n"/>
      <c r="L22" s="72" t="n"/>
    </row>
    <row r="23" ht="25.5" customFormat="1" customHeight="1" s="104">
      <c r="A23" s="170" t="n">
        <v>9</v>
      </c>
      <c r="B23" s="140" t="n"/>
      <c r="C23" s="93" t="inlineStr">
        <is>
          <t>91.08.11-031</t>
        </is>
      </c>
      <c r="D23" s="151" t="inlineStr">
        <is>
          <t>Перегружатели асфальтовой смеси, емкость бункера до 25 т</t>
        </is>
      </c>
      <c r="E23" s="152" t="inlineStr">
        <is>
          <t>маш.час</t>
        </is>
      </c>
      <c r="F23" s="93" t="n">
        <v>1.1</v>
      </c>
      <c r="G23" s="154" t="n">
        <v>1503.75</v>
      </c>
      <c r="H23" s="85">
        <f>ROUND(F23*G23,2)</f>
        <v/>
      </c>
      <c r="I23" s="72" t="n"/>
      <c r="L23" s="72" t="n"/>
    </row>
    <row r="24" ht="25.5" customFormat="1" customHeight="1" s="104">
      <c r="A24" s="170" t="n">
        <v>10</v>
      </c>
      <c r="B24" s="140" t="n"/>
      <c r="C24" s="93" t="inlineStr">
        <is>
          <t>91.08.01-004</t>
        </is>
      </c>
      <c r="D24" s="151" t="inlineStr">
        <is>
          <t>Асфальтоукладчики гусеничные, ширина укладки от 2 до 5 м, скорость укладки 16 м/мин</t>
        </is>
      </c>
      <c r="E24" s="152" t="inlineStr">
        <is>
          <t>маш.час</t>
        </is>
      </c>
      <c r="F24" s="93" t="n">
        <v>1.1</v>
      </c>
      <c r="G24" s="154" t="n">
        <v>694.79</v>
      </c>
      <c r="H24" s="85">
        <f>ROUND(F24*G24,2)</f>
        <v/>
      </c>
      <c r="I24" s="72" t="n"/>
      <c r="L24" s="72" t="n"/>
    </row>
    <row r="25" ht="25.5" customFormat="1" customHeight="1" s="104">
      <c r="A25" s="170" t="n">
        <v>11</v>
      </c>
      <c r="B25" s="140" t="n"/>
      <c r="C25" s="93" t="inlineStr">
        <is>
          <t>91.01.02-004</t>
        </is>
      </c>
      <c r="D25" s="151" t="inlineStr">
        <is>
          <t>Автогрейдеры среднего типа, мощность 99 кВт (135 л.с.)</t>
        </is>
      </c>
      <c r="E25" s="152" t="inlineStr">
        <is>
          <t>маш.час</t>
        </is>
      </c>
      <c r="F25" s="93" t="n">
        <v>4.77</v>
      </c>
      <c r="G25" s="154" t="n">
        <v>123</v>
      </c>
      <c r="H25" s="85">
        <f>ROUND(F25*G25,2)</f>
        <v/>
      </c>
      <c r="I25" s="72" t="n"/>
      <c r="L25" s="72" t="n"/>
    </row>
    <row r="26" customFormat="1" s="104">
      <c r="A26" s="170" t="n">
        <v>12</v>
      </c>
      <c r="B26" s="140" t="n"/>
      <c r="C26" s="93" t="inlineStr">
        <is>
          <t>91.13.01-038</t>
        </is>
      </c>
      <c r="D26" s="151" t="inlineStr">
        <is>
          <t>Машины поливомоечные 6000 л</t>
        </is>
      </c>
      <c r="E26" s="152" t="inlineStr">
        <is>
          <t>маш.час</t>
        </is>
      </c>
      <c r="F26" s="93" t="n">
        <v>4.99</v>
      </c>
      <c r="G26" s="154" t="n">
        <v>110</v>
      </c>
      <c r="H26" s="85">
        <f>ROUND(F26*G26,2)</f>
        <v/>
      </c>
      <c r="I26" s="72" t="n"/>
      <c r="L26" s="72" t="n"/>
    </row>
    <row r="27" ht="25.5" customFormat="1" customHeight="1" s="104">
      <c r="A27" s="170" t="n">
        <v>13</v>
      </c>
      <c r="B27" s="140" t="n"/>
      <c r="C27" s="93" t="inlineStr">
        <is>
          <t>91.01.05-086</t>
        </is>
      </c>
      <c r="D27" s="151" t="inlineStr">
        <is>
          <t>Экскаваторы одноковшовые дизельные на гусеничном ходу, емкость ковша 0,65 м3</t>
        </is>
      </c>
      <c r="E27" s="152" t="inlineStr">
        <is>
          <t>маш.час</t>
        </is>
      </c>
      <c r="F27" s="93" t="n">
        <v>4.29</v>
      </c>
      <c r="G27" s="154" t="n">
        <v>115.27</v>
      </c>
      <c r="H27" s="85">
        <f>ROUND(F27*G27,2)</f>
        <v/>
      </c>
      <c r="I27" s="72" t="n"/>
      <c r="L27" s="72" t="n"/>
    </row>
    <row r="28" customFormat="1" s="104">
      <c r="A28" s="170" t="n">
        <v>14</v>
      </c>
      <c r="B28" s="140" t="n"/>
      <c r="C28" s="93" t="inlineStr">
        <is>
          <t>91.06.05-011</t>
        </is>
      </c>
      <c r="D28" s="151" t="inlineStr">
        <is>
          <t>Погрузчики, грузоподъемность 5 т</t>
        </is>
      </c>
      <c r="E28" s="152" t="inlineStr">
        <is>
          <t>маш.час</t>
        </is>
      </c>
      <c r="F28" s="93" t="n">
        <v>4.76</v>
      </c>
      <c r="G28" s="154" t="n">
        <v>89.98999999999999</v>
      </c>
      <c r="H28" s="85">
        <f>ROUND(F28*G28,2)</f>
        <v/>
      </c>
      <c r="I28" s="72" t="n"/>
      <c r="L28" s="72" t="n"/>
    </row>
    <row r="29" ht="25.5" customFormat="1" customHeight="1" s="104">
      <c r="A29" s="170" t="n">
        <v>15</v>
      </c>
      <c r="B29" s="140" t="n"/>
      <c r="C29" s="93" t="inlineStr">
        <is>
          <t>91.18.01-013</t>
        </is>
      </c>
      <c r="D29" s="151" t="inlineStr">
        <is>
          <t>Компрессоры передвижные, давление 2,0 МПа, производительность 60 м3/мин</t>
        </is>
      </c>
      <c r="E29" s="152" t="inlineStr">
        <is>
          <t>маш.час</t>
        </is>
      </c>
      <c r="F29" s="93" t="n">
        <v>1.8</v>
      </c>
      <c r="G29" s="154" t="n">
        <v>203.2</v>
      </c>
      <c r="H29" s="85">
        <f>ROUND(F29*G29,2)</f>
        <v/>
      </c>
      <c r="I29" s="72" t="n"/>
      <c r="L29" s="72" t="n"/>
    </row>
    <row r="30" ht="25.5" customFormat="1" customHeight="1" s="104">
      <c r="A30" s="170" t="n">
        <v>16</v>
      </c>
      <c r="B30" s="140" t="n"/>
      <c r="C30" s="93" t="inlineStr">
        <is>
          <t>91.08.03-047</t>
        </is>
      </c>
      <c r="D30" s="151" t="inlineStr">
        <is>
          <t>Катки самоходные пневмоколесные статические, масса 12 т</t>
        </is>
      </c>
      <c r="E30" s="152" t="inlineStr">
        <is>
          <t>маш.час</t>
        </is>
      </c>
      <c r="F30" s="93" t="n">
        <v>1.2</v>
      </c>
      <c r="G30" s="154" t="n">
        <v>236.79</v>
      </c>
      <c r="H30" s="85">
        <f>ROUND(F30*G30,2)</f>
        <v/>
      </c>
      <c r="I30" s="72" t="n"/>
      <c r="L30" s="72" t="n"/>
    </row>
    <row r="31" ht="25.5" customFormat="1" customHeight="1" s="104">
      <c r="A31" s="170" t="n">
        <v>17</v>
      </c>
      <c r="B31" s="140" t="n"/>
      <c r="C31" s="93" t="inlineStr">
        <is>
          <t>91.21.10-003</t>
        </is>
      </c>
      <c r="D31" s="151" t="inlineStr">
        <is>
          <t>Молотки при работе от передвижных компрессорных станций отбойные пневматические</t>
        </is>
      </c>
      <c r="E31" s="152" t="inlineStr">
        <is>
          <t>маш.час</t>
        </is>
      </c>
      <c r="F31" s="93" t="n">
        <v>178.82</v>
      </c>
      <c r="G31" s="154" t="n">
        <v>1.53</v>
      </c>
      <c r="H31" s="85">
        <f>ROUND(F31*G31,2)</f>
        <v/>
      </c>
      <c r="I31" s="72" t="n"/>
      <c r="L31" s="72" t="n"/>
    </row>
    <row r="32" customFormat="1" s="104">
      <c r="A32" s="170" t="n">
        <v>18</v>
      </c>
      <c r="B32" s="140" t="n"/>
      <c r="C32" s="93" t="inlineStr">
        <is>
          <t>91.08.03-017</t>
        </is>
      </c>
      <c r="D32" s="151" t="inlineStr">
        <is>
          <t>Катки самоходные гладкие вибрационные, масса 10 т</t>
        </is>
      </c>
      <c r="E32" s="152" t="inlineStr">
        <is>
          <t>маш.час</t>
        </is>
      </c>
      <c r="F32" s="93" t="n">
        <v>1</v>
      </c>
      <c r="G32" s="154" t="n">
        <v>247.24</v>
      </c>
      <c r="H32" s="85">
        <f>ROUND(F32*G32,2)</f>
        <v/>
      </c>
      <c r="I32" s="72" t="n"/>
      <c r="L32" s="72" t="n"/>
    </row>
    <row r="33" customFormat="1" s="104">
      <c r="A33" s="170" t="n">
        <v>19</v>
      </c>
      <c r="B33" s="140" t="n"/>
      <c r="C33" s="93" t="inlineStr">
        <is>
          <t>91.08.03-045</t>
        </is>
      </c>
      <c r="D33" s="151" t="inlineStr">
        <is>
          <t>Катки самоходные гладкие вибрационные, масса 7 т</t>
        </is>
      </c>
      <c r="E33" s="152" t="inlineStr">
        <is>
          <t>маш.час</t>
        </is>
      </c>
      <c r="F33" s="93" t="n">
        <v>0.7</v>
      </c>
      <c r="G33" s="154" t="n">
        <v>216.98</v>
      </c>
      <c r="H33" s="85">
        <f>ROUND(F33*G33,2)</f>
        <v/>
      </c>
      <c r="I33" s="72" t="n"/>
      <c r="L33" s="72" t="n"/>
    </row>
    <row r="34" customFormat="1" s="104">
      <c r="A34" s="170" t="n">
        <v>20</v>
      </c>
      <c r="B34" s="140" t="n"/>
      <c r="C34" s="93" t="inlineStr">
        <is>
          <t>91.08.03-049</t>
        </is>
      </c>
      <c r="D34" s="151" t="inlineStr">
        <is>
          <t>Катки самоходные гладкие вибрационные, масса 14 т</t>
        </is>
      </c>
      <c r="E34" s="152" t="inlineStr">
        <is>
          <t>маш.час</t>
        </is>
      </c>
      <c r="F34" s="93" t="n">
        <v>0.44</v>
      </c>
      <c r="G34" s="154" t="n">
        <v>298.31</v>
      </c>
      <c r="H34" s="85">
        <f>ROUND(F34*G34,2)</f>
        <v/>
      </c>
      <c r="I34" s="72" t="n"/>
      <c r="L34" s="72" t="n"/>
    </row>
    <row r="35">
      <c r="A35" s="170" t="n">
        <v>21</v>
      </c>
      <c r="B35" s="140" t="n"/>
      <c r="C35" s="93" t="inlineStr">
        <is>
          <t>91.08.04-022</t>
        </is>
      </c>
      <c r="D35" s="151" t="inlineStr">
        <is>
          <t>Котлы битумные передвижные 1000 л</t>
        </is>
      </c>
      <c r="E35" s="152" t="inlineStr">
        <is>
          <t>маш.час</t>
        </is>
      </c>
      <c r="F35" s="93" t="n">
        <v>2.5</v>
      </c>
      <c r="G35" s="154" t="n">
        <v>50</v>
      </c>
      <c r="H35" s="85">
        <f>ROUND(F35*G35,2)</f>
        <v/>
      </c>
      <c r="I35" s="72" t="n"/>
      <c r="L35" s="72" t="n"/>
    </row>
    <row r="36">
      <c r="A36" s="170" t="n">
        <v>22</v>
      </c>
      <c r="B36" s="140" t="n"/>
      <c r="C36" s="93" t="inlineStr">
        <is>
          <t>91.01.01-035</t>
        </is>
      </c>
      <c r="D36" s="151" t="inlineStr">
        <is>
          <t>Бульдозеры, мощность 79 кВт (108 л.с.)</t>
        </is>
      </c>
      <c r="E36" s="152" t="inlineStr">
        <is>
          <t>маш.час</t>
        </is>
      </c>
      <c r="F36" s="93" t="n">
        <v>1.46</v>
      </c>
      <c r="G36" s="154" t="n">
        <v>79.06999999999999</v>
      </c>
      <c r="H36" s="85">
        <f>ROUND(F36*G36,2)</f>
        <v/>
      </c>
      <c r="I36" s="72" t="n"/>
      <c r="L36" s="72" t="n"/>
    </row>
    <row r="37">
      <c r="A37" s="170" t="n">
        <v>23</v>
      </c>
      <c r="B37" s="140" t="n"/>
      <c r="C37" s="93" t="inlineStr">
        <is>
          <t>91.08.11-041</t>
        </is>
      </c>
      <c r="D37" s="151" t="inlineStr">
        <is>
          <t>Разогреватели швов инфракрасные</t>
        </is>
      </c>
      <c r="E37" s="152" t="inlineStr">
        <is>
          <t>маш.час</t>
        </is>
      </c>
      <c r="F37" s="93" t="n">
        <v>1.1</v>
      </c>
      <c r="G37" s="154" t="n">
        <v>19.4</v>
      </c>
      <c r="H37" s="85">
        <f>ROUND(F37*G37,2)</f>
        <v/>
      </c>
      <c r="I37" s="72" t="n"/>
      <c r="L37" s="72" t="n"/>
    </row>
    <row r="38">
      <c r="A38" s="170" t="n">
        <v>24</v>
      </c>
      <c r="B38" s="140" t="n"/>
      <c r="C38" s="93" t="inlineStr">
        <is>
          <t>91.08.06-001</t>
        </is>
      </c>
      <c r="D38" s="151" t="inlineStr">
        <is>
          <t>Нарезчики швов, мощность 20,5 кВт (28 л.с.)</t>
        </is>
      </c>
      <c r="E38" s="152" t="inlineStr">
        <is>
          <t>маш.час</t>
        </is>
      </c>
      <c r="F38" s="93" t="n">
        <v>0.7</v>
      </c>
      <c r="G38" s="154" t="n">
        <v>19.04</v>
      </c>
      <c r="H38" s="85">
        <f>ROUND(F38*G38,2)</f>
        <v/>
      </c>
      <c r="I38" s="72" t="n"/>
      <c r="L38" s="72" t="n"/>
    </row>
    <row r="39" ht="25.5" customHeight="1" s="103">
      <c r="A39" s="170" t="n">
        <v>25</v>
      </c>
      <c r="B39" s="140" t="n"/>
      <c r="C39" s="93" t="inlineStr">
        <is>
          <t>91.05.05-015</t>
        </is>
      </c>
      <c r="D39" s="151" t="inlineStr">
        <is>
          <t>Краны на автомобильном ходу, грузоподъемность 16 т</t>
        </is>
      </c>
      <c r="E39" s="152" t="inlineStr">
        <is>
          <t>маш.час</t>
        </is>
      </c>
      <c r="F39" s="93" t="n">
        <v>0.11</v>
      </c>
      <c r="G39" s="154" t="n">
        <v>115.4</v>
      </c>
      <c r="H39" s="85">
        <f>ROUND(F39*G39,2)</f>
        <v/>
      </c>
      <c r="I39" s="72" t="n"/>
      <c r="L39" s="72" t="n"/>
    </row>
    <row r="40">
      <c r="A40" s="170" t="n">
        <v>26</v>
      </c>
      <c r="B40" s="140" t="n"/>
      <c r="C40" s="93" t="inlineStr">
        <is>
          <t>91.14.02-001</t>
        </is>
      </c>
      <c r="D40" s="151" t="inlineStr">
        <is>
          <t>Автомобили бортовые, грузоподъемность до 5 т</t>
        </is>
      </c>
      <c r="E40" s="152" t="inlineStr">
        <is>
          <t>маш.час</t>
        </is>
      </c>
      <c r="F40" s="93" t="n">
        <v>0.15</v>
      </c>
      <c r="G40" s="154" t="n">
        <v>65.70999999999999</v>
      </c>
      <c r="H40" s="85">
        <f>ROUND(F40*G40,2)</f>
        <v/>
      </c>
      <c r="I40" s="72" t="n"/>
      <c r="L40" s="72" t="n"/>
    </row>
    <row r="41" ht="25.5" customHeight="1" s="103">
      <c r="A41" s="170" t="n">
        <v>27</v>
      </c>
      <c r="B41" s="140" t="n"/>
      <c r="C41" s="93" t="inlineStr">
        <is>
          <t>91.13.03-112</t>
        </is>
      </c>
      <c r="D41" s="151" t="inlineStr">
        <is>
          <t>Спецавтомобили-вездеходы, грузоподъемность до 1,5 т</t>
        </is>
      </c>
      <c r="E41" s="152" t="inlineStr">
        <is>
          <t>маш.час</t>
        </is>
      </c>
      <c r="F41" s="93" t="n">
        <v>0.1</v>
      </c>
      <c r="G41" s="154" t="n">
        <v>92.86</v>
      </c>
      <c r="H41" s="85">
        <f>ROUND(F41*G41,2)</f>
        <v/>
      </c>
      <c r="I41" s="72" t="n"/>
      <c r="L41" s="72" t="n"/>
    </row>
    <row r="42">
      <c r="A42" s="170" t="n">
        <v>28</v>
      </c>
      <c r="B42" s="140" t="n"/>
      <c r="C42" s="93" t="inlineStr">
        <is>
          <t>91.07.04-002</t>
        </is>
      </c>
      <c r="D42" s="151" t="inlineStr">
        <is>
          <t>Вибраторы поверхностные</t>
        </is>
      </c>
      <c r="E42" s="152" t="inlineStr">
        <is>
          <t>маш.час</t>
        </is>
      </c>
      <c r="F42" s="93" t="n">
        <v>4.02</v>
      </c>
      <c r="G42" s="154" t="n">
        <v>0.5</v>
      </c>
      <c r="H42" s="85">
        <f>ROUND(F42*G42,2)</f>
        <v/>
      </c>
      <c r="I42" s="72" t="n"/>
    </row>
    <row r="43" ht="25.5" customHeight="1" s="103">
      <c r="A43" s="170" t="n">
        <v>29</v>
      </c>
      <c r="B43" s="140" t="n"/>
      <c r="C43" s="93" t="inlineStr">
        <is>
          <t>91.06.03-049</t>
        </is>
      </c>
      <c r="D43" s="151" t="inlineStr">
        <is>
          <t>Лебедки ручные и рычажные тяговым усилием до 9,81 кН (1 т)</t>
        </is>
      </c>
      <c r="E43" s="152" t="inlineStr">
        <is>
          <t>маш.час</t>
        </is>
      </c>
      <c r="F43" s="93" t="n">
        <v>1.14</v>
      </c>
      <c r="G43" s="154" t="n">
        <v>0.58</v>
      </c>
      <c r="H43" s="85">
        <f>ROUND(F43*G43,2)</f>
        <v/>
      </c>
    </row>
    <row r="44" ht="15" customHeight="1" s="103">
      <c r="A44" s="138" t="inlineStr">
        <is>
          <t>Оборудование</t>
        </is>
      </c>
      <c r="B44" s="173" t="n"/>
      <c r="C44" s="173" t="n"/>
      <c r="D44" s="173" t="n"/>
      <c r="E44" s="174" t="n"/>
      <c r="F44" s="87" t="n"/>
      <c r="G44" s="87" t="n"/>
      <c r="H44" s="86" t="n">
        <v>0</v>
      </c>
    </row>
    <row r="45">
      <c r="A45" s="139" t="inlineStr">
        <is>
          <t>Материалы</t>
        </is>
      </c>
      <c r="B45" s="173" t="n"/>
      <c r="C45" s="173" t="n"/>
      <c r="D45" s="173" t="n"/>
      <c r="E45" s="174" t="n"/>
      <c r="F45" s="139" t="n"/>
      <c r="G45" s="68" t="n"/>
      <c r="H45" s="86">
        <f>SUM(H46:H60)</f>
        <v/>
      </c>
    </row>
    <row r="46" ht="38.25" customHeight="1" s="103">
      <c r="A46" s="89" t="n">
        <v>30</v>
      </c>
      <c r="B46" s="140" t="n"/>
      <c r="C46" s="93" t="inlineStr">
        <is>
          <t>04.1.02.03-0003</t>
        </is>
      </c>
      <c r="D46" s="151" t="inlineStr">
        <is>
          <t>Смеси бетонные тяжелого бетона (БСТ) для дорожных и аэродромных покрытий и оснований, класс В7,5 (М100)</t>
        </is>
      </c>
      <c r="E46" s="152" t="inlineStr">
        <is>
          <t>м3</t>
        </is>
      </c>
      <c r="F46" s="93" t="n">
        <v>41.4048</v>
      </c>
      <c r="G46" s="154" t="n">
        <v>573.95</v>
      </c>
      <c r="H46" s="85">
        <f>ROUND(F46*G46,2)</f>
        <v/>
      </c>
      <c r="I46" s="92" t="n"/>
      <c r="K46" s="72" t="n"/>
    </row>
    <row r="47" ht="25.5" customHeight="1" s="103">
      <c r="A47" s="89" t="n">
        <v>31</v>
      </c>
      <c r="B47" s="140" t="n"/>
      <c r="C47" s="93" t="inlineStr">
        <is>
          <t>04.2.01.01-0039</t>
        </is>
      </c>
      <c r="D47" s="151" t="inlineStr">
        <is>
          <t>Смеси асфальтобетонные плотные крупнозернистые тип А марка I</t>
        </is>
      </c>
      <c r="E47" s="152" t="inlineStr">
        <is>
          <t>т</t>
        </is>
      </c>
      <c r="F47" s="93" t="n">
        <v>32.6426</v>
      </c>
      <c r="G47" s="154" t="n">
        <v>491.01</v>
      </c>
      <c r="H47" s="85">
        <f>ROUND(F47*G47,2)</f>
        <v/>
      </c>
      <c r="I47" s="92" t="n"/>
      <c r="K47" s="72" t="n"/>
    </row>
    <row r="48" ht="25.5" customHeight="1" s="103">
      <c r="A48" s="89" t="n">
        <v>32</v>
      </c>
      <c r="B48" s="140" t="n"/>
      <c r="C48" s="93" t="inlineStr">
        <is>
          <t>04.2.01.01-0048</t>
        </is>
      </c>
      <c r="D48" s="151" t="inlineStr">
        <is>
          <t>Смеси асфальтобетонные плотные мелкозернистые тип Б марка I</t>
        </is>
      </c>
      <c r="E48" s="152" t="inlineStr">
        <is>
          <t>т</t>
        </is>
      </c>
      <c r="F48" s="93" t="n">
        <v>27.4216</v>
      </c>
      <c r="G48" s="154" t="n">
        <v>491.01</v>
      </c>
      <c r="H48" s="85">
        <f>ROUND(F48*G48,2)</f>
        <v/>
      </c>
      <c r="I48" s="92" t="n"/>
      <c r="K48" s="72" t="n"/>
    </row>
    <row r="49">
      <c r="A49" s="89" t="n">
        <v>33</v>
      </c>
      <c r="B49" s="140" t="n"/>
      <c r="C49" s="93" t="inlineStr">
        <is>
          <t>02.3.01.02-0005</t>
        </is>
      </c>
      <c r="D49" s="151" t="inlineStr">
        <is>
          <t>Песок несортированный</t>
        </is>
      </c>
      <c r="E49" s="152" t="inlineStr">
        <is>
          <t>м3</t>
        </is>
      </c>
      <c r="F49" s="93" t="n">
        <v>99.88</v>
      </c>
      <c r="G49" s="154" t="n">
        <v>83.48999999999999</v>
      </c>
      <c r="H49" s="85">
        <f>ROUND(F49*G49,2)</f>
        <v/>
      </c>
      <c r="I49" s="92" t="n"/>
    </row>
    <row r="50" ht="25.5" customHeight="1" s="103">
      <c r="A50" s="89" t="n">
        <v>34</v>
      </c>
      <c r="B50" s="140" t="n"/>
      <c r="C50" s="93" t="inlineStr">
        <is>
          <t>01.7.17.06-0061</t>
        </is>
      </c>
      <c r="D50" s="151" t="inlineStr">
        <is>
          <t>Диск алмазный для твердых материалов, диаметр 350 мм</t>
        </is>
      </c>
      <c r="E50" s="152" t="inlineStr">
        <is>
          <t>шт</t>
        </is>
      </c>
      <c r="F50" s="93" t="n">
        <v>0.355028</v>
      </c>
      <c r="G50" s="154" t="n">
        <v>737</v>
      </c>
      <c r="H50" s="85">
        <f>ROUND(F50*G50,2)</f>
        <v/>
      </c>
      <c r="I50" s="92" t="n"/>
    </row>
    <row r="51">
      <c r="A51" s="89" t="n">
        <v>35</v>
      </c>
      <c r="B51" s="140" t="n"/>
      <c r="C51" s="93" t="inlineStr">
        <is>
          <t>11.2.13.04-0012</t>
        </is>
      </c>
      <c r="D51" s="151" t="inlineStr">
        <is>
          <t>Щиты из досок, толщина 40 мм</t>
        </is>
      </c>
      <c r="E51" s="152" t="inlineStr">
        <is>
          <t>м2</t>
        </is>
      </c>
      <c r="F51" s="93" t="n">
        <v>2.6105</v>
      </c>
      <c r="G51" s="154" t="n">
        <v>57.63</v>
      </c>
      <c r="H51" s="85">
        <f>ROUND(F51*G51,2)</f>
        <v/>
      </c>
      <c r="I51" s="92" t="n"/>
    </row>
    <row r="52">
      <c r="A52" s="89" t="n">
        <v>36</v>
      </c>
      <c r="B52" s="140" t="n"/>
      <c r="C52" s="93" t="inlineStr">
        <is>
          <t>01.7.03.01-0001</t>
        </is>
      </c>
      <c r="D52" s="151" t="inlineStr">
        <is>
          <t>Вода</t>
        </is>
      </c>
      <c r="E52" s="152" t="inlineStr">
        <is>
          <t>м3</t>
        </is>
      </c>
      <c r="F52" s="93" t="n">
        <v>44.946</v>
      </c>
      <c r="G52" s="154" t="n">
        <v>2.44</v>
      </c>
      <c r="H52" s="85">
        <f>ROUND(F52*G52,2)</f>
        <v/>
      </c>
      <c r="I52" s="92" t="n"/>
    </row>
    <row r="53">
      <c r="A53" s="89" t="n">
        <v>37</v>
      </c>
      <c r="B53" s="140" t="n"/>
      <c r="C53" s="93" t="inlineStr">
        <is>
          <t>01.7.15.02-0051</t>
        </is>
      </c>
      <c r="D53" s="151" t="inlineStr">
        <is>
          <t>Болты анкерные</t>
        </is>
      </c>
      <c r="E53" s="152" t="inlineStr">
        <is>
          <t>т</t>
        </is>
      </c>
      <c r="F53" s="93" t="n">
        <v>0.005448</v>
      </c>
      <c r="G53" s="154" t="n">
        <v>10068</v>
      </c>
      <c r="H53" s="85">
        <f>ROUND(F53*G53,2)</f>
        <v/>
      </c>
      <c r="I53" s="92" t="n"/>
    </row>
    <row r="54">
      <c r="A54" s="89" t="n">
        <v>38</v>
      </c>
      <c r="B54" s="140" t="n"/>
      <c r="C54" s="93" t="inlineStr">
        <is>
          <t>01.7.07.26-0032</t>
        </is>
      </c>
      <c r="D54" s="151" t="inlineStr">
        <is>
          <t>Шнур полиамидный крученый, диаметр 2 мм</t>
        </is>
      </c>
      <c r="E54" s="152" t="inlineStr">
        <is>
          <t>т</t>
        </is>
      </c>
      <c r="F54" s="93" t="n">
        <v>0.0010896</v>
      </c>
      <c r="G54" s="154" t="n">
        <v>40650</v>
      </c>
      <c r="H54" s="85">
        <f>ROUND(F54*G54,2)</f>
        <v/>
      </c>
      <c r="I54" s="92" t="n"/>
    </row>
    <row r="55" ht="25.5" customHeight="1" s="103">
      <c r="A55" s="89" t="n">
        <v>39</v>
      </c>
      <c r="B55" s="140" t="n"/>
      <c r="C55" s="93" t="inlineStr">
        <is>
          <t>01.2.01.01-0019</t>
        </is>
      </c>
      <c r="D55" s="151" t="inlineStr">
        <is>
          <t>Битумы нефтяные дорожные вязкие БНД 60/90, БНД 90/130</t>
        </is>
      </c>
      <c r="E55" s="152" t="inlineStr">
        <is>
          <t>т</t>
        </is>
      </c>
      <c r="F55" s="93" t="n">
        <v>0.02043</v>
      </c>
      <c r="G55" s="154" t="n">
        <v>1690</v>
      </c>
      <c r="H55" s="85">
        <f>ROUND(F55*G55,2)</f>
        <v/>
      </c>
      <c r="I55" s="92" t="n"/>
    </row>
    <row r="56">
      <c r="A56" s="89" t="n">
        <v>40</v>
      </c>
      <c r="B56" s="140" t="n"/>
      <c r="C56" s="93" t="inlineStr">
        <is>
          <t>01.7.03.01-0002</t>
        </is>
      </c>
      <c r="D56" s="151" t="inlineStr">
        <is>
          <t>Вода водопроводная</t>
        </is>
      </c>
      <c r="E56" s="152" t="inlineStr">
        <is>
          <t>м3</t>
        </is>
      </c>
      <c r="F56" s="93" t="n">
        <v>9.91536</v>
      </c>
      <c r="G56" s="154" t="n">
        <v>3.15</v>
      </c>
      <c r="H56" s="85">
        <f>ROUND(F56*G56,2)</f>
        <v/>
      </c>
      <c r="I56" s="92" t="n"/>
    </row>
    <row r="57">
      <c r="A57" s="89" t="n">
        <v>41</v>
      </c>
      <c r="B57" s="140" t="n"/>
      <c r="C57" s="93" t="inlineStr">
        <is>
          <t>12.1.02.06-0012</t>
        </is>
      </c>
      <c r="D57" s="151" t="inlineStr">
        <is>
          <t>Рубероид кровельный РКК-350</t>
        </is>
      </c>
      <c r="E57" s="152" t="inlineStr">
        <is>
          <t>м2</t>
        </is>
      </c>
      <c r="F57" s="93" t="n">
        <v>3.178</v>
      </c>
      <c r="G57" s="154" t="n">
        <v>7.46</v>
      </c>
      <c r="H57" s="85">
        <f>ROUND(F57*G57,2)</f>
        <v/>
      </c>
      <c r="I57" s="92" t="n"/>
    </row>
    <row r="58">
      <c r="A58" s="89" t="n">
        <v>42</v>
      </c>
      <c r="B58" s="140" t="n"/>
      <c r="C58" s="93" t="inlineStr">
        <is>
          <t>01.2.03.07-0023</t>
        </is>
      </c>
      <c r="D58" s="151" t="inlineStr">
        <is>
          <t>Эмульсия битумно-дорожная</t>
        </is>
      </c>
      <c r="E58" s="152" t="inlineStr">
        <is>
          <t>т</t>
        </is>
      </c>
      <c r="F58" s="93" t="n">
        <v>0.003178</v>
      </c>
      <c r="G58" s="154" t="n">
        <v>1554.2</v>
      </c>
      <c r="H58" s="85">
        <f>ROUND(F58*G58,2)</f>
        <v/>
      </c>
      <c r="I58" s="92" t="n"/>
    </row>
    <row r="59" customFormat="1" s="104">
      <c r="A59" s="89" t="n">
        <v>43</v>
      </c>
      <c r="B59" s="140" t="n"/>
      <c r="C59" s="93" t="inlineStr">
        <is>
          <t>08.1.02.11-0001</t>
        </is>
      </c>
      <c r="D59" s="151" t="inlineStr">
        <is>
          <t>Поковки из квадратных заготовок, масса 1,8 кг</t>
        </is>
      </c>
      <c r="E59" s="152" t="inlineStr">
        <is>
          <t>т</t>
        </is>
      </c>
      <c r="F59" s="93" t="n">
        <v>0.0003632</v>
      </c>
      <c r="G59" s="154" t="n">
        <v>5989</v>
      </c>
      <c r="H59" s="85">
        <f>ROUND(F59*G59,2)</f>
        <v/>
      </c>
      <c r="I59" s="92" t="n"/>
    </row>
    <row r="60" ht="25.5" customHeight="1" s="103">
      <c r="A60" s="89" t="n">
        <v>44</v>
      </c>
      <c r="B60" s="140" t="n"/>
      <c r="C60" s="93" t="inlineStr">
        <is>
          <t>08.4.03.02-0007</t>
        </is>
      </c>
      <c r="D60" s="151" t="inlineStr">
        <is>
          <t>Сталь арматурная, горячекатаная, гладкая, класс А-I, диаметр 20-22 мм</t>
        </is>
      </c>
      <c r="E60" s="152" t="inlineStr">
        <is>
          <t>т</t>
        </is>
      </c>
      <c r="F60" s="93" t="n">
        <v>0.0003632</v>
      </c>
      <c r="G60" s="154" t="n">
        <v>5520</v>
      </c>
      <c r="H60" s="85">
        <f>ROUND(F60*G60,2)</f>
        <v/>
      </c>
      <c r="I60" s="92" t="n"/>
    </row>
    <row r="63">
      <c r="B63" s="114" t="inlineStr">
        <is>
          <t>Составил ______________________     Р.Р Шагеева</t>
        </is>
      </c>
    </row>
    <row r="64">
      <c r="B64" s="56" t="inlineStr">
        <is>
          <t xml:space="preserve">                         (подпись, инициалы, фамилия)</t>
        </is>
      </c>
    </row>
    <row r="66">
      <c r="B66" s="114" t="inlineStr">
        <is>
          <t>Проверил ______________________        А.В. Костянецкая</t>
        </is>
      </c>
    </row>
    <row r="67">
      <c r="B67" s="5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0:E20"/>
    <mergeCell ref="D9:D10"/>
    <mergeCell ref="A7:H7"/>
    <mergeCell ref="A9:A10"/>
    <mergeCell ref="E9:E10"/>
    <mergeCell ref="F9:F10"/>
    <mergeCell ref="C5:H5"/>
    <mergeCell ref="A45:E45"/>
    <mergeCell ref="A44:E44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3.4257812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109" t="n"/>
      <c r="C1" s="109" t="n"/>
      <c r="D1" s="109" t="n"/>
      <c r="E1" s="109" t="n"/>
    </row>
    <row r="2">
      <c r="B2" s="109" t="n"/>
      <c r="C2" s="109" t="n"/>
      <c r="D2" s="109" t="n"/>
      <c r="E2" s="165" t="inlineStr">
        <is>
          <t>Приложение № 4</t>
        </is>
      </c>
    </row>
    <row r="3">
      <c r="B3" s="109" t="n"/>
      <c r="C3" s="109" t="n"/>
      <c r="D3" s="109" t="n"/>
      <c r="E3" s="109" t="n"/>
    </row>
    <row r="4">
      <c r="B4" s="109" t="n"/>
      <c r="C4" s="109" t="n"/>
      <c r="D4" s="109" t="n"/>
      <c r="E4" s="109" t="n"/>
    </row>
    <row r="5">
      <c r="B5" s="143" t="inlineStr">
        <is>
          <t>Ресурсная модель</t>
        </is>
      </c>
    </row>
    <row r="6">
      <c r="B6" s="80" t="n"/>
      <c r="C6" s="109" t="n"/>
      <c r="D6" s="109" t="n"/>
      <c r="E6" s="109" t="n"/>
    </row>
    <row r="7" ht="25.5" customHeight="1" s="103">
      <c r="B7" s="144" t="inlineStr">
        <is>
          <t>Наименование разрабатываемого показателя УНЦ — Восстановление дорожного покрытия проезжей части при прокладке кабельной линии (для всех субъектов Российской Федерации)</t>
        </is>
      </c>
    </row>
    <row r="8">
      <c r="B8" s="145" t="inlineStr">
        <is>
          <t>Единица измерения  — 1 м2</t>
        </is>
      </c>
    </row>
    <row r="9">
      <c r="B9" s="80" t="n"/>
      <c r="C9" s="109" t="n"/>
      <c r="D9" s="109" t="n"/>
      <c r="E9" s="109" t="n"/>
    </row>
    <row r="10" ht="51" customHeight="1" s="103">
      <c r="B10" s="152" t="inlineStr">
        <is>
          <t>Наименование</t>
        </is>
      </c>
      <c r="C10" s="152" t="inlineStr">
        <is>
          <t>Сметная стоимость в ценах на 01.01.2023
 (руб.)</t>
        </is>
      </c>
      <c r="D10" s="152" t="inlineStr">
        <is>
          <t>Удельный вес, 
(в СМР)</t>
        </is>
      </c>
      <c r="E10" s="15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74">
        <f>'Прил.5 Расчет СМР и ОБ'!J14</f>
        <v/>
      </c>
      <c r="D11" s="75">
        <f>C11/$C$24</f>
        <v/>
      </c>
      <c r="E11" s="75">
        <f>C11/$C$40</f>
        <v/>
      </c>
    </row>
    <row r="12">
      <c r="B12" s="9" t="inlineStr">
        <is>
          <t>Эксплуатация машин основных</t>
        </is>
      </c>
      <c r="C12" s="74">
        <f>'Прил.5 Расчет СМР и ОБ'!J26</f>
        <v/>
      </c>
      <c r="D12" s="75">
        <f>C12/$C$24</f>
        <v/>
      </c>
      <c r="E12" s="75">
        <f>C12/$C$40</f>
        <v/>
      </c>
    </row>
    <row r="13">
      <c r="B13" s="9" t="inlineStr">
        <is>
          <t>Эксплуатация машин прочих</t>
        </is>
      </c>
      <c r="C13" s="74">
        <f>'Прил.5 Расчет СМР и ОБ'!J43</f>
        <v/>
      </c>
      <c r="D13" s="75">
        <f>C13/$C$24</f>
        <v/>
      </c>
      <c r="E13" s="75">
        <f>C13/$C$40</f>
        <v/>
      </c>
    </row>
    <row r="14">
      <c r="B14" s="9" t="inlineStr">
        <is>
          <t>ЭКСПЛУАТАЦИЯ МАШИН, ВСЕГО:</t>
        </is>
      </c>
      <c r="C14" s="74">
        <f>C13+C12</f>
        <v/>
      </c>
      <c r="D14" s="75">
        <f>C14/$C$24</f>
        <v/>
      </c>
      <c r="E14" s="75">
        <f>C14/$C$40</f>
        <v/>
      </c>
    </row>
    <row r="15">
      <c r="B15" s="9" t="inlineStr">
        <is>
          <t>в том числе зарплата машинистов</t>
        </is>
      </c>
      <c r="C15" s="74">
        <f>'Прил.5 Расчет СМР и ОБ'!J16</f>
        <v/>
      </c>
      <c r="D15" s="75">
        <f>C15/$C$24</f>
        <v/>
      </c>
      <c r="E15" s="75">
        <f>C15/$C$40</f>
        <v/>
      </c>
    </row>
    <row r="16">
      <c r="B16" s="9" t="inlineStr">
        <is>
          <t>Материалы основные</t>
        </is>
      </c>
      <c r="C16" s="74">
        <f>'Прил.5 Расчет СМР и ОБ'!J56</f>
        <v/>
      </c>
      <c r="D16" s="75">
        <f>C16/$C$24</f>
        <v/>
      </c>
      <c r="E16" s="75">
        <f>C16/$C$40</f>
        <v/>
      </c>
    </row>
    <row r="17">
      <c r="B17" s="9" t="inlineStr">
        <is>
          <t>Материалы прочие</t>
        </is>
      </c>
      <c r="C17" s="74">
        <f>'Прил.5 Расчет СМР и ОБ'!J69</f>
        <v/>
      </c>
      <c r="D17" s="75">
        <f>C17/$C$24</f>
        <v/>
      </c>
      <c r="E17" s="75">
        <f>C17/$C$40</f>
        <v/>
      </c>
      <c r="G17" s="79" t="n"/>
    </row>
    <row r="18">
      <c r="B18" s="9" t="inlineStr">
        <is>
          <t>МАТЕРИАЛЫ, ВСЕГО:</t>
        </is>
      </c>
      <c r="C18" s="74">
        <f>C17+C16</f>
        <v/>
      </c>
      <c r="D18" s="75">
        <f>C18/$C$24</f>
        <v/>
      </c>
      <c r="E18" s="75">
        <f>C18/$C$40</f>
        <v/>
      </c>
    </row>
    <row r="19">
      <c r="B19" s="9" t="inlineStr">
        <is>
          <t>ИТОГО</t>
        </is>
      </c>
      <c r="C19" s="74">
        <f>C18+C14+C11</f>
        <v/>
      </c>
      <c r="D19" s="75" t="n"/>
      <c r="E19" s="9" t="n"/>
    </row>
    <row r="20">
      <c r="B20" s="9" t="inlineStr">
        <is>
          <t>Сметная прибыль, руб.</t>
        </is>
      </c>
      <c r="C20" s="74">
        <f>ROUND(C21*(C11+C15),2)</f>
        <v/>
      </c>
      <c r="D20" s="75">
        <f>C20/$C$24</f>
        <v/>
      </c>
      <c r="E20" s="75">
        <f>C20/$C$40</f>
        <v/>
      </c>
    </row>
    <row r="21">
      <c r="B21" s="9" t="inlineStr">
        <is>
          <t>Сметная прибыль, %</t>
        </is>
      </c>
      <c r="C21" s="78">
        <f>'Прил.5 Расчет СМР и ОБ'!D73</f>
        <v/>
      </c>
      <c r="D21" s="75" t="n"/>
      <c r="E21" s="9" t="n"/>
    </row>
    <row r="22">
      <c r="B22" s="9" t="inlineStr">
        <is>
          <t>Накладные расходы, руб.</t>
        </is>
      </c>
      <c r="C22" s="74">
        <f>ROUND(C23*(C11+C15),2)</f>
        <v/>
      </c>
      <c r="D22" s="75">
        <f>C22/$C$24</f>
        <v/>
      </c>
      <c r="E22" s="75">
        <f>C22/$C$40</f>
        <v/>
      </c>
    </row>
    <row r="23">
      <c r="B23" s="9" t="inlineStr">
        <is>
          <t>Накладные расходы, %</t>
        </is>
      </c>
      <c r="C23" s="78">
        <f>'Прил.5 Расчет СМР и ОБ'!D72</f>
        <v/>
      </c>
      <c r="D23" s="75" t="n"/>
      <c r="E23" s="9" t="n"/>
    </row>
    <row r="24">
      <c r="B24" s="9" t="inlineStr">
        <is>
          <t>ВСЕГО СМР с НР и СП</t>
        </is>
      </c>
      <c r="C24" s="74">
        <f>C19+C20+C22</f>
        <v/>
      </c>
      <c r="D24" s="75">
        <f>C24/$C$24</f>
        <v/>
      </c>
      <c r="E24" s="75">
        <f>C24/$C$40</f>
        <v/>
      </c>
    </row>
    <row r="25" ht="25.5" customHeight="1" s="103">
      <c r="B25" s="9" t="inlineStr">
        <is>
          <t>ВСЕГО стоимость оборудования, в том числе</t>
        </is>
      </c>
      <c r="C25" s="74">
        <f>'Прил.5 Расчет СМР и ОБ'!J49</f>
        <v/>
      </c>
      <c r="D25" s="75" t="n"/>
      <c r="E25" s="75">
        <f>C25/$C$40</f>
        <v/>
      </c>
    </row>
    <row r="26" ht="25.5" customHeight="1" s="103">
      <c r="B26" s="9" t="inlineStr">
        <is>
          <t>стоимость оборудования технологического</t>
        </is>
      </c>
      <c r="C26" s="74">
        <f>'Прил.5 Расчет СМР и ОБ'!J50</f>
        <v/>
      </c>
      <c r="D26" s="75" t="n"/>
      <c r="E26" s="75">
        <f>C26/$C$40</f>
        <v/>
      </c>
    </row>
    <row r="27">
      <c r="B27" s="9" t="inlineStr">
        <is>
          <t>ИТОГО (СМР + ОБОРУДОВАНИЕ)</t>
        </is>
      </c>
      <c r="C27" s="77">
        <f>C24+C25</f>
        <v/>
      </c>
      <c r="D27" s="75" t="n"/>
      <c r="E27" s="75">
        <f>C27/$C$40</f>
        <v/>
      </c>
      <c r="G27" s="76" t="n"/>
    </row>
    <row r="28" ht="33" customHeight="1" s="103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3">
      <c r="B29" s="9" t="inlineStr">
        <is>
          <t>Временные здания и сооружения - 3,9%</t>
        </is>
      </c>
      <c r="C29" s="77">
        <f>ROUND(C24*3.9%,2)</f>
        <v/>
      </c>
      <c r="D29" s="9" t="n"/>
      <c r="E29" s="75">
        <f>C29/$C$40</f>
        <v/>
      </c>
    </row>
    <row r="30" ht="38.25" customHeight="1" s="103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7">
        <f>ROUND((C24+C29)*2.1%,2)</f>
        <v/>
      </c>
      <c r="D30" s="9" t="n"/>
      <c r="E30" s="75">
        <f>C30/$C$40</f>
        <v/>
      </c>
    </row>
    <row r="31">
      <c r="B31" s="9" t="inlineStr">
        <is>
          <t>Пусконаладочные работы</t>
        </is>
      </c>
      <c r="C31" s="77" t="n">
        <v>0</v>
      </c>
      <c r="D31" s="9" t="n"/>
      <c r="E31" s="75">
        <f>C31/$C$40</f>
        <v/>
      </c>
    </row>
    <row r="32" ht="25.5" customHeight="1" s="103">
      <c r="B32" s="9" t="inlineStr">
        <is>
          <t>Затраты по перевозке работников к месту работы и обратно</t>
        </is>
      </c>
      <c r="C32" s="77" t="n">
        <v>0</v>
      </c>
      <c r="D32" s="9" t="n"/>
      <c r="E32" s="75">
        <f>C32/$C$40</f>
        <v/>
      </c>
    </row>
    <row r="33" ht="25.5" customHeight="1" s="103">
      <c r="B33" s="9" t="inlineStr">
        <is>
          <t>Затраты, связанные с осуществлением работ вахтовым методом</t>
        </is>
      </c>
      <c r="C33" s="77">
        <f>ROUND(C27*0%,2)</f>
        <v/>
      </c>
      <c r="D33" s="9" t="n"/>
      <c r="E33" s="75">
        <f>C33/$C$40</f>
        <v/>
      </c>
    </row>
    <row r="34" ht="51" customHeight="1" s="103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7" t="n">
        <v>0</v>
      </c>
      <c r="D34" s="9" t="n"/>
      <c r="E34" s="75">
        <f>C34/$C$40</f>
        <v/>
      </c>
    </row>
    <row r="35" ht="76.5" customHeight="1" s="103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7">
        <f>ROUND(C27*0%,2)</f>
        <v/>
      </c>
      <c r="D35" s="9" t="n"/>
      <c r="E35" s="75">
        <f>C35/$C$40</f>
        <v/>
      </c>
    </row>
    <row r="36" ht="25.5" customHeight="1" s="103">
      <c r="B36" s="9" t="inlineStr">
        <is>
          <t>Строительный контроль и содержание службы заказчика - 2,14%</t>
        </is>
      </c>
      <c r="C36" s="77">
        <f>ROUND((C27+C32+C33+C34+C35+C29+C31+C30)*2.14%,2)</f>
        <v/>
      </c>
      <c r="D36" s="9" t="n"/>
      <c r="E36" s="75">
        <f>C36/$C$40</f>
        <v/>
      </c>
      <c r="G36" s="96" t="n"/>
      <c r="L36" s="76" t="n"/>
    </row>
    <row r="37">
      <c r="B37" s="9" t="inlineStr">
        <is>
          <t>Авторский надзор - 0,2%</t>
        </is>
      </c>
      <c r="C37" s="77">
        <f>ROUND((C27+C32+C33+C34+C35+C29+C31+C30)*0.2%,2)</f>
        <v/>
      </c>
      <c r="D37" s="9" t="n"/>
      <c r="E37" s="75">
        <f>C37/$C$40</f>
        <v/>
      </c>
      <c r="G37" s="97" t="n"/>
      <c r="L37" s="76" t="n"/>
    </row>
    <row r="38" ht="38.25" customHeight="1" s="103">
      <c r="B38" s="9" t="inlineStr">
        <is>
          <t>ИТОГО (СМР+ОБОРУДОВАНИЕ+ПРОЧ. ЗАТР., УЧТЕННЫЕ ПОКАЗАТЕЛЕМ)</t>
        </is>
      </c>
      <c r="C38" s="74">
        <f>C27+C32+C33+C34+C35+C29+C31+C30+C36+C37</f>
        <v/>
      </c>
      <c r="D38" s="9" t="n"/>
      <c r="E38" s="75">
        <f>C38/$C$40</f>
        <v/>
      </c>
    </row>
    <row r="39" ht="13.5" customHeight="1" s="103">
      <c r="B39" s="9" t="inlineStr">
        <is>
          <t>Непредвиденные расходы</t>
        </is>
      </c>
      <c r="C39" s="74">
        <f>ROUND(C38*3%,2)</f>
        <v/>
      </c>
      <c r="D39" s="9" t="n"/>
      <c r="E39" s="75">
        <f>C39/$C$38</f>
        <v/>
      </c>
    </row>
    <row r="40">
      <c r="B40" s="9" t="inlineStr">
        <is>
          <t>ВСЕГО:</t>
        </is>
      </c>
      <c r="C40" s="74">
        <f>C39+C38</f>
        <v/>
      </c>
      <c r="D40" s="9" t="n"/>
      <c r="E40" s="75">
        <f>C40/$C$40</f>
        <v/>
      </c>
    </row>
    <row r="41">
      <c r="B41" s="9" t="inlineStr">
        <is>
          <t>ИТОГО ПОКАЗАТЕЛЬ НА ЕД. ИЗМ.</t>
        </is>
      </c>
      <c r="C41" s="74">
        <f>C40/'Прил.5 Расчет СМР и ОБ'!E76</f>
        <v/>
      </c>
      <c r="D41" s="9" t="n"/>
      <c r="E41" s="9" t="n"/>
    </row>
    <row r="42">
      <c r="B42" s="73" t="n"/>
      <c r="C42" s="109" t="n"/>
      <c r="D42" s="109" t="n"/>
      <c r="E42" s="109" t="n"/>
    </row>
    <row r="43">
      <c r="B43" s="73" t="inlineStr">
        <is>
          <t>Составил ____________________________  Р.Р Шагеева</t>
        </is>
      </c>
      <c r="C43" s="109" t="n"/>
      <c r="D43" s="109" t="n"/>
      <c r="E43" s="109" t="n"/>
    </row>
    <row r="44">
      <c r="B44" s="73" t="inlineStr">
        <is>
          <t xml:space="preserve">(должность, подпись, инициалы, фамилия) </t>
        </is>
      </c>
      <c r="C44" s="109" t="n"/>
      <c r="D44" s="109" t="n"/>
      <c r="E44" s="109" t="n"/>
    </row>
    <row r="45">
      <c r="B45" s="73" t="n"/>
      <c r="C45" s="109" t="n"/>
      <c r="D45" s="109" t="n"/>
      <c r="E45" s="109" t="n"/>
    </row>
    <row r="46">
      <c r="B46" s="73" t="inlineStr">
        <is>
          <t>Проверил ____________________________ А.В. Костянецкая</t>
        </is>
      </c>
      <c r="C46" s="109" t="n"/>
      <c r="D46" s="109" t="n"/>
      <c r="E46" s="109" t="n"/>
    </row>
    <row r="47">
      <c r="B47" s="145" t="inlineStr">
        <is>
          <t>(должность, подпись, инициалы, фамилия)</t>
        </is>
      </c>
      <c r="D47" s="109" t="n"/>
      <c r="E47" s="109" t="n"/>
    </row>
    <row r="49">
      <c r="B49" s="109" t="n"/>
      <c r="C49" s="109" t="n"/>
      <c r="D49" s="109" t="n"/>
      <c r="E49" s="109" t="n"/>
    </row>
    <row r="50">
      <c r="B50" s="109" t="n"/>
      <c r="C50" s="109" t="n"/>
      <c r="D50" s="109" t="n"/>
      <c r="E50" s="1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2"/>
  <sheetViews>
    <sheetView tabSelected="1" view="pageBreakPreview" zoomScale="85" zoomScaleSheetLayoutView="85" workbookViewId="0">
      <selection activeCell="R25" sqref="R25"/>
    </sheetView>
  </sheetViews>
  <sheetFormatPr baseColWidth="8" defaultColWidth="9.140625" defaultRowHeight="15" outlineLevelRow="1"/>
  <cols>
    <col width="5.7109375" customWidth="1" style="110" min="1" max="1"/>
    <col width="22.5703125" customWidth="1" style="110" min="2" max="2"/>
    <col width="39.140625" customWidth="1" style="110" min="3" max="3"/>
    <col width="13.5703125" customWidth="1" style="110" min="4" max="4"/>
    <col width="12.7109375" customWidth="1" style="110" min="5" max="5"/>
    <col width="14.5703125" customWidth="1" style="110" min="6" max="6"/>
    <col width="13.42578125" customWidth="1" style="110" min="7" max="7"/>
    <col width="12.7109375" customWidth="1" style="110" min="8" max="8"/>
    <col width="13.85546875" customWidth="1" style="110" min="9" max="9"/>
    <col width="17.5703125" customWidth="1" style="110" min="10" max="10"/>
    <col width="10.85546875" customWidth="1" style="110" min="11" max="11"/>
    <col width="13.85546875" customWidth="1" style="110" min="12" max="12"/>
  </cols>
  <sheetData>
    <row r="1">
      <c r="M1" s="110" t="n"/>
      <c r="N1" s="110" t="n"/>
    </row>
    <row r="2" ht="15.75" customHeight="1" s="103">
      <c r="H2" s="160" t="inlineStr">
        <is>
          <t>Приложение №5</t>
        </is>
      </c>
      <c r="M2" s="110" t="n"/>
      <c r="N2" s="110" t="n"/>
    </row>
    <row r="3">
      <c r="M3" s="110" t="n"/>
      <c r="N3" s="110" t="n"/>
    </row>
    <row r="4" ht="12.75" customFormat="1" customHeight="1" s="109">
      <c r="A4" s="143" t="inlineStr">
        <is>
          <t>Расчет стоимости СМР и оборудования</t>
        </is>
      </c>
    </row>
    <row r="5" ht="12.75" customFormat="1" customHeight="1" s="109">
      <c r="A5" s="143" t="n"/>
      <c r="B5" s="143" t="n"/>
      <c r="C5" s="35" t="n"/>
      <c r="D5" s="143" t="n"/>
      <c r="E5" s="143" t="n"/>
      <c r="F5" s="143" t="n"/>
      <c r="G5" s="143" t="n"/>
      <c r="H5" s="143" t="n"/>
      <c r="I5" s="143" t="n"/>
      <c r="J5" s="143" t="n"/>
    </row>
    <row r="6" ht="23.25" customFormat="1" customHeight="1" s="109">
      <c r="A6" s="48" t="inlineStr">
        <is>
          <t>Наименование разрабатываемого показателя УНЦ</t>
        </is>
      </c>
      <c r="B6" s="47" t="n"/>
      <c r="C6" s="47" t="n"/>
      <c r="D6" s="161" t="inlineStr">
        <is>
          <t>Восстановление дорожного покрытия проезжей части при прокладке кабельной линии (для всех субъектов Российской Федерации)</t>
        </is>
      </c>
    </row>
    <row r="7" ht="12.75" customFormat="1" customHeight="1" s="109">
      <c r="A7" s="161" t="inlineStr">
        <is>
          <t>Единица измерения  — 1 м2</t>
        </is>
      </c>
      <c r="I7" s="144" t="n"/>
      <c r="J7" s="144" t="n"/>
    </row>
    <row r="8" ht="13.5" customFormat="1" customHeight="1" s="109">
      <c r="A8" s="161" t="n"/>
    </row>
    <row r="9" ht="27" customHeight="1" s="103">
      <c r="A9" s="152" t="inlineStr">
        <is>
          <t>№ пп.</t>
        </is>
      </c>
      <c r="B9" s="152" t="inlineStr">
        <is>
          <t>Код ресурса</t>
        </is>
      </c>
      <c r="C9" s="152" t="inlineStr">
        <is>
          <t>Наименование</t>
        </is>
      </c>
      <c r="D9" s="152" t="inlineStr">
        <is>
          <t>Ед. изм.</t>
        </is>
      </c>
      <c r="E9" s="152" t="inlineStr">
        <is>
          <t>Кол-во единиц по проектным данным</t>
        </is>
      </c>
      <c r="F9" s="152" t="inlineStr">
        <is>
          <t>Сметная стоимость в ценах на 01.01.2000 (руб.)</t>
        </is>
      </c>
      <c r="G9" s="174" t="n"/>
      <c r="H9" s="152" t="inlineStr">
        <is>
          <t>Удельный вес, %</t>
        </is>
      </c>
      <c r="I9" s="152" t="inlineStr">
        <is>
          <t>Сметная стоимость в ценах на 01.01.2023 (руб.)</t>
        </is>
      </c>
      <c r="J9" s="174" t="n"/>
      <c r="M9" s="110" t="n"/>
      <c r="N9" s="110" t="n"/>
    </row>
    <row r="10" ht="28.5" customHeight="1" s="103">
      <c r="A10" s="176" t="n"/>
      <c r="B10" s="176" t="n"/>
      <c r="C10" s="176" t="n"/>
      <c r="D10" s="176" t="n"/>
      <c r="E10" s="176" t="n"/>
      <c r="F10" s="152" t="inlineStr">
        <is>
          <t>на ед. изм.</t>
        </is>
      </c>
      <c r="G10" s="152" t="inlineStr">
        <is>
          <t>общая</t>
        </is>
      </c>
      <c r="H10" s="176" t="n"/>
      <c r="I10" s="152" t="inlineStr">
        <is>
          <t>на ед. изм.</t>
        </is>
      </c>
      <c r="J10" s="152" t="inlineStr">
        <is>
          <t>общая</t>
        </is>
      </c>
      <c r="M10" s="110" t="n"/>
      <c r="N10" s="110" t="n"/>
    </row>
    <row r="11">
      <c r="A11" s="152" t="n">
        <v>1</v>
      </c>
      <c r="B11" s="152" t="n">
        <v>2</v>
      </c>
      <c r="C11" s="152" t="n">
        <v>3</v>
      </c>
      <c r="D11" s="152" t="n">
        <v>4</v>
      </c>
      <c r="E11" s="152" t="n">
        <v>5</v>
      </c>
      <c r="F11" s="152" t="n">
        <v>6</v>
      </c>
      <c r="G11" s="152" t="n">
        <v>7</v>
      </c>
      <c r="H11" s="152" t="n">
        <v>8</v>
      </c>
      <c r="I11" s="147" t="n">
        <v>9</v>
      </c>
      <c r="J11" s="147" t="n">
        <v>10</v>
      </c>
      <c r="M11" s="110" t="n"/>
      <c r="N11" s="110" t="n"/>
    </row>
    <row r="12">
      <c r="A12" s="152" t="n"/>
      <c r="B12" s="138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40" t="n"/>
      <c r="J12" s="40" t="n"/>
    </row>
    <row r="13" ht="25.5" customHeight="1" s="103">
      <c r="A13" s="152" t="n">
        <v>1</v>
      </c>
      <c r="B13" s="93" t="inlineStr">
        <is>
          <t>1-2-7</t>
        </is>
      </c>
      <c r="C13" s="151" t="inlineStr">
        <is>
          <t>Затраты труда рабочих-строителей среднего разряда (2,7)</t>
        </is>
      </c>
      <c r="D13" s="152" t="inlineStr">
        <is>
          <t>чел.-ч.</t>
        </is>
      </c>
      <c r="E13" s="41">
        <f>G13/F13</f>
        <v/>
      </c>
      <c r="F13" s="5" t="n">
        <v>8.31</v>
      </c>
      <c r="G13" s="5" t="n">
        <v>3984.54</v>
      </c>
      <c r="H13" s="43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0">
      <c r="A14" s="152" t="n"/>
      <c r="B14" s="152" t="n"/>
      <c r="C14" s="138" t="inlineStr">
        <is>
          <t>Итого по разделу "Затраты труда рабочих-строителей"</t>
        </is>
      </c>
      <c r="D14" s="152" t="inlineStr">
        <is>
          <t>чел.-ч.</t>
        </is>
      </c>
      <c r="E14" s="41">
        <f>SUM(E13:E13)</f>
        <v/>
      </c>
      <c r="F14" s="5" t="n"/>
      <c r="G14" s="5">
        <f>SUM(G13:G13)</f>
        <v/>
      </c>
      <c r="H14" s="155" t="n">
        <v>1</v>
      </c>
      <c r="I14" s="40" t="n"/>
      <c r="J14" s="5">
        <f>SUM(J13:J13)</f>
        <v/>
      </c>
    </row>
    <row r="15" ht="14.25" customFormat="1" customHeight="1" s="110">
      <c r="A15" s="152" t="n"/>
      <c r="B15" s="151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40" t="n"/>
      <c r="J15" s="40" t="n"/>
    </row>
    <row r="16" ht="14.25" customFormat="1" customHeight="1" s="110">
      <c r="A16" s="152" t="n">
        <v>2</v>
      </c>
      <c r="B16" s="152" t="n">
        <v>2</v>
      </c>
      <c r="C16" s="151" t="inlineStr">
        <is>
          <t>Затраты труда машинистов</t>
        </is>
      </c>
      <c r="D16" s="152" t="inlineStr">
        <is>
          <t>чел.-ч.</t>
        </is>
      </c>
      <c r="E16" s="41" t="n">
        <v>123.61</v>
      </c>
      <c r="F16" s="5">
        <f>G16/E16</f>
        <v/>
      </c>
      <c r="G16" s="5" t="n">
        <v>1331.26</v>
      </c>
      <c r="H16" s="155" t="n">
        <v>1</v>
      </c>
      <c r="I16" s="5">
        <f>ROUND(F16*Прил.10!D11,2)</f>
        <v/>
      </c>
      <c r="J16" s="5">
        <f>ROUND(I16*E16,2)</f>
        <v/>
      </c>
    </row>
    <row r="17" ht="14.25" customFormat="1" customHeight="1" s="110">
      <c r="A17" s="152" t="n"/>
      <c r="B17" s="138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40" t="n"/>
      <c r="J17" s="40" t="n"/>
    </row>
    <row r="18" ht="14.25" customFormat="1" customHeight="1" s="110">
      <c r="A18" s="152" t="n"/>
      <c r="B18" s="151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40" t="n"/>
      <c r="J18" s="40" t="n"/>
    </row>
    <row r="19" ht="51" customFormat="1" customHeight="1" s="110">
      <c r="A19" s="152" t="n">
        <v>3</v>
      </c>
      <c r="B19" s="93" t="inlineStr">
        <is>
          <t>91.18.01-007</t>
        </is>
      </c>
      <c r="C19" s="1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19" s="152" t="inlineStr">
        <is>
          <t>маш.час</t>
        </is>
      </c>
      <c r="E19" s="101" t="n">
        <v>89.14</v>
      </c>
      <c r="F19" s="154" t="n">
        <v>90</v>
      </c>
      <c r="G19" s="5">
        <f>ROUND(E19*F19,2)</f>
        <v/>
      </c>
      <c r="H19" s="43">
        <f>G19/$G$44</f>
        <v/>
      </c>
      <c r="I19" s="5">
        <f>ROUND(F19*Прил.10!$D$12,2)</f>
        <v/>
      </c>
      <c r="J19" s="5">
        <f>ROUND(I19*E19,2)</f>
        <v/>
      </c>
    </row>
    <row r="20" ht="25.5" customFormat="1" customHeight="1" s="110">
      <c r="A20" s="152" t="n">
        <v>4</v>
      </c>
      <c r="B20" s="93" t="inlineStr">
        <is>
          <t>91.08.03-030</t>
        </is>
      </c>
      <c r="C20" s="151" t="inlineStr">
        <is>
          <t>Катки самоходные пневмоколесные статические, масса 30 т</t>
        </is>
      </c>
      <c r="D20" s="152" t="inlineStr">
        <is>
          <t>маш.час</t>
        </is>
      </c>
      <c r="E20" s="101" t="n">
        <v>6.55</v>
      </c>
      <c r="F20" s="154" t="n">
        <v>364.07</v>
      </c>
      <c r="G20" s="5">
        <f>ROUND(E20*F20,2)</f>
        <v/>
      </c>
      <c r="H20" s="43">
        <f>G20/$G$44</f>
        <v/>
      </c>
      <c r="I20" s="5">
        <f>ROUND(F20*Прил.10!$D$12,2)</f>
        <v/>
      </c>
      <c r="J20" s="5">
        <f>ROUND(I20*E20,2)</f>
        <v/>
      </c>
    </row>
    <row r="21" ht="25.5" customFormat="1" customHeight="1" s="110">
      <c r="A21" s="152" t="n">
        <v>5</v>
      </c>
      <c r="B21" s="93" t="inlineStr">
        <is>
          <t>91.08.11-031</t>
        </is>
      </c>
      <c r="C21" s="151" t="inlineStr">
        <is>
          <t>Перегружатели асфальтовой смеси, емкость бункера до 25 т</t>
        </is>
      </c>
      <c r="D21" s="152" t="inlineStr">
        <is>
          <t>маш.час</t>
        </is>
      </c>
      <c r="E21" s="101" t="n">
        <v>1.1</v>
      </c>
      <c r="F21" s="154" t="n">
        <v>1503.75</v>
      </c>
      <c r="G21" s="5">
        <f>ROUND(E21*F21,2)</f>
        <v/>
      </c>
      <c r="H21" s="43">
        <f>G21/$G$44</f>
        <v/>
      </c>
      <c r="I21" s="5">
        <f>ROUND(F21*Прил.10!$D$12,2)</f>
        <v/>
      </c>
      <c r="J21" s="5">
        <f>ROUND(I21*E21,2)</f>
        <v/>
      </c>
    </row>
    <row r="22" ht="38.25" customFormat="1" customHeight="1" s="110">
      <c r="A22" s="152" t="n">
        <v>6</v>
      </c>
      <c r="B22" s="93" t="inlineStr">
        <is>
          <t>91.08.01-004</t>
        </is>
      </c>
      <c r="C22" s="151" t="inlineStr">
        <is>
          <t>Асфальтоукладчики гусеничные, ширина укладки от 2 до 5 м, скорость укладки 16 м/мин</t>
        </is>
      </c>
      <c r="D22" s="152" t="inlineStr">
        <is>
          <t>маш.час</t>
        </is>
      </c>
      <c r="E22" s="101" t="n">
        <v>1.1</v>
      </c>
      <c r="F22" s="154" t="n">
        <v>694.79</v>
      </c>
      <c r="G22" s="5">
        <f>ROUND(E22*F22,2)</f>
        <v/>
      </c>
      <c r="H22" s="43">
        <f>G22/$G$44</f>
        <v/>
      </c>
      <c r="I22" s="5">
        <f>ROUND(F22*Прил.10!$D$12,2)</f>
        <v/>
      </c>
      <c r="J22" s="5">
        <f>ROUND(I22*E22,2)</f>
        <v/>
      </c>
    </row>
    <row r="23" ht="25.5" customFormat="1" customHeight="1" s="110">
      <c r="A23" s="152" t="n">
        <v>7</v>
      </c>
      <c r="B23" s="93" t="inlineStr">
        <is>
          <t>91.01.02-004</t>
        </is>
      </c>
      <c r="C23" s="151" t="inlineStr">
        <is>
          <t>Автогрейдеры среднего типа, мощность 99 кВт (135 л.с.)</t>
        </is>
      </c>
      <c r="D23" s="152" t="inlineStr">
        <is>
          <t>маш.час</t>
        </is>
      </c>
      <c r="E23" s="101" t="n">
        <v>4.77</v>
      </c>
      <c r="F23" s="154" t="n">
        <v>123</v>
      </c>
      <c r="G23" s="5">
        <f>ROUND(E23*F23,2)</f>
        <v/>
      </c>
      <c r="H23" s="43">
        <f>G23/$G$44</f>
        <v/>
      </c>
      <c r="I23" s="5">
        <f>ROUND(F23*Прил.10!$D$12,2)</f>
        <v/>
      </c>
      <c r="J23" s="5">
        <f>ROUND(I23*E23,2)</f>
        <v/>
      </c>
    </row>
    <row r="24" ht="14.25" customFormat="1" customHeight="1" s="110">
      <c r="A24" s="152" t="n">
        <v>8</v>
      </c>
      <c r="B24" s="93" t="inlineStr">
        <is>
          <t>91.13.01-038</t>
        </is>
      </c>
      <c r="C24" s="151" t="inlineStr">
        <is>
          <t>Машины поливомоечные 6000 л</t>
        </is>
      </c>
      <c r="D24" s="152" t="inlineStr">
        <is>
          <t>маш.час</t>
        </is>
      </c>
      <c r="E24" s="101" t="n">
        <v>4.99</v>
      </c>
      <c r="F24" s="154" t="n">
        <v>110</v>
      </c>
      <c r="G24" s="5">
        <f>ROUND(E24*F24,2)</f>
        <v/>
      </c>
      <c r="H24" s="43">
        <f>G24/$G$44</f>
        <v/>
      </c>
      <c r="I24" s="5">
        <f>ROUND(F24*Прил.10!$D$12,2)</f>
        <v/>
      </c>
      <c r="J24" s="5">
        <f>ROUND(I24*E24,2)</f>
        <v/>
      </c>
    </row>
    <row r="25" ht="25.5" customFormat="1" customHeight="1" s="110">
      <c r="A25" s="152" t="n">
        <v>9</v>
      </c>
      <c r="B25" s="93" t="inlineStr">
        <is>
          <t>91.01.05-086</t>
        </is>
      </c>
      <c r="C25" s="151" t="inlineStr">
        <is>
          <t>Экскаваторы одноковшовые дизельные на гусеничном ходу, емкость ковша 0,65 м3</t>
        </is>
      </c>
      <c r="D25" s="152" t="inlineStr">
        <is>
          <t>маш.час</t>
        </is>
      </c>
      <c r="E25" s="101" t="n">
        <v>4.29</v>
      </c>
      <c r="F25" s="154" t="n">
        <v>115.27</v>
      </c>
      <c r="G25" s="5">
        <f>ROUND(E25*F25,2)</f>
        <v/>
      </c>
      <c r="H25" s="43">
        <f>G25/$G$44</f>
        <v/>
      </c>
      <c r="I25" s="5">
        <f>ROUND(F25*Прил.10!$D$12,2)</f>
        <v/>
      </c>
      <c r="J25" s="5">
        <f>ROUND(I25*E25,2)</f>
        <v/>
      </c>
    </row>
    <row r="26" ht="14.25" customFormat="1" customHeight="1" s="110">
      <c r="A26" s="152" t="n"/>
      <c r="B26" s="152" t="n"/>
      <c r="C26" s="151" t="inlineStr">
        <is>
          <t>Итого основные машины и механизмы</t>
        </is>
      </c>
      <c r="D26" s="152" t="n"/>
      <c r="E26" s="41" t="n"/>
      <c r="F26" s="5" t="n"/>
      <c r="G26" s="5">
        <f>SUM(G19:G25)</f>
        <v/>
      </c>
      <c r="H26" s="155">
        <f>G26/G44</f>
        <v/>
      </c>
      <c r="I26" s="42" t="n"/>
      <c r="J26" s="5">
        <f>SUM(J19:J25)</f>
        <v/>
      </c>
    </row>
    <row r="27" hidden="1" outlineLevel="1" ht="14.25" customFormat="1" customHeight="1" s="110">
      <c r="A27" s="152" t="n">
        <v>10</v>
      </c>
      <c r="B27" s="93" t="inlineStr">
        <is>
          <t>91.06.05-011</t>
        </is>
      </c>
      <c r="C27" s="151" t="inlineStr">
        <is>
          <t>Погрузчики, грузоподъемность 5 т</t>
        </is>
      </c>
      <c r="D27" s="152" t="inlineStr">
        <is>
          <t>маш.час</t>
        </is>
      </c>
      <c r="E27" s="101" t="n">
        <v>4.76</v>
      </c>
      <c r="F27" s="154" t="n">
        <v>89.98999999999999</v>
      </c>
      <c r="G27" s="5">
        <f>ROUND(E27*F27,2)</f>
        <v/>
      </c>
      <c r="H27" s="43">
        <f>G27/$G$44</f>
        <v/>
      </c>
      <c r="I27" s="5">
        <f>ROUND(F27*Прил.10!$D$12,2)</f>
        <v/>
      </c>
      <c r="J27" s="5">
        <f>ROUND(I27*E27,2)</f>
        <v/>
      </c>
    </row>
    <row r="28" hidden="1" outlineLevel="1" ht="25.5" customFormat="1" customHeight="1" s="110">
      <c r="A28" s="152" t="n">
        <v>11</v>
      </c>
      <c r="B28" s="93" t="inlineStr">
        <is>
          <t>91.18.01-013</t>
        </is>
      </c>
      <c r="C28" s="151" t="inlineStr">
        <is>
          <t>Компрессоры передвижные, давление 2,0 МПа, производительность 60 м3/мин</t>
        </is>
      </c>
      <c r="D28" s="152" t="inlineStr">
        <is>
          <t>маш.час</t>
        </is>
      </c>
      <c r="E28" s="101" t="n">
        <v>1.8</v>
      </c>
      <c r="F28" s="154" t="n">
        <v>203.2</v>
      </c>
      <c r="G28" s="5">
        <f>ROUND(E28*F28,2)</f>
        <v/>
      </c>
      <c r="H28" s="43">
        <f>G28/$G$44</f>
        <v/>
      </c>
      <c r="I28" s="5">
        <f>ROUND(F28*Прил.10!$D$12,2)</f>
        <v/>
      </c>
      <c r="J28" s="5">
        <f>ROUND(I28*E28,2)</f>
        <v/>
      </c>
    </row>
    <row r="29" hidden="1" outlineLevel="1" ht="25.5" customFormat="1" customHeight="1" s="110">
      <c r="A29" s="152" t="n">
        <v>12</v>
      </c>
      <c r="B29" s="93" t="inlineStr">
        <is>
          <t>91.08.03-047</t>
        </is>
      </c>
      <c r="C29" s="151" t="inlineStr">
        <is>
          <t>Катки самоходные пневмоколесные статические, масса 12 т</t>
        </is>
      </c>
      <c r="D29" s="152" t="inlineStr">
        <is>
          <t>маш.час</t>
        </is>
      </c>
      <c r="E29" s="101" t="n">
        <v>1.2</v>
      </c>
      <c r="F29" s="154" t="n">
        <v>236.79</v>
      </c>
      <c r="G29" s="5">
        <f>ROUND(E29*F29,2)</f>
        <v/>
      </c>
      <c r="H29" s="43">
        <f>G29/$G$44</f>
        <v/>
      </c>
      <c r="I29" s="5">
        <f>ROUND(F29*Прил.10!$D$12,2)</f>
        <v/>
      </c>
      <c r="J29" s="5">
        <f>ROUND(I29*E29,2)</f>
        <v/>
      </c>
    </row>
    <row r="30" hidden="1" outlineLevel="1" ht="38.25" customFormat="1" customHeight="1" s="110">
      <c r="A30" s="152" t="n">
        <v>13</v>
      </c>
      <c r="B30" s="93" t="inlineStr">
        <is>
          <t>91.21.10-003</t>
        </is>
      </c>
      <c r="C30" s="151" t="inlineStr">
        <is>
          <t>Молотки при работе от передвижных компрессорных станций отбойные пневматические</t>
        </is>
      </c>
      <c r="D30" s="152" t="inlineStr">
        <is>
          <t>маш.час</t>
        </is>
      </c>
      <c r="E30" s="101" t="n">
        <v>178.82</v>
      </c>
      <c r="F30" s="154" t="n">
        <v>1.53</v>
      </c>
      <c r="G30" s="5">
        <f>ROUND(E30*F30,2)</f>
        <v/>
      </c>
      <c r="H30" s="43">
        <f>G30/$G$44</f>
        <v/>
      </c>
      <c r="I30" s="5">
        <f>ROUND(F30*Прил.10!$D$12,2)</f>
        <v/>
      </c>
      <c r="J30" s="5">
        <f>ROUND(I30*E30,2)</f>
        <v/>
      </c>
    </row>
    <row r="31" hidden="1" outlineLevel="1" ht="25.5" customFormat="1" customHeight="1" s="110">
      <c r="A31" s="152" t="n">
        <v>14</v>
      </c>
      <c r="B31" s="93" t="inlineStr">
        <is>
          <t>91.08.03-017</t>
        </is>
      </c>
      <c r="C31" s="151" t="inlineStr">
        <is>
          <t>Катки самоходные гладкие вибрационные, масса 10 т</t>
        </is>
      </c>
      <c r="D31" s="152" t="inlineStr">
        <is>
          <t>маш.час</t>
        </is>
      </c>
      <c r="E31" s="101" t="n">
        <v>1</v>
      </c>
      <c r="F31" s="154" t="n">
        <v>247.24</v>
      </c>
      <c r="G31" s="5">
        <f>ROUND(E31*F31,2)</f>
        <v/>
      </c>
      <c r="H31" s="43">
        <f>G31/$G$44</f>
        <v/>
      </c>
      <c r="I31" s="5">
        <f>ROUND(F31*Прил.10!$D$12,2)</f>
        <v/>
      </c>
      <c r="J31" s="5">
        <f>ROUND(I31*E31,2)</f>
        <v/>
      </c>
    </row>
    <row r="32" hidden="1" outlineLevel="1" ht="25.5" customFormat="1" customHeight="1" s="110">
      <c r="A32" s="152" t="n">
        <v>15</v>
      </c>
      <c r="B32" s="93" t="inlineStr">
        <is>
          <t>91.08.03-045</t>
        </is>
      </c>
      <c r="C32" s="151" t="inlineStr">
        <is>
          <t>Катки самоходные гладкие вибрационные, масса 7 т</t>
        </is>
      </c>
      <c r="D32" s="152" t="inlineStr">
        <is>
          <t>маш.час</t>
        </is>
      </c>
      <c r="E32" s="101" t="n">
        <v>0.7</v>
      </c>
      <c r="F32" s="154" t="n">
        <v>216.98</v>
      </c>
      <c r="G32" s="5">
        <f>ROUND(E32*F32,2)</f>
        <v/>
      </c>
      <c r="H32" s="43">
        <f>G32/$G$44</f>
        <v/>
      </c>
      <c r="I32" s="5">
        <f>ROUND(F32*Прил.10!$D$12,2)</f>
        <v/>
      </c>
      <c r="J32" s="5">
        <f>ROUND(I32*E32,2)</f>
        <v/>
      </c>
    </row>
    <row r="33" hidden="1" outlineLevel="1" ht="25.5" customFormat="1" customHeight="1" s="110">
      <c r="A33" s="152" t="n">
        <v>16</v>
      </c>
      <c r="B33" s="93" t="inlineStr">
        <is>
          <t>91.08.03-049</t>
        </is>
      </c>
      <c r="C33" s="151" t="inlineStr">
        <is>
          <t>Катки самоходные гладкие вибрационные, масса 14 т</t>
        </is>
      </c>
      <c r="D33" s="152" t="inlineStr">
        <is>
          <t>маш.час</t>
        </is>
      </c>
      <c r="E33" s="101" t="n">
        <v>0.44</v>
      </c>
      <c r="F33" s="154" t="n">
        <v>298.31</v>
      </c>
      <c r="G33" s="5">
        <f>ROUND(E33*F33,2)</f>
        <v/>
      </c>
      <c r="H33" s="43">
        <f>G33/$G$44</f>
        <v/>
      </c>
      <c r="I33" s="5">
        <f>ROUND(F33*Прил.10!$D$12,2)</f>
        <v/>
      </c>
      <c r="J33" s="5">
        <f>ROUND(I33*E33,2)</f>
        <v/>
      </c>
    </row>
    <row r="34" hidden="1" outlineLevel="1" ht="14.25" customFormat="1" customHeight="1" s="110">
      <c r="A34" s="152" t="n">
        <v>17</v>
      </c>
      <c r="B34" s="93" t="inlineStr">
        <is>
          <t>91.08.04-022</t>
        </is>
      </c>
      <c r="C34" s="151" t="inlineStr">
        <is>
          <t>Котлы битумные передвижные 1000 л</t>
        </is>
      </c>
      <c r="D34" s="152" t="inlineStr">
        <is>
          <t>маш.час</t>
        </is>
      </c>
      <c r="E34" s="101" t="n">
        <v>2.5</v>
      </c>
      <c r="F34" s="154" t="n">
        <v>50</v>
      </c>
      <c r="G34" s="5">
        <f>ROUND(E34*F34,2)</f>
        <v/>
      </c>
      <c r="H34" s="43">
        <f>G34/$G$44</f>
        <v/>
      </c>
      <c r="I34" s="5">
        <f>ROUND(F34*Прил.10!$D$12,2)</f>
        <v/>
      </c>
      <c r="J34" s="5">
        <f>ROUND(I34*E34,2)</f>
        <v/>
      </c>
    </row>
    <row r="35" hidden="1" outlineLevel="1" ht="14.25" customFormat="1" customHeight="1" s="110">
      <c r="A35" s="152" t="n">
        <v>18</v>
      </c>
      <c r="B35" s="93" t="inlineStr">
        <is>
          <t>91.01.01-035</t>
        </is>
      </c>
      <c r="C35" s="151" t="inlineStr">
        <is>
          <t>Бульдозеры, мощность 79 кВт (108 л.с.)</t>
        </is>
      </c>
      <c r="D35" s="152" t="inlineStr">
        <is>
          <t>маш.час</t>
        </is>
      </c>
      <c r="E35" s="101" t="n">
        <v>1.46</v>
      </c>
      <c r="F35" s="154" t="n">
        <v>79.06999999999999</v>
      </c>
      <c r="G35" s="5">
        <f>ROUND(E35*F35,2)</f>
        <v/>
      </c>
      <c r="H35" s="43">
        <f>G35/$G$44</f>
        <v/>
      </c>
      <c r="I35" s="5">
        <f>ROUND(F35*Прил.10!$D$12,2)</f>
        <v/>
      </c>
      <c r="J35" s="5">
        <f>ROUND(I35*E35,2)</f>
        <v/>
      </c>
    </row>
    <row r="36" hidden="1" outlineLevel="1" ht="14.25" customFormat="1" customHeight="1" s="110">
      <c r="A36" s="152" t="n">
        <v>19</v>
      </c>
      <c r="B36" s="93" t="inlineStr">
        <is>
          <t>91.08.11-041</t>
        </is>
      </c>
      <c r="C36" s="151" t="inlineStr">
        <is>
          <t>Разогреватели швов инфракрасные</t>
        </is>
      </c>
      <c r="D36" s="152" t="inlineStr">
        <is>
          <t>маш.час</t>
        </is>
      </c>
      <c r="E36" s="101" t="n">
        <v>1.1</v>
      </c>
      <c r="F36" s="154" t="n">
        <v>19.4</v>
      </c>
      <c r="G36" s="5">
        <f>ROUND(E36*F36,2)</f>
        <v/>
      </c>
      <c r="H36" s="43">
        <f>G36/$G$44</f>
        <v/>
      </c>
      <c r="I36" s="5">
        <f>ROUND(F36*Прил.10!$D$12,2)</f>
        <v/>
      </c>
      <c r="J36" s="5">
        <f>ROUND(I36*E36,2)</f>
        <v/>
      </c>
    </row>
    <row r="37" hidden="1" outlineLevel="1" ht="25.5" customFormat="1" customHeight="1" s="110">
      <c r="A37" s="152" t="n">
        <v>20</v>
      </c>
      <c r="B37" s="93" t="inlineStr">
        <is>
          <t>91.08.06-001</t>
        </is>
      </c>
      <c r="C37" s="151" t="inlineStr">
        <is>
          <t>Нарезчики швов, мощность 20,5 кВт (28 л.с.)</t>
        </is>
      </c>
      <c r="D37" s="152" t="inlineStr">
        <is>
          <t>маш.час</t>
        </is>
      </c>
      <c r="E37" s="101" t="n">
        <v>0.7</v>
      </c>
      <c r="F37" s="154" t="n">
        <v>19.04</v>
      </c>
      <c r="G37" s="5">
        <f>ROUND(E37*F37,2)</f>
        <v/>
      </c>
      <c r="H37" s="43">
        <f>G37/$G$44</f>
        <v/>
      </c>
      <c r="I37" s="5">
        <f>ROUND(F37*Прил.10!$D$12,2)</f>
        <v/>
      </c>
      <c r="J37" s="5">
        <f>ROUND(I37*E37,2)</f>
        <v/>
      </c>
    </row>
    <row r="38" hidden="1" outlineLevel="1" ht="25.5" customFormat="1" customHeight="1" s="110">
      <c r="A38" s="152" t="n">
        <v>21</v>
      </c>
      <c r="B38" s="93" t="inlineStr">
        <is>
          <t>91.05.05-015</t>
        </is>
      </c>
      <c r="C38" s="151" t="inlineStr">
        <is>
          <t>Краны на автомобильном ходу, грузоподъемность 16 т</t>
        </is>
      </c>
      <c r="D38" s="152" t="inlineStr">
        <is>
          <t>маш.час</t>
        </is>
      </c>
      <c r="E38" s="101" t="n">
        <v>0.11</v>
      </c>
      <c r="F38" s="154" t="n">
        <v>115.4</v>
      </c>
      <c r="G38" s="5">
        <f>ROUND(E38*F38,2)</f>
        <v/>
      </c>
      <c r="H38" s="43">
        <f>G38/$G$44</f>
        <v/>
      </c>
      <c r="I38" s="5">
        <f>ROUND(F38*Прил.10!$D$12,2)</f>
        <v/>
      </c>
      <c r="J38" s="5">
        <f>ROUND(I38*E38,2)</f>
        <v/>
      </c>
    </row>
    <row r="39" hidden="1" outlineLevel="1" ht="25.5" customFormat="1" customHeight="1" s="110">
      <c r="A39" s="152" t="n">
        <v>22</v>
      </c>
      <c r="B39" s="93" t="inlineStr">
        <is>
          <t>91.14.02-001</t>
        </is>
      </c>
      <c r="C39" s="151" t="inlineStr">
        <is>
          <t>Автомобили бортовые, грузоподъемность до 5 т</t>
        </is>
      </c>
      <c r="D39" s="152" t="inlineStr">
        <is>
          <t>маш.час</t>
        </is>
      </c>
      <c r="E39" s="101" t="n">
        <v>0.15</v>
      </c>
      <c r="F39" s="154" t="n">
        <v>65.70999999999999</v>
      </c>
      <c r="G39" s="5">
        <f>ROUND(E39*F39,2)</f>
        <v/>
      </c>
      <c r="H39" s="43">
        <f>G39/$G$44</f>
        <v/>
      </c>
      <c r="I39" s="5">
        <f>ROUND(F39*Прил.10!$D$12,2)</f>
        <v/>
      </c>
      <c r="J39" s="5">
        <f>ROUND(I39*E39,2)</f>
        <v/>
      </c>
    </row>
    <row r="40" hidden="1" outlineLevel="1" ht="25.5" customFormat="1" customHeight="1" s="110">
      <c r="A40" s="152" t="n">
        <v>23</v>
      </c>
      <c r="B40" s="93" t="inlineStr">
        <is>
          <t>91.13.03-112</t>
        </is>
      </c>
      <c r="C40" s="151" t="inlineStr">
        <is>
          <t>Спецавтомобили-вездеходы, грузоподъемность до 1,5 т</t>
        </is>
      </c>
      <c r="D40" s="152" t="inlineStr">
        <is>
          <t>маш.час</t>
        </is>
      </c>
      <c r="E40" s="101" t="n">
        <v>0.1</v>
      </c>
      <c r="F40" s="154" t="n">
        <v>92.86</v>
      </c>
      <c r="G40" s="5">
        <f>ROUND(E40*F40,2)</f>
        <v/>
      </c>
      <c r="H40" s="43">
        <f>G40/$G$44</f>
        <v/>
      </c>
      <c r="I40" s="5">
        <f>ROUND(F40*Прил.10!$D$12,2)</f>
        <v/>
      </c>
      <c r="J40" s="5">
        <f>ROUND(I40*E40,2)</f>
        <v/>
      </c>
    </row>
    <row r="41" hidden="1" outlineLevel="1" ht="14.25" customFormat="1" customHeight="1" s="110">
      <c r="A41" s="152" t="n">
        <v>24</v>
      </c>
      <c r="B41" s="93" t="inlineStr">
        <is>
          <t>91.07.04-002</t>
        </is>
      </c>
      <c r="C41" s="151" t="inlineStr">
        <is>
          <t>Вибраторы поверхностные</t>
        </is>
      </c>
      <c r="D41" s="152" t="inlineStr">
        <is>
          <t>маш.час</t>
        </is>
      </c>
      <c r="E41" s="101" t="n">
        <v>4.02</v>
      </c>
      <c r="F41" s="154" t="n">
        <v>0.5</v>
      </c>
      <c r="G41" s="5">
        <f>ROUND(E41*F41,2)</f>
        <v/>
      </c>
      <c r="H41" s="43">
        <f>G41/$G$44</f>
        <v/>
      </c>
      <c r="I41" s="5">
        <f>ROUND(F41*Прил.10!$D$12,2)</f>
        <v/>
      </c>
      <c r="J41" s="5">
        <f>ROUND(I41*E41,2)</f>
        <v/>
      </c>
    </row>
    <row r="42" hidden="1" outlineLevel="1" ht="25.5" customFormat="1" customHeight="1" s="110">
      <c r="A42" s="152" t="n">
        <v>25</v>
      </c>
      <c r="B42" s="93" t="inlineStr">
        <is>
          <t>91.06.03-049</t>
        </is>
      </c>
      <c r="C42" s="151" t="inlineStr">
        <is>
          <t>Лебедки ручные и рычажные тяговым усилием до 9,81 кН (1 т)</t>
        </is>
      </c>
      <c r="D42" s="152" t="inlineStr">
        <is>
          <t>маш.час</t>
        </is>
      </c>
      <c r="E42" s="101" t="n">
        <v>1.14</v>
      </c>
      <c r="F42" s="154" t="n">
        <v>0.58</v>
      </c>
      <c r="G42" s="5">
        <f>ROUND(E42*F42,2)</f>
        <v/>
      </c>
      <c r="H42" s="43">
        <f>G42/$G$44</f>
        <v/>
      </c>
      <c r="I42" s="5">
        <f>ROUND(F42*Прил.10!$D$12,2)</f>
        <v/>
      </c>
      <c r="J42" s="5">
        <f>ROUND(I42*E42,2)</f>
        <v/>
      </c>
    </row>
    <row r="43" collapsed="1" ht="14.25" customFormat="1" customHeight="1" s="110">
      <c r="A43" s="152" t="n"/>
      <c r="B43" s="152" t="n"/>
      <c r="C43" s="151" t="inlineStr">
        <is>
          <t>Итого прочие машины и механизмы</t>
        </is>
      </c>
      <c r="D43" s="152" t="n"/>
      <c r="E43" s="153" t="n"/>
      <c r="F43" s="5" t="n"/>
      <c r="G43" s="42">
        <f>SUM(G27:G42)</f>
        <v/>
      </c>
      <c r="H43" s="43">
        <f>G43/G44</f>
        <v/>
      </c>
      <c r="I43" s="5" t="n"/>
      <c r="J43" s="42">
        <f>SUM(J27:J42)</f>
        <v/>
      </c>
    </row>
    <row r="44" ht="25.5" customFormat="1" customHeight="1" s="110">
      <c r="A44" s="152" t="n"/>
      <c r="B44" s="152" t="n"/>
      <c r="C44" s="138" t="inlineStr">
        <is>
          <t>Итого по разделу «Машины и механизмы»</t>
        </is>
      </c>
      <c r="D44" s="152" t="n"/>
      <c r="E44" s="153" t="n"/>
      <c r="F44" s="5" t="n"/>
      <c r="G44" s="5">
        <f>G43+G26</f>
        <v/>
      </c>
      <c r="H44" s="94" t="n">
        <v>1</v>
      </c>
      <c r="I44" s="95" t="n"/>
      <c r="J44" s="54">
        <f>J43+J26</f>
        <v/>
      </c>
    </row>
    <row r="45" ht="14.25" customFormat="1" customHeight="1" s="110">
      <c r="A45" s="152" t="n"/>
      <c r="B45" s="138" t="inlineStr">
        <is>
          <t>Оборудование</t>
        </is>
      </c>
      <c r="C45" s="173" t="n"/>
      <c r="D45" s="173" t="n"/>
      <c r="E45" s="173" t="n"/>
      <c r="F45" s="173" t="n"/>
      <c r="G45" s="173" t="n"/>
      <c r="H45" s="174" t="n"/>
      <c r="I45" s="40" t="n"/>
      <c r="J45" s="40" t="n"/>
    </row>
    <row r="46">
      <c r="A46" s="152" t="n"/>
      <c r="B46" s="151" t="inlineStr">
        <is>
          <t>Основное оборудование</t>
        </is>
      </c>
      <c r="C46" s="173" t="n"/>
      <c r="D46" s="173" t="n"/>
      <c r="E46" s="173" t="n"/>
      <c r="F46" s="173" t="n"/>
      <c r="G46" s="173" t="n"/>
      <c r="H46" s="174" t="n"/>
      <c r="I46" s="40" t="n"/>
      <c r="J46" s="40" t="n"/>
    </row>
    <row r="47">
      <c r="A47" s="152" t="n"/>
      <c r="B47" s="152" t="n"/>
      <c r="C47" s="151" t="inlineStr">
        <is>
          <t>Итого основное оборудование</t>
        </is>
      </c>
      <c r="D47" s="152" t="n"/>
      <c r="E47" s="41" t="n"/>
      <c r="F47" s="154" t="n"/>
      <c r="G47" s="5" t="n">
        <v>0</v>
      </c>
      <c r="H47" s="155" t="n">
        <v>0</v>
      </c>
      <c r="I47" s="42" t="n"/>
      <c r="J47" s="5" t="n">
        <v>0</v>
      </c>
    </row>
    <row r="48">
      <c r="A48" s="152" t="n"/>
      <c r="B48" s="152" t="n"/>
      <c r="C48" s="151" t="inlineStr">
        <is>
          <t>Итого прочее оборудование</t>
        </is>
      </c>
      <c r="D48" s="152" t="n"/>
      <c r="E48" s="41" t="n"/>
      <c r="F48" s="154" t="n"/>
      <c r="G48" s="5" t="n">
        <v>0</v>
      </c>
      <c r="H48" s="155" t="n">
        <v>0</v>
      </c>
      <c r="I48" s="42" t="n"/>
      <c r="J48" s="5" t="n">
        <v>0</v>
      </c>
    </row>
    <row r="49">
      <c r="A49" s="152" t="n"/>
      <c r="B49" s="152" t="n"/>
      <c r="C49" s="138" t="inlineStr">
        <is>
          <t>Итого по разделу «Оборудование»</t>
        </is>
      </c>
      <c r="D49" s="152" t="n"/>
      <c r="E49" s="153" t="n"/>
      <c r="F49" s="154" t="n"/>
      <c r="G49" s="5" t="n">
        <v>0</v>
      </c>
      <c r="H49" s="155" t="n">
        <v>0</v>
      </c>
      <c r="I49" s="42" t="n"/>
      <c r="J49" s="5" t="n">
        <v>0</v>
      </c>
    </row>
    <row r="50" ht="25.5" customHeight="1" s="103">
      <c r="A50" s="152" t="n"/>
      <c r="B50" s="152" t="n"/>
      <c r="C50" s="151" t="inlineStr">
        <is>
          <t>в том числе технологическое оборудование</t>
        </is>
      </c>
      <c r="D50" s="152" t="n"/>
      <c r="E50" s="44" t="n"/>
      <c r="F50" s="154" t="n"/>
      <c r="G50" s="5">
        <f>G49</f>
        <v/>
      </c>
      <c r="H50" s="155" t="n"/>
      <c r="I50" s="42" t="n"/>
      <c r="J50" s="5">
        <f>J49</f>
        <v/>
      </c>
    </row>
    <row r="51" ht="14.25" customFormat="1" customHeight="1" s="110">
      <c r="A51" s="152" t="n"/>
      <c r="B51" s="138" t="inlineStr">
        <is>
          <t>Материалы</t>
        </is>
      </c>
      <c r="C51" s="173" t="n"/>
      <c r="D51" s="173" t="n"/>
      <c r="E51" s="173" t="n"/>
      <c r="F51" s="173" t="n"/>
      <c r="G51" s="173" t="n"/>
      <c r="H51" s="174" t="n"/>
      <c r="I51" s="40" t="n"/>
      <c r="J51" s="40" t="n"/>
    </row>
    <row r="52" ht="14.25" customFormat="1" customHeight="1" s="110">
      <c r="A52" s="147" t="n"/>
      <c r="B52" s="146" t="inlineStr">
        <is>
          <t>Основные материалы</t>
        </is>
      </c>
      <c r="C52" s="177" t="n"/>
      <c r="D52" s="177" t="n"/>
      <c r="E52" s="177" t="n"/>
      <c r="F52" s="177" t="n"/>
      <c r="G52" s="177" t="n"/>
      <c r="H52" s="178" t="n"/>
      <c r="I52" s="49" t="n"/>
      <c r="J52" s="49" t="n"/>
    </row>
    <row r="53" ht="38.25" customFormat="1" customHeight="1" s="110">
      <c r="A53" s="152" t="n">
        <v>26</v>
      </c>
      <c r="B53" s="93" t="inlineStr">
        <is>
          <t>04.1.02.03-0003</t>
        </is>
      </c>
      <c r="C53" s="151" t="inlineStr">
        <is>
          <t>Смеси бетонные тяжелого бетона (БСТ) для дорожных и аэродромных покрытий и оснований, класс В7,5 (М100)</t>
        </is>
      </c>
      <c r="D53" s="152" t="inlineStr">
        <is>
          <t>м3</t>
        </is>
      </c>
      <c r="E53" s="101" t="n">
        <v>41.4048</v>
      </c>
      <c r="F53" s="154" t="n">
        <v>573.95</v>
      </c>
      <c r="G53" s="5">
        <f>ROUND(E53*F53,2)</f>
        <v/>
      </c>
      <c r="H53" s="43">
        <f>G53/$G$70</f>
        <v/>
      </c>
      <c r="I53" s="5">
        <f>ROUND(F53*Прил.10!$D$13,2)</f>
        <v/>
      </c>
      <c r="J53" s="5">
        <f>ROUND(I53*E53,2)</f>
        <v/>
      </c>
    </row>
    <row r="54" ht="25.5" customFormat="1" customHeight="1" s="110">
      <c r="A54" s="152" t="n">
        <v>27</v>
      </c>
      <c r="B54" s="93" t="inlineStr">
        <is>
          <t>04.2.01.01-0039</t>
        </is>
      </c>
      <c r="C54" s="151" t="inlineStr">
        <is>
          <t>Смеси асфальтобетонные плотные крупнозернистые тип А марка I</t>
        </is>
      </c>
      <c r="D54" s="152" t="inlineStr">
        <is>
          <t>т</t>
        </is>
      </c>
      <c r="E54" s="101" t="n">
        <v>32.6426</v>
      </c>
      <c r="F54" s="154" t="n">
        <v>491.01</v>
      </c>
      <c r="G54" s="5">
        <f>ROUND(E54*F54,2)</f>
        <v/>
      </c>
      <c r="H54" s="43">
        <f>G54/$G$70</f>
        <v/>
      </c>
      <c r="I54" s="5">
        <f>ROUND(F54*Прил.10!$D$13,2)</f>
        <v/>
      </c>
      <c r="J54" s="5">
        <f>ROUND(I54*E54,2)</f>
        <v/>
      </c>
    </row>
    <row r="55" ht="25.5" customFormat="1" customHeight="1" s="110">
      <c r="A55" s="152" t="n">
        <v>28</v>
      </c>
      <c r="B55" s="93" t="inlineStr">
        <is>
          <t>04.2.01.01-0048</t>
        </is>
      </c>
      <c r="C55" s="151" t="inlineStr">
        <is>
          <t>Смеси асфальтобетонные плотные мелкозернистые тип Б марка I</t>
        </is>
      </c>
      <c r="D55" s="152" t="inlineStr">
        <is>
          <t>т</t>
        </is>
      </c>
      <c r="E55" s="101" t="n">
        <v>27.4216</v>
      </c>
      <c r="F55" s="154" t="n">
        <v>491.01</v>
      </c>
      <c r="G55" s="5">
        <f>ROUND(E55*F55,2)</f>
        <v/>
      </c>
      <c r="H55" s="43">
        <f>G55/$G$70</f>
        <v/>
      </c>
      <c r="I55" s="5">
        <f>ROUND(F55*Прил.10!$D$13,2)</f>
        <v/>
      </c>
      <c r="J55" s="5">
        <f>ROUND(I55*E55,2)</f>
        <v/>
      </c>
    </row>
    <row r="56" ht="14.25" customFormat="1" customHeight="1" s="110">
      <c r="A56" s="164" t="n"/>
      <c r="B56" s="51" t="n"/>
      <c r="C56" s="52" t="inlineStr">
        <is>
          <t>Итого основные материалы</t>
        </is>
      </c>
      <c r="D56" s="164" t="n"/>
      <c r="E56" s="53" t="n"/>
      <c r="F56" s="54" t="n"/>
      <c r="G56" s="54">
        <f>SUM(G53:G55)</f>
        <v/>
      </c>
      <c r="H56" s="43">
        <f>G56/$G$70</f>
        <v/>
      </c>
      <c r="I56" s="5" t="n"/>
      <c r="J56" s="54">
        <f>SUM(J53:J55)</f>
        <v/>
      </c>
    </row>
    <row r="57" hidden="1" outlineLevel="1" ht="14.25" customFormat="1" customHeight="1" s="110">
      <c r="A57" s="152" t="n">
        <v>29</v>
      </c>
      <c r="B57" s="93" t="inlineStr">
        <is>
          <t>02.3.01.02-0005</t>
        </is>
      </c>
      <c r="C57" s="151" t="inlineStr">
        <is>
          <t>Песок несортированный</t>
        </is>
      </c>
      <c r="D57" s="152" t="inlineStr">
        <is>
          <t>м3</t>
        </is>
      </c>
      <c r="E57" s="93" t="n">
        <v>99.88</v>
      </c>
      <c r="F57" s="154" t="n">
        <v>83.48999999999999</v>
      </c>
      <c r="G57" s="5">
        <f>ROUND(E57*F57,2)</f>
        <v/>
      </c>
      <c r="H57" s="43">
        <f>G57/$G$70</f>
        <v/>
      </c>
      <c r="I57" s="5">
        <f>ROUND(F57*Прил.10!$D$13,2)</f>
        <v/>
      </c>
      <c r="J57" s="5">
        <f>ROUND(I57*E57,2)</f>
        <v/>
      </c>
    </row>
    <row r="58" hidden="1" outlineLevel="1" ht="25.5" customFormat="1" customHeight="1" s="110">
      <c r="A58" s="152" t="n">
        <v>30</v>
      </c>
      <c r="B58" s="93" t="inlineStr">
        <is>
          <t>01.7.17.06-0061</t>
        </is>
      </c>
      <c r="C58" s="151" t="inlineStr">
        <is>
          <t>Диск алмазный для твердых материалов, диаметр 350 мм</t>
        </is>
      </c>
      <c r="D58" s="152" t="inlineStr">
        <is>
          <t>шт</t>
        </is>
      </c>
      <c r="E58" s="93" t="n">
        <v>0.355028</v>
      </c>
      <c r="F58" s="154" t="n">
        <v>737</v>
      </c>
      <c r="G58" s="5">
        <f>ROUND(E58*F58,2)</f>
        <v/>
      </c>
      <c r="H58" s="43">
        <f>G58/$G$70</f>
        <v/>
      </c>
      <c r="I58" s="5">
        <f>ROUND(F58*Прил.10!$D$13,2)</f>
        <v/>
      </c>
      <c r="J58" s="5">
        <f>ROUND(I58*E58,2)</f>
        <v/>
      </c>
    </row>
    <row r="59" hidden="1" outlineLevel="1" ht="14.25" customFormat="1" customHeight="1" s="110">
      <c r="A59" s="152" t="n">
        <v>31</v>
      </c>
      <c r="B59" s="93" t="inlineStr">
        <is>
          <t>11.2.13.04-0012</t>
        </is>
      </c>
      <c r="C59" s="151" t="inlineStr">
        <is>
          <t>Щиты из досок, толщина 40 мм</t>
        </is>
      </c>
      <c r="D59" s="152" t="inlineStr">
        <is>
          <t>м2</t>
        </is>
      </c>
      <c r="E59" s="93" t="n">
        <v>2.6105</v>
      </c>
      <c r="F59" s="154" t="n">
        <v>57.63</v>
      </c>
      <c r="G59" s="5">
        <f>ROUND(E59*F59,2)</f>
        <v/>
      </c>
      <c r="H59" s="43">
        <f>G59/$G$70</f>
        <v/>
      </c>
      <c r="I59" s="5">
        <f>ROUND(F59*Прил.10!$D$13,2)</f>
        <v/>
      </c>
      <c r="J59" s="5">
        <f>ROUND(I59*E59,2)</f>
        <v/>
      </c>
    </row>
    <row r="60" hidden="1" outlineLevel="1" ht="14.25" customFormat="1" customHeight="1" s="110">
      <c r="A60" s="152" t="n">
        <v>32</v>
      </c>
      <c r="B60" s="93" t="inlineStr">
        <is>
          <t>01.7.03.01-0001</t>
        </is>
      </c>
      <c r="C60" s="151" t="inlineStr">
        <is>
          <t>Вода</t>
        </is>
      </c>
      <c r="D60" s="152" t="inlineStr">
        <is>
          <t>м3</t>
        </is>
      </c>
      <c r="E60" s="93" t="n">
        <v>44.946</v>
      </c>
      <c r="F60" s="154" t="n">
        <v>2.44</v>
      </c>
      <c r="G60" s="5">
        <f>ROUND(E60*F60,2)</f>
        <v/>
      </c>
      <c r="H60" s="43">
        <f>G60/$G$70</f>
        <v/>
      </c>
      <c r="I60" s="5">
        <f>ROUND(F60*Прил.10!$D$13,2)</f>
        <v/>
      </c>
      <c r="J60" s="5">
        <f>ROUND(I60*E60,2)</f>
        <v/>
      </c>
    </row>
    <row r="61" hidden="1" outlineLevel="1" ht="14.25" customFormat="1" customHeight="1" s="110">
      <c r="A61" s="152" t="n">
        <v>33</v>
      </c>
      <c r="B61" s="93" t="inlineStr">
        <is>
          <t>01.7.15.02-0051</t>
        </is>
      </c>
      <c r="C61" s="151" t="inlineStr">
        <is>
          <t>Болты анкерные</t>
        </is>
      </c>
      <c r="D61" s="152" t="inlineStr">
        <is>
          <t>т</t>
        </is>
      </c>
      <c r="E61" s="93" t="n">
        <v>0.005448</v>
      </c>
      <c r="F61" s="154" t="n">
        <v>10068</v>
      </c>
      <c r="G61" s="5">
        <f>ROUND(E61*F61,2)</f>
        <v/>
      </c>
      <c r="H61" s="43">
        <f>G61/$G$70</f>
        <v/>
      </c>
      <c r="I61" s="5">
        <f>ROUND(F61*Прил.10!$D$13,2)</f>
        <v/>
      </c>
      <c r="J61" s="5">
        <f>ROUND(I61*E61,2)</f>
        <v/>
      </c>
    </row>
    <row r="62" hidden="1" outlineLevel="1" ht="25.5" customFormat="1" customHeight="1" s="110">
      <c r="A62" s="152" t="n">
        <v>34</v>
      </c>
      <c r="B62" s="93" t="inlineStr">
        <is>
          <t>01.7.07.26-0032</t>
        </is>
      </c>
      <c r="C62" s="151" t="inlineStr">
        <is>
          <t>Шнур полиамидный крученый, диаметр 2 мм</t>
        </is>
      </c>
      <c r="D62" s="152" t="inlineStr">
        <is>
          <t>т</t>
        </is>
      </c>
      <c r="E62" s="93" t="n">
        <v>0.0010896</v>
      </c>
      <c r="F62" s="154" t="n">
        <v>40650</v>
      </c>
      <c r="G62" s="5">
        <f>ROUND(E62*F62,2)</f>
        <v/>
      </c>
      <c r="H62" s="43">
        <f>G62/$G$70</f>
        <v/>
      </c>
      <c r="I62" s="5">
        <f>ROUND(F62*Прил.10!$D$13,2)</f>
        <v/>
      </c>
      <c r="J62" s="5">
        <f>ROUND(I62*E62,2)</f>
        <v/>
      </c>
    </row>
    <row r="63" hidden="1" outlineLevel="1" ht="25.5" customFormat="1" customHeight="1" s="110">
      <c r="A63" s="152" t="n">
        <v>35</v>
      </c>
      <c r="B63" s="93" t="inlineStr">
        <is>
          <t>01.2.01.01-0019</t>
        </is>
      </c>
      <c r="C63" s="151" t="inlineStr">
        <is>
          <t>Битумы нефтяные дорожные вязкие БНД 60/90, БНД 90/130</t>
        </is>
      </c>
      <c r="D63" s="152" t="inlineStr">
        <is>
          <t>т</t>
        </is>
      </c>
      <c r="E63" s="93" t="n">
        <v>0.02043</v>
      </c>
      <c r="F63" s="154" t="n">
        <v>1690</v>
      </c>
      <c r="G63" s="5">
        <f>ROUND(E63*F63,2)</f>
        <v/>
      </c>
      <c r="H63" s="43">
        <f>G63/$G$70</f>
        <v/>
      </c>
      <c r="I63" s="5">
        <f>ROUND(F63*Прил.10!$D$13,2)</f>
        <v/>
      </c>
      <c r="J63" s="5">
        <f>ROUND(I63*E63,2)</f>
        <v/>
      </c>
    </row>
    <row r="64" hidden="1" outlineLevel="1" ht="14.25" customFormat="1" customHeight="1" s="110">
      <c r="A64" s="152" t="n">
        <v>36</v>
      </c>
      <c r="B64" s="93" t="inlineStr">
        <is>
          <t>01.7.03.01-0002</t>
        </is>
      </c>
      <c r="C64" s="151" t="inlineStr">
        <is>
          <t>Вода водопроводная</t>
        </is>
      </c>
      <c r="D64" s="152" t="inlineStr">
        <is>
          <t>м3</t>
        </is>
      </c>
      <c r="E64" s="93" t="n">
        <v>9.91536</v>
      </c>
      <c r="F64" s="154" t="n">
        <v>3.15</v>
      </c>
      <c r="G64" s="5">
        <f>ROUND(E64*F64,2)</f>
        <v/>
      </c>
      <c r="H64" s="43">
        <f>G64/$G$70</f>
        <v/>
      </c>
      <c r="I64" s="5">
        <f>ROUND(F64*Прил.10!$D$13,2)</f>
        <v/>
      </c>
      <c r="J64" s="5">
        <f>ROUND(I64*E64,2)</f>
        <v/>
      </c>
    </row>
    <row r="65" hidden="1" outlineLevel="1" ht="14.25" customFormat="1" customHeight="1" s="110">
      <c r="A65" s="152" t="n">
        <v>37</v>
      </c>
      <c r="B65" s="93" t="inlineStr">
        <is>
          <t>12.1.02.06-0012</t>
        </is>
      </c>
      <c r="C65" s="151" t="inlineStr">
        <is>
          <t>Рубероид кровельный РКК-350</t>
        </is>
      </c>
      <c r="D65" s="152" t="inlineStr">
        <is>
          <t>м2</t>
        </is>
      </c>
      <c r="E65" s="93" t="n">
        <v>3.178</v>
      </c>
      <c r="F65" s="154" t="n">
        <v>7.46</v>
      </c>
      <c r="G65" s="5">
        <f>ROUND(E65*F65,2)</f>
        <v/>
      </c>
      <c r="H65" s="43">
        <f>G65/$G$70</f>
        <v/>
      </c>
      <c r="I65" s="5">
        <f>ROUND(F65*Прил.10!$D$13,2)</f>
        <v/>
      </c>
      <c r="J65" s="5">
        <f>ROUND(I65*E65,2)</f>
        <v/>
      </c>
    </row>
    <row r="66" hidden="1" outlineLevel="1" ht="14.25" customFormat="1" customHeight="1" s="110">
      <c r="A66" s="152" t="n">
        <v>38</v>
      </c>
      <c r="B66" s="93" t="inlineStr">
        <is>
          <t>01.2.03.07-0023</t>
        </is>
      </c>
      <c r="C66" s="151" t="inlineStr">
        <is>
          <t>Эмульсия битумно-дорожная</t>
        </is>
      </c>
      <c r="D66" s="152" t="inlineStr">
        <is>
          <t>т</t>
        </is>
      </c>
      <c r="E66" s="93" t="n">
        <v>0.003178</v>
      </c>
      <c r="F66" s="154" t="n">
        <v>1554.2</v>
      </c>
      <c r="G66" s="5">
        <f>ROUND(E66*F66,2)</f>
        <v/>
      </c>
      <c r="H66" s="43">
        <f>G66/$G$70</f>
        <v/>
      </c>
      <c r="I66" s="5">
        <f>ROUND(F66*Прил.10!$D$13,2)</f>
        <v/>
      </c>
      <c r="J66" s="5">
        <f>ROUND(I66*E66,2)</f>
        <v/>
      </c>
    </row>
    <row r="67" hidden="1" outlineLevel="1" ht="25.5" customFormat="1" customHeight="1" s="110">
      <c r="A67" s="152" t="n">
        <v>39</v>
      </c>
      <c r="B67" s="93" t="inlineStr">
        <is>
          <t>08.1.02.11-0001</t>
        </is>
      </c>
      <c r="C67" s="151" t="inlineStr">
        <is>
          <t>Поковки из квадратных заготовок, масса 1,8 кг</t>
        </is>
      </c>
      <c r="D67" s="152" t="inlineStr">
        <is>
          <t>т</t>
        </is>
      </c>
      <c r="E67" s="93" t="n">
        <v>0.0003632</v>
      </c>
      <c r="F67" s="154" t="n">
        <v>5989</v>
      </c>
      <c r="G67" s="5">
        <f>ROUND(E67*F67,2)</f>
        <v/>
      </c>
      <c r="H67" s="43">
        <f>G67/$G$70</f>
        <v/>
      </c>
      <c r="I67" s="5">
        <f>ROUND(F67*Прил.10!$D$13,2)</f>
        <v/>
      </c>
      <c r="J67" s="5">
        <f>ROUND(I67*E67,2)</f>
        <v/>
      </c>
    </row>
    <row r="68" hidden="1" outlineLevel="1" ht="25.5" customFormat="1" customHeight="1" s="110">
      <c r="A68" s="152" t="n">
        <v>40</v>
      </c>
      <c r="B68" s="93" t="inlineStr">
        <is>
          <t>08.4.03.02-0007</t>
        </is>
      </c>
      <c r="C68" s="151" t="inlineStr">
        <is>
          <t>Сталь арматурная, горячекатаная, гладкая, класс А-I, диаметр 20-22 мм</t>
        </is>
      </c>
      <c r="D68" s="152" t="inlineStr">
        <is>
          <t>т</t>
        </is>
      </c>
      <c r="E68" s="93" t="n">
        <v>0.0003632</v>
      </c>
      <c r="F68" s="154" t="n">
        <v>5520</v>
      </c>
      <c r="G68" s="5">
        <f>ROUND(E68*F68,2)</f>
        <v/>
      </c>
      <c r="H68" s="43">
        <f>G68/$G$70</f>
        <v/>
      </c>
      <c r="I68" s="5">
        <f>ROUND(F68*Прил.10!$D$13,2)</f>
        <v/>
      </c>
      <c r="J68" s="5">
        <f>ROUND(I68*E68,2)</f>
        <v/>
      </c>
    </row>
    <row r="69" collapsed="1" ht="14.25" customFormat="1" customHeight="1" s="110">
      <c r="A69" s="152" t="n"/>
      <c r="B69" s="152" t="n"/>
      <c r="C69" s="151" t="inlineStr">
        <is>
          <t>Итого прочие материалы</t>
        </is>
      </c>
      <c r="D69" s="152" t="n"/>
      <c r="E69" s="153" t="n"/>
      <c r="F69" s="154" t="n"/>
      <c r="G69" s="54">
        <f>SUM(G57:G68)</f>
        <v/>
      </c>
      <c r="H69" s="43">
        <f>G69/$G$70</f>
        <v/>
      </c>
      <c r="I69" s="5" t="n"/>
      <c r="J69" s="54">
        <f>SUM(J57:J68)</f>
        <v/>
      </c>
    </row>
    <row r="70" ht="14.25" customFormat="1" customHeight="1" s="110">
      <c r="A70" s="152" t="n"/>
      <c r="B70" s="152" t="n"/>
      <c r="C70" s="138" t="inlineStr">
        <is>
          <t>Итого по разделу «Материалы»</t>
        </is>
      </c>
      <c r="D70" s="152" t="n"/>
      <c r="E70" s="153" t="n"/>
      <c r="F70" s="154" t="n"/>
      <c r="G70" s="5">
        <f>G56+G69</f>
        <v/>
      </c>
      <c r="H70" s="43">
        <f>G70/$G$70</f>
        <v/>
      </c>
      <c r="I70" s="5" t="n"/>
      <c r="J70" s="5">
        <f>J56+J69</f>
        <v/>
      </c>
    </row>
    <row r="71" ht="14.25" customFormat="1" customHeight="1" s="110">
      <c r="A71" s="152" t="n"/>
      <c r="B71" s="152" t="n"/>
      <c r="C71" s="151" t="inlineStr">
        <is>
          <t>ИТОГО ПО РМ</t>
        </is>
      </c>
      <c r="D71" s="152" t="n"/>
      <c r="E71" s="153" t="n"/>
      <c r="F71" s="154" t="n"/>
      <c r="G71" s="5">
        <f>G14+G44+G70</f>
        <v/>
      </c>
      <c r="H71" s="155" t="n"/>
      <c r="I71" s="5" t="n"/>
      <c r="J71" s="5">
        <f>J14+J44+J70</f>
        <v/>
      </c>
    </row>
    <row r="72" ht="14.25" customFormat="1" customHeight="1" s="110">
      <c r="A72" s="152" t="n"/>
      <c r="B72" s="152" t="n"/>
      <c r="C72" s="151" t="inlineStr">
        <is>
          <t>Накладные расходы</t>
        </is>
      </c>
      <c r="D72" s="45">
        <f>ROUND(G72/(G$16+$G$14),2)</f>
        <v/>
      </c>
      <c r="E72" s="153" t="n"/>
      <c r="F72" s="154" t="n"/>
      <c r="G72" s="5" t="n">
        <v>7813.15</v>
      </c>
      <c r="H72" s="155" t="n"/>
      <c r="I72" s="5" t="n"/>
      <c r="J72" s="5">
        <f>ROUND(D72*(J14+J16),2)</f>
        <v/>
      </c>
    </row>
    <row r="73" ht="14.25" customFormat="1" customHeight="1" s="110">
      <c r="A73" s="152" t="n"/>
      <c r="B73" s="152" t="n"/>
      <c r="C73" s="151" t="inlineStr">
        <is>
          <t>Сметная прибыль</t>
        </is>
      </c>
      <c r="D73" s="45">
        <f>ROUND(G73/(G$14+G$16),2)</f>
        <v/>
      </c>
      <c r="E73" s="153" t="n"/>
      <c r="F73" s="154" t="n"/>
      <c r="G73" s="5" t="n">
        <v>7122.19</v>
      </c>
      <c r="H73" s="155" t="n"/>
      <c r="I73" s="5" t="n"/>
      <c r="J73" s="5">
        <f>ROUND(D73*(J14+J16),2)</f>
        <v/>
      </c>
    </row>
    <row r="74" ht="14.25" customFormat="1" customHeight="1" s="110">
      <c r="A74" s="152" t="n"/>
      <c r="B74" s="152" t="n"/>
      <c r="C74" s="151" t="inlineStr">
        <is>
          <t>Итого СМР (с НР и СП)</t>
        </is>
      </c>
      <c r="D74" s="152" t="n"/>
      <c r="E74" s="153" t="n"/>
      <c r="F74" s="154" t="n"/>
      <c r="G74" s="5">
        <f>ROUND((G14+G44+G70+G72+G73),2)</f>
        <v/>
      </c>
      <c r="H74" s="155" t="n"/>
      <c r="I74" s="5" t="n"/>
      <c r="J74" s="5">
        <f>ROUND((J14+J44+J70+J72+J73),2)</f>
        <v/>
      </c>
    </row>
    <row r="75" ht="14.25" customFormat="1" customHeight="1" s="110">
      <c r="A75" s="152" t="n"/>
      <c r="B75" s="152" t="n"/>
      <c r="C75" s="151" t="inlineStr">
        <is>
          <t>ВСЕГО СМР + ОБОРУДОВАНИЕ</t>
        </is>
      </c>
      <c r="D75" s="152" t="n"/>
      <c r="E75" s="153" t="n"/>
      <c r="F75" s="154" t="n"/>
      <c r="G75" s="5">
        <f>G74+G49</f>
        <v/>
      </c>
      <c r="H75" s="155" t="n"/>
      <c r="I75" s="5" t="n"/>
      <c r="J75" s="5">
        <f>J74+J49</f>
        <v/>
      </c>
    </row>
    <row r="76" ht="34.5" customFormat="1" customHeight="1" s="110">
      <c r="A76" s="152" t="n"/>
      <c r="B76" s="152" t="n"/>
      <c r="C76" s="151" t="inlineStr">
        <is>
          <t>ИТОГО ПОКАЗАТЕЛЬ НА ЕД. ИЗМ.</t>
        </is>
      </c>
      <c r="D76" s="152" t="inlineStr">
        <is>
          <t>м2</t>
        </is>
      </c>
      <c r="E76" s="153" t="n">
        <v>335</v>
      </c>
      <c r="F76" s="154" t="n"/>
      <c r="G76" s="5">
        <f>G75/E76</f>
        <v/>
      </c>
      <c r="H76" s="155" t="n"/>
      <c r="I76" s="5" t="n"/>
      <c r="J76" s="5">
        <f>J75/E76</f>
        <v/>
      </c>
    </row>
    <row r="78" ht="14.25" customFormat="1" customHeight="1" s="110">
      <c r="A78" s="109" t="inlineStr">
        <is>
          <t>Составил ______________________     Р.Р Шагеева</t>
        </is>
      </c>
    </row>
    <row r="79" ht="14.25" customFormat="1" customHeight="1" s="110">
      <c r="A79" s="112" t="inlineStr">
        <is>
          <t xml:space="preserve">                         (подпись, инициалы, фамилия)</t>
        </is>
      </c>
    </row>
    <row r="80" ht="14.25" customFormat="1" customHeight="1" s="110">
      <c r="A80" s="109" t="n"/>
    </row>
    <row r="81" ht="14.25" customFormat="1" customHeight="1" s="110">
      <c r="A81" s="109" t="inlineStr">
        <is>
          <t>Проверил ______________________        А.В. Костянецкая</t>
        </is>
      </c>
    </row>
    <row r="82" ht="14.25" customFormat="1" customHeight="1" s="110">
      <c r="A82" s="11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51:H51"/>
    <mergeCell ref="B45:H45"/>
    <mergeCell ref="C9:C10"/>
    <mergeCell ref="E9:E10"/>
    <mergeCell ref="A7:H7"/>
    <mergeCell ref="B46:H46"/>
    <mergeCell ref="B9:B10"/>
    <mergeCell ref="D9:D10"/>
    <mergeCell ref="B18:H18"/>
    <mergeCell ref="B52:H52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66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E22" sqref="E22"/>
    </sheetView>
  </sheetViews>
  <sheetFormatPr baseColWidth="8" defaultRowHeight="15"/>
  <cols>
    <col width="5.7109375" customWidth="1" style="103" min="1" max="1"/>
    <col width="17.5703125" customWidth="1" style="103" min="2" max="2"/>
    <col width="39.140625" customWidth="1" style="103" min="3" max="3"/>
    <col width="10.7109375" customWidth="1" style="103" min="4" max="4"/>
    <col width="13.85546875" customWidth="1" style="103" min="5" max="5"/>
    <col width="13.28515625" customWidth="1" style="103" min="6" max="6"/>
    <col width="14.140625" customWidth="1" style="103" min="7" max="7"/>
  </cols>
  <sheetData>
    <row r="1">
      <c r="A1" s="165" t="inlineStr">
        <is>
          <t>Приложение №6</t>
        </is>
      </c>
    </row>
    <row r="2" ht="21.75" customHeight="1" s="103">
      <c r="A2" s="165" t="n"/>
      <c r="B2" s="165" t="n"/>
      <c r="C2" s="165" t="n"/>
      <c r="D2" s="165" t="n"/>
      <c r="E2" s="165" t="n"/>
      <c r="F2" s="165" t="n"/>
      <c r="G2" s="165" t="n"/>
    </row>
    <row r="3">
      <c r="A3" s="143" t="inlineStr">
        <is>
          <t>Расчет стоимости оборудования</t>
        </is>
      </c>
    </row>
    <row r="4" ht="25.5" customHeight="1" s="103">
      <c r="A4" s="161" t="inlineStr">
        <is>
          <t>Наименование разрабатываемого показателя УНЦ — Восстановление дорожного покрытия проезжей части при прокладке кабельной линии (для всех субъектов Российской Федерации)</t>
        </is>
      </c>
    </row>
    <row r="5">
      <c r="A5" s="109" t="n"/>
      <c r="B5" s="109" t="n"/>
      <c r="C5" s="109" t="n"/>
      <c r="D5" s="109" t="n"/>
      <c r="E5" s="109" t="n"/>
      <c r="F5" s="109" t="n"/>
      <c r="G5" s="109" t="n"/>
    </row>
    <row r="6" ht="30" customHeight="1" s="103">
      <c r="A6" s="170" t="inlineStr">
        <is>
          <t>№ пп.</t>
        </is>
      </c>
      <c r="B6" s="170" t="inlineStr">
        <is>
          <t>Код ресурса</t>
        </is>
      </c>
      <c r="C6" s="170" t="inlineStr">
        <is>
          <t>Наименование</t>
        </is>
      </c>
      <c r="D6" s="170" t="inlineStr">
        <is>
          <t>Ед. изм.</t>
        </is>
      </c>
      <c r="E6" s="152" t="inlineStr">
        <is>
          <t>Кол-во единиц по проектным данным</t>
        </is>
      </c>
      <c r="F6" s="170" t="inlineStr">
        <is>
          <t>Сметная стоимость в ценах на 01.01.2000 (руб.)</t>
        </is>
      </c>
      <c r="G6" s="174" t="n"/>
    </row>
    <row r="7">
      <c r="A7" s="176" t="n"/>
      <c r="B7" s="176" t="n"/>
      <c r="C7" s="176" t="n"/>
      <c r="D7" s="176" t="n"/>
      <c r="E7" s="176" t="n"/>
      <c r="F7" s="152" t="inlineStr">
        <is>
          <t>на ед. изм.</t>
        </is>
      </c>
      <c r="G7" s="152" t="inlineStr">
        <is>
          <t>общая</t>
        </is>
      </c>
    </row>
    <row r="8">
      <c r="A8" s="152" t="n">
        <v>1</v>
      </c>
      <c r="B8" s="152" t="n">
        <v>2</v>
      </c>
      <c r="C8" s="152" t="n">
        <v>3</v>
      </c>
      <c r="D8" s="152" t="n">
        <v>4</v>
      </c>
      <c r="E8" s="152" t="n">
        <v>5</v>
      </c>
      <c r="F8" s="152" t="n">
        <v>6</v>
      </c>
      <c r="G8" s="152" t="n">
        <v>7</v>
      </c>
    </row>
    <row r="9" ht="15" customHeight="1" s="103">
      <c r="A9" s="9" t="n"/>
      <c r="B9" s="151" t="inlineStr">
        <is>
          <t>ИНЖЕНЕРНОЕ ОБОРУДОВАНИЕ</t>
        </is>
      </c>
      <c r="C9" s="173" t="n"/>
      <c r="D9" s="173" t="n"/>
      <c r="E9" s="173" t="n"/>
      <c r="F9" s="173" t="n"/>
      <c r="G9" s="174" t="n"/>
    </row>
    <row r="10" ht="27" customHeight="1" s="103">
      <c r="A10" s="152" t="n"/>
      <c r="B10" s="138" t="n"/>
      <c r="C10" s="151" t="inlineStr">
        <is>
          <t>ИТОГО ИНЖЕНЕРНОЕ ОБОРУДОВАНИЕ</t>
        </is>
      </c>
      <c r="D10" s="138" t="n"/>
      <c r="E10" s="10" t="n"/>
      <c r="F10" s="154" t="n"/>
      <c r="G10" s="154" t="n">
        <v>0</v>
      </c>
    </row>
    <row r="11">
      <c r="A11" s="152" t="n"/>
      <c r="B11" s="151" t="inlineStr">
        <is>
          <t>ТЕХНОЛОГИЧЕСКОЕ ОБОРУДОВАНИЕ</t>
        </is>
      </c>
      <c r="C11" s="173" t="n"/>
      <c r="D11" s="173" t="n"/>
      <c r="E11" s="173" t="n"/>
      <c r="F11" s="173" t="n"/>
      <c r="G11" s="174" t="n"/>
    </row>
    <row r="12" ht="25.5" customHeight="1" s="103">
      <c r="A12" s="152" t="n"/>
      <c r="B12" s="151" t="n"/>
      <c r="C12" s="151" t="inlineStr">
        <is>
          <t>ИТОГО ТЕХНОЛОГИЧЕСКОЕ ОБОРУДОВАНИЕ</t>
        </is>
      </c>
      <c r="D12" s="151" t="n"/>
      <c r="E12" s="169" t="n"/>
      <c r="F12" s="154" t="n"/>
      <c r="G12" s="5" t="n">
        <v>0</v>
      </c>
    </row>
    <row r="13" ht="19.5" customHeight="1" s="103">
      <c r="A13" s="152" t="n"/>
      <c r="B13" s="151" t="n"/>
      <c r="C13" s="151" t="inlineStr">
        <is>
          <t>Всего по разделу «Оборудование»</t>
        </is>
      </c>
      <c r="D13" s="151" t="n"/>
      <c r="E13" s="169" t="n"/>
      <c r="F13" s="154" t="n"/>
      <c r="G13" s="5">
        <f>G10+G12</f>
        <v/>
      </c>
    </row>
    <row r="14">
      <c r="A14" s="111" t="n"/>
      <c r="B14" s="13" t="n"/>
      <c r="C14" s="111" t="n"/>
      <c r="D14" s="111" t="n"/>
      <c r="E14" s="111" t="n"/>
      <c r="F14" s="111" t="n"/>
      <c r="G14" s="111" t="n"/>
    </row>
    <row r="15">
      <c r="A15" s="109" t="inlineStr">
        <is>
          <t>Составил ______________________    Р.Р Шагеева</t>
        </is>
      </c>
      <c r="B15" s="110" t="n"/>
      <c r="C15" s="110" t="n"/>
      <c r="D15" s="111" t="n"/>
      <c r="E15" s="111" t="n"/>
      <c r="F15" s="111" t="n"/>
      <c r="G15" s="111" t="n"/>
    </row>
    <row r="16">
      <c r="A16" s="112" t="inlineStr">
        <is>
          <t xml:space="preserve">                         (подпись, инициалы, фамилия)</t>
        </is>
      </c>
      <c r="B16" s="110" t="n"/>
      <c r="C16" s="110" t="n"/>
      <c r="D16" s="111" t="n"/>
      <c r="E16" s="111" t="n"/>
      <c r="F16" s="111" t="n"/>
      <c r="G16" s="111" t="n"/>
    </row>
    <row r="17">
      <c r="A17" s="109" t="n"/>
      <c r="B17" s="110" t="n"/>
      <c r="C17" s="110" t="n"/>
      <c r="D17" s="111" t="n"/>
      <c r="E17" s="111" t="n"/>
      <c r="F17" s="111" t="n"/>
      <c r="G17" s="111" t="n"/>
    </row>
    <row r="18">
      <c r="A18" s="109" t="inlineStr">
        <is>
          <t>Проверил ______________________        А.В. Костянецкая</t>
        </is>
      </c>
      <c r="B18" s="110" t="n"/>
      <c r="C18" s="110" t="n"/>
      <c r="D18" s="111" t="n"/>
      <c r="E18" s="111" t="n"/>
      <c r="F18" s="111" t="n"/>
      <c r="G18" s="111" t="n"/>
    </row>
    <row r="19">
      <c r="A19" s="112" t="inlineStr">
        <is>
          <t xml:space="preserve">                        (подпись, инициалы, фамилия)</t>
        </is>
      </c>
      <c r="B19" s="110" t="n"/>
      <c r="C19" s="110" t="n"/>
      <c r="D19" s="111" t="n"/>
      <c r="E19" s="111" t="n"/>
      <c r="F19" s="111" t="n"/>
      <c r="G19" s="1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30" sqref="F30"/>
    </sheetView>
  </sheetViews>
  <sheetFormatPr baseColWidth="8" defaultRowHeight="15"/>
  <cols>
    <col width="12.7109375" customWidth="1" style="103" min="1" max="1"/>
    <col width="31.5703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14" t="n"/>
      <c r="B1" s="114" t="n"/>
      <c r="C1" s="114" t="n"/>
      <c r="D1" s="114" t="inlineStr">
        <is>
          <t>Приложение №7</t>
        </is>
      </c>
    </row>
    <row r="2" ht="15.75" customHeight="1" s="103">
      <c r="A2" s="114" t="n"/>
      <c r="B2" s="114" t="n"/>
      <c r="C2" s="114" t="n"/>
      <c r="D2" s="114" t="n"/>
    </row>
    <row r="3" ht="15.75" customHeight="1" s="103">
      <c r="A3" s="114" t="n"/>
      <c r="B3" s="104" t="inlineStr">
        <is>
          <t>Расчет показателя УНЦ</t>
        </is>
      </c>
      <c r="C3" s="114" t="n"/>
      <c r="D3" s="114" t="n"/>
    </row>
    <row r="4" ht="15.75" customHeight="1" s="103">
      <c r="A4" s="114" t="n"/>
      <c r="B4" s="114" t="n"/>
      <c r="C4" s="114" t="n"/>
      <c r="D4" s="114" t="n"/>
    </row>
    <row r="5" ht="63" customHeight="1" s="103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3">
      <c r="A6" s="114" t="inlineStr">
        <is>
          <t>Единица измерения  — 1 м2</t>
        </is>
      </c>
      <c r="B6" s="114" t="n"/>
      <c r="C6" s="114" t="n"/>
      <c r="D6" s="114" t="n"/>
    </row>
    <row r="7" ht="15.75" customHeight="1" s="103">
      <c r="A7" s="114" t="n"/>
      <c r="B7" s="114" t="n"/>
      <c r="C7" s="114" t="n"/>
      <c r="D7" s="114" t="n"/>
    </row>
    <row r="8">
      <c r="A8" s="134" t="inlineStr">
        <is>
          <t>Код показателя</t>
        </is>
      </c>
      <c r="B8" s="134" t="inlineStr">
        <is>
          <t>Наименование показателя</t>
        </is>
      </c>
      <c r="C8" s="134" t="inlineStr">
        <is>
          <t>Наименование РМ, входящих в состав показателя</t>
        </is>
      </c>
      <c r="D8" s="134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3">
      <c r="A10" s="134" t="n">
        <v>1</v>
      </c>
      <c r="B10" s="134" t="n">
        <v>2</v>
      </c>
      <c r="C10" s="134" t="n">
        <v>3</v>
      </c>
      <c r="D10" s="134" t="n">
        <v>4</v>
      </c>
    </row>
    <row r="11" ht="78.75" customHeight="1" s="103">
      <c r="A11" s="134" t="inlineStr">
        <is>
          <t>Б4-02</t>
        </is>
      </c>
      <c r="B11" s="134" t="inlineStr">
        <is>
          <t xml:space="preserve">УНЦ на восстановление дорожного покрытия при прокладке кабельной линии (для всех субъектов Российской Федерации) </t>
        </is>
      </c>
      <c r="C11" s="107">
        <f>D5</f>
        <v/>
      </c>
      <c r="D11" s="108">
        <f>'Прил.4 РМ'!C41/1000</f>
        <v/>
      </c>
    </row>
    <row r="13">
      <c r="A13" s="109" t="inlineStr">
        <is>
          <t>Составил ______________________    Д.Ю. Нефедова</t>
        </is>
      </c>
      <c r="B13" s="110" t="n"/>
      <c r="C13" s="110" t="n"/>
      <c r="D13" s="111" t="n"/>
    </row>
    <row r="14">
      <c r="A14" s="112" t="inlineStr">
        <is>
          <t xml:space="preserve">                         (подпись, инициалы, фамилия)</t>
        </is>
      </c>
      <c r="B14" s="110" t="n"/>
      <c r="C14" s="110" t="n"/>
      <c r="D14" s="111" t="n"/>
    </row>
    <row r="15">
      <c r="A15" s="109" t="n"/>
      <c r="B15" s="110" t="n"/>
      <c r="C15" s="110" t="n"/>
      <c r="D15" s="111" t="n"/>
    </row>
    <row r="16">
      <c r="A16" s="109" t="inlineStr">
        <is>
          <t>Проверил ______________________        А.В. Костянецкая</t>
        </is>
      </c>
      <c r="B16" s="110" t="n"/>
      <c r="C16" s="110" t="n"/>
      <c r="D16" s="111" t="n"/>
    </row>
    <row r="17" ht="20.25" customHeight="1" s="103">
      <c r="A17" s="112" t="inlineStr">
        <is>
          <t xml:space="preserve">                        (подпись, инициалы, фамилия)</t>
        </is>
      </c>
      <c r="B17" s="110" t="n"/>
      <c r="C17" s="110" t="n"/>
      <c r="D17" s="1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M28" sqref="M28"/>
    </sheetView>
  </sheetViews>
  <sheetFormatPr baseColWidth="8" defaultRowHeight="15"/>
  <cols>
    <col width="9.140625" customWidth="1" style="103" min="1" max="1"/>
    <col width="40.7109375" customWidth="1" style="103" min="2" max="2"/>
    <col width="37" customWidth="1" style="103" min="3" max="3"/>
    <col width="32" customWidth="1" style="103" min="4" max="4"/>
    <col width="9.140625" customWidth="1" style="103" min="5" max="5"/>
  </cols>
  <sheetData>
    <row r="4" ht="15.75" customHeight="1" s="103">
      <c r="B4" s="128" t="inlineStr">
        <is>
          <t>Приложение № 10</t>
        </is>
      </c>
    </row>
    <row r="5" ht="18.75" customHeight="1" s="103">
      <c r="B5" s="31" t="n"/>
    </row>
    <row r="6" ht="15.75" customHeight="1" s="103">
      <c r="B6" s="129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>
      <c r="B8" s="172" t="n"/>
      <c r="C8" s="172" t="n"/>
      <c r="D8" s="172" t="n"/>
      <c r="E8" s="172" t="n"/>
    </row>
    <row r="9" ht="47.25" customHeight="1" s="103">
      <c r="B9" s="134" t="inlineStr">
        <is>
          <t>Наименование индекса / норм сопутствующих затрат</t>
        </is>
      </c>
      <c r="C9" s="134" t="inlineStr">
        <is>
          <t>Дата применения и обоснование индекса / норм сопутствующих затрат</t>
        </is>
      </c>
      <c r="D9" s="134" t="inlineStr">
        <is>
          <t>Размер индекса / норма сопутствующих затрат</t>
        </is>
      </c>
    </row>
    <row r="10" ht="15.75" customHeight="1" s="103">
      <c r="B10" s="134" t="n">
        <v>1</v>
      </c>
      <c r="C10" s="134" t="n">
        <v>2</v>
      </c>
      <c r="D10" s="134" t="n">
        <v>3</v>
      </c>
    </row>
    <row r="11" ht="45" customHeight="1" s="103">
      <c r="B11" s="134" t="inlineStr">
        <is>
          <t xml:space="preserve">Индекс изменения сметной стоимости на 1 квартал 2023 года. ОЗП </t>
        </is>
      </c>
      <c r="C11" s="134" t="inlineStr">
        <is>
          <t>Письмо Минстроя России от 30.03.2023г. №17106-ИФ/09  прил.1</t>
        </is>
      </c>
      <c r="D11" s="134" t="n">
        <v>44.29</v>
      </c>
    </row>
    <row r="12" ht="29.25" customHeight="1" s="103">
      <c r="B12" s="134" t="inlineStr">
        <is>
          <t>Индекс изменения сметной стоимости на 1 квартал 2023 года. ЭМ</t>
        </is>
      </c>
      <c r="C12" s="134" t="inlineStr">
        <is>
          <t>Письмо Минстроя России от 30.03.2023г. №17106-ИФ/09  прил.1</t>
        </is>
      </c>
      <c r="D12" s="134" t="n">
        <v>10.77</v>
      </c>
    </row>
    <row r="13" ht="29.25" customHeight="1" s="103">
      <c r="B13" s="134" t="inlineStr">
        <is>
          <t>Индекс изменения сметной стоимости на 1 квартал 2023 года. МАТ</t>
        </is>
      </c>
      <c r="C13" s="134" t="inlineStr">
        <is>
          <t>Письмо Минстроя России от 30.03.2023г. №17106-ИФ/09  прил.1</t>
        </is>
      </c>
      <c r="D13" s="134" t="n">
        <v>4.39</v>
      </c>
    </row>
    <row r="14" ht="30.75" customHeight="1" s="103">
      <c r="B14" s="134" t="inlineStr">
        <is>
          <t>Индекс изменения сметной стоимости на 1 квартал 2023 года. ОБ</t>
        </is>
      </c>
      <c r="C14" s="15" t="inlineStr">
        <is>
          <t>Письмо Минстроя России от 23.02.2023г. №9791-ИФ/09 прил.6</t>
        </is>
      </c>
      <c r="D14" s="134" t="n">
        <v>6.26</v>
      </c>
    </row>
    <row r="15" ht="89.25" customHeight="1" s="103">
      <c r="B15" s="134" t="inlineStr">
        <is>
          <t>Временные здания и сооружения</t>
        </is>
      </c>
      <c r="C15" s="1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3" t="n">
        <v>0.039</v>
      </c>
    </row>
    <row r="16" ht="78.75" customHeight="1" s="103">
      <c r="B16" s="134" t="inlineStr">
        <is>
          <t>Дополнительные затраты при производстве строительно-монтажных работ в зимнее время</t>
        </is>
      </c>
      <c r="C16" s="1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3" t="n">
        <v>0.021</v>
      </c>
    </row>
    <row r="17" ht="31.5" customHeight="1" s="103">
      <c r="B17" s="134" t="inlineStr">
        <is>
          <t>Строительный контроль</t>
        </is>
      </c>
      <c r="C17" s="134" t="inlineStr">
        <is>
          <t>Постановление Правительства РФ от 21.06.10 г. № 468</t>
        </is>
      </c>
      <c r="D17" s="33" t="n">
        <v>0.0214</v>
      </c>
    </row>
    <row r="18" ht="31.5" customHeight="1" s="103">
      <c r="B18" s="134" t="inlineStr">
        <is>
          <t>Авторский надзор - 0,2%</t>
        </is>
      </c>
      <c r="C18" s="134" t="inlineStr">
        <is>
          <t>Приказ от 4.08.2020 № 421/пр п.173</t>
        </is>
      </c>
      <c r="D18" s="33" t="n">
        <v>0.002</v>
      </c>
    </row>
    <row r="19" ht="24" customHeight="1" s="103">
      <c r="B19" s="134" t="inlineStr">
        <is>
          <t>Непредвиденные расходы</t>
        </is>
      </c>
      <c r="C19" s="134" t="inlineStr">
        <is>
          <t>Приказ от 4.08.2020 № 421/пр п.179</t>
        </is>
      </c>
      <c r="D19" s="33" t="n">
        <v>0.03</v>
      </c>
    </row>
    <row r="20" ht="18.75" customHeight="1" s="103">
      <c r="B20" s="32" t="n"/>
    </row>
    <row r="21" ht="18.75" customHeight="1" s="103">
      <c r="B21" s="32" t="n"/>
    </row>
    <row r="22" ht="18.75" customHeight="1" s="103">
      <c r="B22" s="32" t="n"/>
    </row>
    <row r="23" ht="18.75" customHeight="1" s="103">
      <c r="B23" s="32" t="n"/>
    </row>
    <row r="26">
      <c r="B26" s="109" t="inlineStr">
        <is>
          <t>Составил ______________________        Р.Р Шагеева</t>
        </is>
      </c>
      <c r="C26" s="110" t="n"/>
    </row>
    <row r="27">
      <c r="B27" s="112" t="inlineStr">
        <is>
          <t xml:space="preserve">                         (подпись, инициалы, фамилия)</t>
        </is>
      </c>
      <c r="C27" s="110" t="n"/>
    </row>
    <row r="28">
      <c r="B28" s="109" t="n"/>
      <c r="C28" s="110" t="n"/>
    </row>
    <row r="29">
      <c r="B29" s="109" t="inlineStr">
        <is>
          <t>Проверил ______________________        А.В. Костянецкая</t>
        </is>
      </c>
      <c r="C29" s="110" t="n"/>
    </row>
    <row r="30">
      <c r="B30" s="112" t="inlineStr">
        <is>
          <t xml:space="preserve">                        (подпись, инициалы, фамилия)</t>
        </is>
      </c>
      <c r="C30" s="1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" sqref="G1:G1048576"/>
    </sheetView>
  </sheetViews>
  <sheetFormatPr baseColWidth="8" defaultRowHeight="15"/>
  <cols>
    <col width="9.140625" customWidth="1" style="103" min="1" max="1"/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  <col width="9.140625" customWidth="1" style="103" min="7" max="7"/>
  </cols>
  <sheetData>
    <row r="2" ht="17.25" customHeight="1" s="103">
      <c r="A2" s="1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03">
      <c r="A4" s="16" t="inlineStr">
        <is>
          <t>Составлен в уровне цен на 01.01.2023 г.</t>
        </is>
      </c>
      <c r="B4" s="114" t="n"/>
      <c r="C4" s="114" t="n"/>
      <c r="D4" s="114" t="n"/>
      <c r="E4" s="114" t="n"/>
      <c r="F4" s="114" t="n"/>
      <c r="G4" s="114" t="n"/>
    </row>
    <row r="5" ht="15.75" customHeight="1" s="103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14" t="n"/>
    </row>
    <row r="6" ht="15.75" customHeight="1" s="103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14" t="n"/>
    </row>
    <row r="7" ht="110.25" customHeight="1" s="103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4" t="inlineStr">
        <is>
          <t>С1ср</t>
        </is>
      </c>
      <c r="D7" s="134" t="inlineStr">
        <is>
          <t>-</t>
        </is>
      </c>
      <c r="E7" s="113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4" t="n"/>
    </row>
    <row r="8" ht="31.5" customHeight="1" s="103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34" t="inlineStr">
        <is>
          <t>tср</t>
        </is>
      </c>
      <c r="D8" s="134" t="inlineStr">
        <is>
          <t>1973ч/12мес.</t>
        </is>
      </c>
      <c r="E8" s="108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 s="103">
      <c r="A9" s="19" t="inlineStr">
        <is>
          <t>1.3</t>
        </is>
      </c>
      <c r="B9" s="20" t="inlineStr">
        <is>
          <t>Коэффициент увеличения</t>
        </is>
      </c>
      <c r="C9" s="134" t="inlineStr">
        <is>
          <t>Кув</t>
        </is>
      </c>
      <c r="D9" s="134" t="inlineStr">
        <is>
          <t>-</t>
        </is>
      </c>
      <c r="E9" s="108" t="n">
        <v>1</v>
      </c>
      <c r="F9" s="20" t="n"/>
      <c r="G9" s="23" t="n"/>
    </row>
    <row r="10" ht="15.75" customHeight="1" s="103">
      <c r="A10" s="19" t="inlineStr">
        <is>
          <t>1.4</t>
        </is>
      </c>
      <c r="B10" s="20" t="inlineStr">
        <is>
          <t>Средний разряд работ</t>
        </is>
      </c>
      <c r="C10" s="134" t="n"/>
      <c r="D10" s="134" t="n"/>
      <c r="E10" s="24" t="n">
        <v>2.7</v>
      </c>
      <c r="F10" s="20" t="inlineStr">
        <is>
          <t>РТМ</t>
        </is>
      </c>
      <c r="G10" s="23" t="n"/>
    </row>
    <row r="11" ht="78.75" customHeight="1" s="103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34" t="inlineStr">
        <is>
          <t>КТ</t>
        </is>
      </c>
      <c r="D11" s="134" t="inlineStr">
        <is>
          <t>-</t>
        </is>
      </c>
      <c r="E11" s="25" t="n">
        <v>1.156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4" t="n"/>
    </row>
    <row r="12" ht="78.75" customHeight="1" s="103">
      <c r="A12" s="19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27" t="n">
        <v>1.139</v>
      </c>
      <c r="F12" s="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n"/>
    </row>
    <row r="13" ht="63" customHeight="1" s="103">
      <c r="A13" s="19" t="inlineStr">
        <is>
          <t>1.7</t>
        </is>
      </c>
      <c r="B13" s="29" t="inlineStr">
        <is>
          <t>Размер средств на оплату труда рабочих-строителей в текущем уровне цен (ФОТр.тек.), руб/чел.-ч</t>
        </is>
      </c>
      <c r="C13" s="134" t="inlineStr">
        <is>
          <t>ФОТр.тек.</t>
        </is>
      </c>
      <c r="D13" s="134" t="inlineStr">
        <is>
          <t>(С1ср/tср*КТ*Т*Кув)*Кинф</t>
        </is>
      </c>
      <c r="E13" s="30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2025-01-24T11:54:19Z</dcterms:modified>
  <cp:lastModifiedBy>REDMIBOOK</cp:lastModifiedBy>
  <cp:lastPrinted>2023-12-01T12:43:34Z</cp:lastPrinted>
</cp:coreProperties>
</file>