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ОБ'!$A$1:$J$50</definedName>
    <definedName name="_xlnm.Print_Area" localSheetId="5">'Прил.6 Расчет ОБ'!$A$1:$G$19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"/>
    <numFmt numFmtId="169" formatCode="0.000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167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horizontal="justify" vertical="center" wrapText="1"/>
    </xf>
    <xf numFmtId="10" fontId="17" fillId="0" borderId="0" pivotButton="0" quotePrefix="0" xfId="0"/>
    <xf numFmtId="0" fontId="17" fillId="0" borderId="5" applyAlignment="1" pivotButton="0" quotePrefix="0" xfId="0">
      <alignment horizontal="center" vertical="center" wrapText="1"/>
    </xf>
    <xf numFmtId="168" fontId="17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7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right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14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2" fontId="21" fillId="0" borderId="6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horizontal="center" vertical="center"/>
    </xf>
    <xf numFmtId="10" fontId="21" fillId="0" borderId="6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8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168" fontId="17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20" zoomScale="85" zoomScaleNormal="55" zoomScaleSheetLayoutView="85" workbookViewId="0">
      <selection activeCell="D28" sqref="D27:D28"/>
    </sheetView>
  </sheetViews>
  <sheetFormatPr baseColWidth="8" defaultColWidth="9.140625" defaultRowHeight="15.75"/>
  <cols>
    <col width="9.140625" customWidth="1" style="312" min="1" max="2"/>
    <col width="36.85546875" customWidth="1" style="312" min="3" max="3"/>
    <col width="36.5703125" customWidth="1" style="312" min="4" max="6"/>
    <col width="9.140625" customWidth="1" style="312" min="7" max="7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>
      <c r="B5" s="351" t="n"/>
      <c r="C5" s="351" t="n"/>
      <c r="D5" s="351" t="n"/>
      <c r="E5" s="351" t="n"/>
      <c r="F5" s="351" t="n"/>
    </row>
    <row r="6">
      <c r="B6" s="351" t="n"/>
      <c r="C6" s="351" t="n"/>
      <c r="D6" s="351" t="n"/>
      <c r="E6" s="351" t="n"/>
      <c r="F6" s="351" t="n"/>
    </row>
    <row r="7" ht="36.75" customHeight="1" s="310">
      <c r="B7" s="341" t="inlineStr">
        <is>
          <t xml:space="preserve">Наименование разрабатываемого показателя УНЦ — Расчистка кустарников и мелколесья, вырубка деревьев с диаметром ствола до 11 см, 12 см и более </t>
        </is>
      </c>
    </row>
    <row r="8">
      <c r="B8" s="341" t="inlineStr">
        <is>
          <t>Сопоставимый уровень цен: 1 квартал 2022 года</t>
        </is>
      </c>
    </row>
    <row r="9">
      <c r="B9" s="341" t="inlineStr">
        <is>
          <t>Единица измерения  — 1 га</t>
        </is>
      </c>
    </row>
    <row r="10">
      <c r="B10" s="341" t="n"/>
    </row>
    <row r="11">
      <c r="B11" s="344" t="inlineStr">
        <is>
          <t>№ п/п</t>
        </is>
      </c>
      <c r="C11" s="344" t="inlineStr">
        <is>
          <t>Параметр</t>
        </is>
      </c>
      <c r="D11" s="324" t="inlineStr">
        <is>
          <t>Объект-представитель 1</t>
        </is>
      </c>
      <c r="E11" s="324" t="inlineStr">
        <is>
          <t>Объект-представитель 2</t>
        </is>
      </c>
      <c r="F11" s="324" t="inlineStr">
        <is>
          <t>Объект-представитель 3</t>
        </is>
      </c>
    </row>
    <row r="12" ht="47.25" customHeight="1" s="310">
      <c r="B12" s="344" t="n">
        <v>1</v>
      </c>
      <c r="C12" s="324" t="inlineStr">
        <is>
          <t>Наименование объекта-представителя</t>
        </is>
      </c>
      <c r="D12" s="344" t="inlineStr">
        <is>
          <t>Строительство ВЛ 220 кВ Комсомольская - Старт № 1 с отпайкой на ПС ГПП-4</t>
        </is>
      </c>
      <c r="E12" s="344" t="inlineStr">
        <is>
          <t>Строительство заходов ВЛ 220 кВ Урушат/т-Ерофей Павлович/т в РУ 220 кВ ПС 220 кВ Сгибеево/т</t>
        </is>
      </c>
      <c r="F12" s="324" t="n"/>
    </row>
    <row r="13" ht="31.5" customHeight="1" s="310">
      <c r="B13" s="344" t="n">
        <v>2</v>
      </c>
      <c r="C13" s="324" t="inlineStr">
        <is>
          <t>Наименование субъекта Российской Федерации</t>
        </is>
      </c>
      <c r="D13" s="344" t="inlineStr">
        <is>
          <t>Хабаровский край</t>
        </is>
      </c>
      <c r="E13" s="344" t="inlineStr">
        <is>
          <t>Амурская область</t>
        </is>
      </c>
      <c r="F13" s="324" t="n"/>
    </row>
    <row r="14">
      <c r="B14" s="344" t="n">
        <v>3</v>
      </c>
      <c r="C14" s="324" t="inlineStr">
        <is>
          <t>Климатический район и подрайон</t>
        </is>
      </c>
      <c r="D14" s="344" t="inlineStr">
        <is>
          <t>IВ</t>
        </is>
      </c>
      <c r="E14" s="344" t="inlineStr">
        <is>
          <t>IА</t>
        </is>
      </c>
      <c r="F14" s="324" t="n"/>
    </row>
    <row r="15">
      <c r="B15" s="344" t="n">
        <v>4</v>
      </c>
      <c r="C15" s="324" t="inlineStr">
        <is>
          <t>Мощность объекта</t>
        </is>
      </c>
      <c r="D15" s="344" t="n">
        <v>46.03</v>
      </c>
      <c r="E15" s="344" t="n">
        <v>27.85</v>
      </c>
      <c r="F15" s="319" t="n"/>
    </row>
    <row r="16" ht="101.25" customHeight="1" s="310">
      <c r="B16" s="344" t="n">
        <v>5</v>
      </c>
      <c r="C16" s="2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Валка 49615 деревьев</t>
        </is>
      </c>
      <c r="E16" s="344" t="inlineStr">
        <is>
          <t>Валка 24314 деревьев</t>
        </is>
      </c>
      <c r="F16" s="324" t="n"/>
    </row>
    <row r="17" ht="78.75" customHeight="1" s="310">
      <c r="B17" s="344" t="n">
        <v>6</v>
      </c>
      <c r="C17" s="2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308">
        <f>SUM(E18:E21)</f>
        <v/>
      </c>
      <c r="F17" s="308" t="n"/>
    </row>
    <row r="18">
      <c r="B18" s="255" t="inlineStr">
        <is>
          <t>6.1</t>
        </is>
      </c>
      <c r="C18" s="324" t="inlineStr">
        <is>
          <t>строительно-монтажные работы</t>
        </is>
      </c>
      <c r="D18" s="308" t="n">
        <v>12295.02</v>
      </c>
      <c r="E18" s="308" t="n">
        <v>2021.81</v>
      </c>
      <c r="F18" s="308" t="n"/>
    </row>
    <row r="19" ht="15.75" customHeight="1" s="310">
      <c r="B19" s="255" t="inlineStr">
        <is>
          <t>6.2</t>
        </is>
      </c>
      <c r="C19" s="324" t="inlineStr">
        <is>
          <t>оборудование и инвентарь</t>
        </is>
      </c>
      <c r="D19" s="308" t="n">
        <v>0</v>
      </c>
      <c r="E19" s="308" t="n">
        <v>0</v>
      </c>
      <c r="F19" s="308" t="n"/>
    </row>
    <row r="20" ht="16.5" customHeight="1" s="310">
      <c r="B20" s="255" t="inlineStr">
        <is>
          <t>6.3</t>
        </is>
      </c>
      <c r="C20" s="324" t="inlineStr">
        <is>
          <t>пусконаладочные работы</t>
        </is>
      </c>
      <c r="D20" s="308" t="n">
        <v>0</v>
      </c>
      <c r="E20" s="308" t="n">
        <v>0</v>
      </c>
      <c r="F20" s="308" t="n"/>
    </row>
    <row r="21" ht="35.25" customHeight="1" s="310">
      <c r="B21" s="255" t="inlineStr">
        <is>
          <t>6.4</t>
        </is>
      </c>
      <c r="C21" s="243" t="inlineStr">
        <is>
          <t>прочие и лимитированные затраты</t>
        </is>
      </c>
      <c r="D21" s="308">
        <f>D18*3.3%+(D18+D18*3.3%)*4%*0.9</f>
        <v/>
      </c>
      <c r="E21" s="308">
        <f>E18*3.3%+(E18+E18*3.3%)*2.7%*0.9</f>
        <v/>
      </c>
      <c r="F21" s="308" t="n"/>
    </row>
    <row r="22">
      <c r="B22" s="344" t="n">
        <v>7</v>
      </c>
      <c r="C22" s="243" t="inlineStr">
        <is>
          <t>Сопоставимый уровень цен</t>
        </is>
      </c>
      <c r="D22" s="344" t="inlineStr">
        <is>
          <t>1 квартал 2022 года</t>
        </is>
      </c>
      <c r="E22" s="344" t="inlineStr">
        <is>
          <t>1 квартал 2022 года</t>
        </is>
      </c>
      <c r="F22" s="308" t="n"/>
    </row>
    <row r="23" ht="123" customHeight="1" s="310">
      <c r="B23" s="344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317014.23/1000*10.55+((317014.23/1000*3.3%)+(317014.23/1000+317014.23/1000*3.3%)*4%*0.9)*10.55</f>
        <v/>
      </c>
      <c r="E23" s="308">
        <f>E17/8.55*10.55</f>
        <v/>
      </c>
      <c r="F23" s="425" t="n"/>
    </row>
    <row r="24" ht="60.75" customHeight="1" s="310">
      <c r="B24" s="344" t="n">
        <v>9</v>
      </c>
      <c r="C24" s="240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308">
        <f>E23/E15</f>
        <v/>
      </c>
      <c r="F24" s="308" t="n"/>
    </row>
    <row r="25" ht="133.5" customHeight="1" s="310">
      <c r="B25" s="344" t="n">
        <v>10</v>
      </c>
      <c r="C25" s="324" t="inlineStr">
        <is>
          <t>Примечание</t>
        </is>
      </c>
      <c r="D25" s="324" t="n"/>
      <c r="E25" s="34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га</t>
        </is>
      </c>
      <c r="F25" s="324" t="n"/>
    </row>
    <row r="26">
      <c r="B26" s="220" t="n"/>
      <c r="C26" s="221" t="n"/>
      <c r="D26" s="221" t="n"/>
      <c r="E26" s="221" t="n"/>
      <c r="F26" s="221" t="n"/>
    </row>
    <row r="27" ht="37.5" customHeight="1" s="310">
      <c r="B27" s="223" t="n"/>
    </row>
    <row r="28">
      <c r="B28" s="312" t="inlineStr">
        <is>
          <t>Составил ______________________        Д.А. Самуйленко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zoomScale="70" zoomScaleNormal="70" workbookViewId="0">
      <selection activeCell="E44" sqref="E44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39" t="inlineStr">
        <is>
          <t>Приложение № 2</t>
        </is>
      </c>
      <c r="K3" s="223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351" t="n"/>
      <c r="C5" s="351" t="n"/>
      <c r="D5" s="351" t="n"/>
      <c r="E5" s="351" t="n"/>
      <c r="F5" s="351" t="n"/>
      <c r="G5" s="351" t="n"/>
      <c r="H5" s="351" t="n"/>
      <c r="I5" s="351" t="n"/>
      <c r="J5" s="351" t="n"/>
      <c r="K5" s="351" t="n"/>
    </row>
    <row r="6">
      <c r="B6" s="343" t="inlineStr">
        <is>
          <t xml:space="preserve">Наименование разрабатываемого показателя УНЦ —  Расчистка кустарников и мелколесья, вырубка деревьев с диаметром ствола до 11 см, 12 см и более </t>
        </is>
      </c>
      <c r="K6" s="223" t="n"/>
      <c r="L6" s="231" t="n"/>
    </row>
    <row r="7">
      <c r="B7" s="341" t="inlineStr">
        <is>
          <t>Единица измерения  — 1 га</t>
        </is>
      </c>
      <c r="L7" s="231" t="n"/>
    </row>
    <row r="8">
      <c r="B8" s="341" t="n"/>
    </row>
    <row r="9" ht="15.75" customHeight="1" s="310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310">
      <c r="B10" s="428" t="n"/>
      <c r="C10" s="428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4 кв. 2021 г., тыс. руб.</t>
        </is>
      </c>
      <c r="G10" s="426" t="n"/>
      <c r="H10" s="426" t="n"/>
      <c r="I10" s="426" t="n"/>
      <c r="J10" s="427" t="n"/>
    </row>
    <row r="11" ht="31.5" customHeight="1" s="310">
      <c r="B11" s="429" t="n"/>
      <c r="C11" s="429" t="n"/>
      <c r="D11" s="429" t="n"/>
      <c r="E11" s="429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78.75" customHeight="1" s="310">
      <c r="B12" s="262" t="n">
        <v>1</v>
      </c>
      <c r="C12" s="344" t="inlineStr">
        <is>
          <t>Валка 49615 деревьев</t>
        </is>
      </c>
      <c r="D12" s="255" t="inlineStr">
        <is>
          <t>01-01-10 изм.1</t>
        </is>
      </c>
      <c r="E12" s="319" t="inlineStr">
        <is>
          <t>Строительство ВЛ 220 кВ Комсомольская - Старт № 1 с отпайкой на ПС ГПП-4. Вырубка просеки</t>
        </is>
      </c>
      <c r="F12" s="261">
        <f>12295017.36/1000</f>
        <v/>
      </c>
      <c r="G12" s="261" t="n"/>
      <c r="H12" s="261" t="n"/>
      <c r="I12" s="264" t="n"/>
      <c r="J12" s="265">
        <f>SUM(F12:I12)</f>
        <v/>
      </c>
    </row>
    <row r="13" ht="15.75" customHeight="1" s="310">
      <c r="B13" s="342" t="inlineStr">
        <is>
          <t>Всего по объекту:</t>
        </is>
      </c>
      <c r="C13" s="426" t="n"/>
      <c r="D13" s="426" t="n"/>
      <c r="E13" s="427" t="n"/>
      <c r="F13" s="266">
        <f>SUM(F12:F12)</f>
        <v/>
      </c>
      <c r="G13" s="266">
        <f>SUM(G12:G12)</f>
        <v/>
      </c>
      <c r="H13" s="266">
        <f>SUM(H12:H12)</f>
        <v/>
      </c>
      <c r="I13" s="267" t="n"/>
      <c r="J13" s="268">
        <f>SUM(F13:I13)</f>
        <v/>
      </c>
    </row>
    <row r="14" ht="28.5" customHeight="1" s="310">
      <c r="B14" s="342" t="inlineStr">
        <is>
          <t>Всего по объекту в сопоставимом уровне цен 4 кв. 2021 г:</t>
        </is>
      </c>
      <c r="C14" s="426" t="n"/>
      <c r="D14" s="426" t="n"/>
      <c r="E14" s="427" t="n"/>
      <c r="F14" s="266">
        <f>F13</f>
        <v/>
      </c>
      <c r="G14" s="266">
        <f>G13</f>
        <v/>
      </c>
      <c r="H14" s="266">
        <f>H13</f>
        <v/>
      </c>
      <c r="I14" s="267" t="n"/>
      <c r="J14" s="268">
        <f>SUM(F14:I14)</f>
        <v/>
      </c>
    </row>
    <row r="15">
      <c r="B15" s="341" t="n"/>
      <c r="C15" s="312" t="n"/>
      <c r="D15" s="312" t="n"/>
      <c r="E15" s="312" t="n"/>
      <c r="F15" s="312" t="n"/>
      <c r="G15" s="312" t="n"/>
      <c r="H15" s="312" t="n"/>
      <c r="I15" s="312" t="n"/>
      <c r="J15" s="312" t="n"/>
    </row>
    <row r="16">
      <c r="B16" s="344" t="inlineStr">
        <is>
          <t>№ п/п</t>
        </is>
      </c>
      <c r="C16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44" t="inlineStr">
        <is>
          <t>Объект-представитель 2</t>
        </is>
      </c>
      <c r="E16" s="426" t="n"/>
      <c r="F16" s="426" t="n"/>
      <c r="G16" s="426" t="n"/>
      <c r="H16" s="426" t="n"/>
      <c r="I16" s="426" t="n"/>
      <c r="J16" s="427" t="n"/>
    </row>
    <row r="17" ht="15.75" customHeight="1" s="310">
      <c r="B17" s="428" t="n"/>
      <c r="C17" s="428" t="n"/>
      <c r="D17" s="344" t="inlineStr">
        <is>
          <t>Номер сметы</t>
        </is>
      </c>
      <c r="E17" s="344" t="inlineStr">
        <is>
          <t>Наименование сметы</t>
        </is>
      </c>
      <c r="F17" s="344" t="inlineStr">
        <is>
          <t>Сметная стоимость в уровне цен 4 кв. 2018 г., тыс. руб.</t>
        </is>
      </c>
      <c r="G17" s="426" t="n"/>
      <c r="H17" s="426" t="n"/>
      <c r="I17" s="426" t="n"/>
      <c r="J17" s="427" t="n"/>
    </row>
    <row r="18" ht="31.5" customHeight="1" s="310">
      <c r="B18" s="429" t="n"/>
      <c r="C18" s="429" t="n"/>
      <c r="D18" s="429" t="n"/>
      <c r="E18" s="429" t="n"/>
      <c r="F18" s="344" t="inlineStr">
        <is>
          <t>Строительные работы</t>
        </is>
      </c>
      <c r="G18" s="344" t="inlineStr">
        <is>
          <t>Монтажные работы</t>
        </is>
      </c>
      <c r="H18" s="344" t="inlineStr">
        <is>
          <t>Оборудование</t>
        </is>
      </c>
      <c r="I18" s="344" t="inlineStr">
        <is>
          <t>Прочее</t>
        </is>
      </c>
      <c r="J18" s="344" t="inlineStr">
        <is>
          <t>Всего</t>
        </is>
      </c>
    </row>
    <row r="19" ht="31.5" customHeight="1" s="310">
      <c r="B19" s="262" t="n">
        <v>1</v>
      </c>
      <c r="C19" s="344" t="inlineStr">
        <is>
          <t>Валка 24314 деревьев</t>
        </is>
      </c>
      <c r="D19" s="314" t="inlineStr">
        <is>
          <t>01-01-01</t>
        </is>
      </c>
      <c r="E19" s="324" t="inlineStr">
        <is>
          <t xml:space="preserve">Лесоочистительные работы </t>
        </is>
      </c>
      <c r="F19" s="261">
        <f>236469/1000*8.55</f>
        <v/>
      </c>
      <c r="G19" s="264" t="n"/>
      <c r="H19" s="264" t="n"/>
      <c r="I19" s="264" t="n"/>
      <c r="J19" s="265">
        <f>SUM(F19:I19)</f>
        <v/>
      </c>
    </row>
    <row r="20" ht="15.75" customHeight="1" s="310">
      <c r="B20" s="342" t="inlineStr">
        <is>
          <t>Всего по объекту:</t>
        </is>
      </c>
      <c r="C20" s="426" t="n"/>
      <c r="D20" s="426" t="n"/>
      <c r="E20" s="427" t="n"/>
      <c r="F20" s="266">
        <f>SUM(F19:F19)</f>
        <v/>
      </c>
      <c r="G20" s="266">
        <f>SUM(G19:G19)</f>
        <v/>
      </c>
      <c r="H20" s="266">
        <f>SUM(H19:H19)</f>
        <v/>
      </c>
      <c r="I20" s="267" t="n"/>
      <c r="J20" s="268">
        <f>SUM(F20:I20)</f>
        <v/>
      </c>
    </row>
    <row r="21" ht="28.5" customHeight="1" s="310">
      <c r="B21" s="342" t="inlineStr">
        <is>
          <t>Всего по объекту в сопоставимом уровне цен 4 кв. 2018 г:</t>
        </is>
      </c>
      <c r="C21" s="426" t="n"/>
      <c r="D21" s="426" t="n"/>
      <c r="E21" s="427" t="n"/>
      <c r="F21" s="266">
        <f>F20</f>
        <v/>
      </c>
      <c r="G21" s="266">
        <f>G20</f>
        <v/>
      </c>
      <c r="H21" s="266">
        <f>H20</f>
        <v/>
      </c>
      <c r="I21" s="267" t="n"/>
      <c r="J21" s="268">
        <f>SUM(F21:I21)</f>
        <v/>
      </c>
    </row>
    <row r="24">
      <c r="B24" s="369" t="n"/>
    </row>
    <row r="28">
      <c r="B28" s="312" t="inlineStr">
        <is>
          <t>Составил ______________________        Д.А. Самуйленко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85" zoomScaleSheetLayoutView="85" workbookViewId="0">
      <selection activeCell="D28" sqref="D28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253" min="5" max="5"/>
    <col width="20.7109375" customWidth="1" style="312" min="6" max="6"/>
    <col width="16.140625" customWidth="1" style="312" min="7" max="7"/>
    <col width="19" customWidth="1" style="312" min="8" max="8"/>
    <col hidden="1" width="9.140625" customWidth="1" style="312" min="9" max="11"/>
    <col width="9.140625" customWidth="1" style="312" min="12" max="12"/>
  </cols>
  <sheetData>
    <row r="2" s="310">
      <c r="A2" s="312" t="n"/>
      <c r="B2" s="312" t="n"/>
      <c r="C2" s="312" t="n"/>
      <c r="D2" s="312" t="n"/>
      <c r="E2" s="253" t="n"/>
      <c r="F2" s="312" t="n"/>
      <c r="G2" s="312" t="n"/>
      <c r="H2" s="312" t="n"/>
      <c r="I2" s="312" t="n"/>
      <c r="J2" s="312" t="n"/>
      <c r="K2" s="312" t="n"/>
      <c r="L2" s="312" t="n"/>
    </row>
    <row r="3" s="310">
      <c r="A3" s="312" t="n"/>
      <c r="B3" s="312" t="n"/>
      <c r="C3" s="312" t="n"/>
      <c r="D3" s="312" t="n"/>
      <c r="E3" s="253" t="n"/>
      <c r="F3" s="312" t="n"/>
      <c r="G3" s="312" t="n"/>
      <c r="H3" s="312" t="n"/>
      <c r="I3" s="312" t="n"/>
      <c r="J3" s="312" t="n"/>
      <c r="K3" s="312" t="n"/>
      <c r="L3" s="312" t="n"/>
    </row>
    <row r="4">
      <c r="A4" s="339" t="inlineStr">
        <is>
          <t xml:space="preserve">Приложение № 3 </t>
        </is>
      </c>
    </row>
    <row r="5">
      <c r="A5" s="340" t="inlineStr">
        <is>
          <t>Объектная ресурсная ведомость</t>
        </is>
      </c>
    </row>
    <row r="6">
      <c r="A6" s="341" t="n"/>
    </row>
    <row r="7">
      <c r="A7" s="351" t="inlineStr">
        <is>
          <t xml:space="preserve">Наименование разрабатываемого показателя УНЦ - Расчистка кустарников и мелколесья, вырубка деревьев с диаметром ствола до 11 см, 12 см и более </t>
        </is>
      </c>
    </row>
    <row r="8">
      <c r="A8" s="343" t="n"/>
      <c r="B8" s="343" t="n"/>
      <c r="C8" s="343" t="n"/>
      <c r="D8" s="343" t="n"/>
      <c r="E8" s="351" t="n"/>
      <c r="F8" s="343" t="n"/>
      <c r="G8" s="343" t="n"/>
      <c r="H8" s="343" t="n"/>
    </row>
    <row r="9" ht="38.25" customHeight="1" s="310">
      <c r="A9" s="344" t="inlineStr">
        <is>
          <t>п/п</t>
        </is>
      </c>
      <c r="B9" s="344" t="inlineStr">
        <is>
          <t>№ЛСР</t>
        </is>
      </c>
      <c r="C9" s="344" t="inlineStr">
        <is>
          <t>Код ресурса</t>
        </is>
      </c>
      <c r="D9" s="344" t="inlineStr">
        <is>
          <t>Наименование ресурса</t>
        </is>
      </c>
      <c r="E9" s="344" t="inlineStr">
        <is>
          <t>Ед. изм.</t>
        </is>
      </c>
      <c r="F9" s="344" t="inlineStr">
        <is>
          <t>Кол-во единиц по данным объекта-представителя</t>
        </is>
      </c>
      <c r="G9" s="344" t="inlineStr">
        <is>
          <t>Сметная стоимость в ценах на 01.01.2000 (руб.)</t>
        </is>
      </c>
      <c r="H9" s="427" t="n"/>
    </row>
    <row r="10" ht="40.5" customHeight="1" s="310">
      <c r="A10" s="429" t="n"/>
      <c r="B10" s="429" t="n"/>
      <c r="C10" s="429" t="n"/>
      <c r="D10" s="429" t="n"/>
      <c r="E10" s="429" t="n"/>
      <c r="F10" s="429" t="n"/>
      <c r="G10" s="344" t="inlineStr">
        <is>
          <t>на ед.изм.</t>
        </is>
      </c>
      <c r="H10" s="344" t="inlineStr">
        <is>
          <t>общая</t>
        </is>
      </c>
    </row>
    <row r="11" ht="16.5" customHeight="1" s="310">
      <c r="A11" s="329" t="n">
        <v>1</v>
      </c>
      <c r="B11" s="329" t="n"/>
      <c r="C11" s="329" t="n">
        <v>2</v>
      </c>
      <c r="D11" s="329" t="inlineStr">
        <is>
          <t>З</t>
        </is>
      </c>
      <c r="E11" s="329" t="n">
        <v>4</v>
      </c>
      <c r="F11" s="329" t="n">
        <v>5</v>
      </c>
      <c r="G11" s="329" t="n">
        <v>6</v>
      </c>
      <c r="H11" s="329" t="n">
        <v>7</v>
      </c>
    </row>
    <row r="12" ht="16.5" customFormat="1" customHeight="1" s="299">
      <c r="A12" s="348" t="inlineStr">
        <is>
          <t>Затраты труда рабочих</t>
        </is>
      </c>
      <c r="B12" s="426" t="n"/>
      <c r="C12" s="426" t="n"/>
      <c r="D12" s="426" t="n"/>
      <c r="E12" s="427" t="n"/>
      <c r="F12" s="283">
        <f>SUM(F13:F15)</f>
        <v/>
      </c>
      <c r="G12" s="207" t="n"/>
      <c r="H12" s="283">
        <f>SUM(H13:H15)</f>
        <v/>
      </c>
      <c r="J12" s="285">
        <f>K12/F12</f>
        <v/>
      </c>
      <c r="K12" s="286">
        <f>SUM(K13:K15)</f>
        <v/>
      </c>
    </row>
    <row r="13">
      <c r="A13" s="277" t="n">
        <v>1</v>
      </c>
      <c r="B13" s="271" t="inlineStr">
        <is>
          <t> </t>
        </is>
      </c>
      <c r="C13" s="272" t="inlineStr">
        <is>
          <t>1-2-8</t>
        </is>
      </c>
      <c r="D13" s="273" t="inlineStr">
        <is>
          <t>Затраты труда рабочих (средний разряд 2,8)</t>
        </is>
      </c>
      <c r="E13" s="277" t="inlineStr">
        <is>
          <t>чел.-ч</t>
        </is>
      </c>
      <c r="F13" s="274" t="n">
        <v>6079.43</v>
      </c>
      <c r="G13" s="282" t="n">
        <v>8.380000000000001</v>
      </c>
      <c r="H13" s="282">
        <f>ROUND(F13*G13,2)</f>
        <v/>
      </c>
      <c r="J13" s="1" t="n">
        <v>2.8</v>
      </c>
      <c r="K13" s="286">
        <f>F13*J13</f>
        <v/>
      </c>
      <c r="L13" s="430" t="n"/>
    </row>
    <row r="14">
      <c r="A14" s="277" t="n">
        <v>2</v>
      </c>
      <c r="B14" s="271" t="inlineStr">
        <is>
          <t> </t>
        </is>
      </c>
      <c r="C14" s="272" t="inlineStr">
        <is>
          <t>1-3-8</t>
        </is>
      </c>
      <c r="D14" s="273" t="inlineStr">
        <is>
          <t>Затраты труда рабочих (средний разряд 3,8)</t>
        </is>
      </c>
      <c r="E14" s="277" t="inlineStr">
        <is>
          <t>чел.-ч</t>
        </is>
      </c>
      <c r="F14" s="274" t="n">
        <v>2106.94715</v>
      </c>
      <c r="G14" s="282" t="n">
        <v>9.4</v>
      </c>
      <c r="H14" s="282">
        <f>ROUND(F14*G14,2)</f>
        <v/>
      </c>
      <c r="J14" s="1" t="n">
        <v>3.8</v>
      </c>
      <c r="K14" s="286">
        <f>F14*J14</f>
        <v/>
      </c>
    </row>
    <row r="15">
      <c r="A15" s="277" t="n">
        <v>3</v>
      </c>
      <c r="B15" s="271" t="inlineStr">
        <is>
          <t> </t>
        </is>
      </c>
      <c r="C15" s="272" t="inlineStr">
        <is>
          <t>1-2-0</t>
        </is>
      </c>
      <c r="D15" s="273" t="inlineStr">
        <is>
          <t>Затраты труда рабочих (средний разряд 2,0)</t>
        </is>
      </c>
      <c r="E15" s="277" t="inlineStr">
        <is>
          <t>чел.-ч</t>
        </is>
      </c>
      <c r="F15" s="274" t="n">
        <v>103.5372738</v>
      </c>
      <c r="G15" s="282" t="n">
        <v>7.8</v>
      </c>
      <c r="H15" s="282">
        <f>ROUND(F15*G15,2)</f>
        <v/>
      </c>
      <c r="J15" s="1" t="n">
        <v>2</v>
      </c>
      <c r="K15" s="286">
        <f>F15*J15</f>
        <v/>
      </c>
    </row>
    <row r="16">
      <c r="A16" s="348" t="inlineStr">
        <is>
          <t>Затраты труда машинистов</t>
        </is>
      </c>
      <c r="B16" s="426" t="n"/>
      <c r="C16" s="426" t="n"/>
      <c r="D16" s="426" t="n"/>
      <c r="E16" s="427" t="n"/>
      <c r="F16" s="348" t="n"/>
      <c r="G16" s="207" t="n"/>
      <c r="H16" s="283">
        <f>H17</f>
        <v/>
      </c>
      <c r="J16" s="286" t="n"/>
      <c r="K16" s="286" t="n"/>
    </row>
    <row r="17">
      <c r="A17" s="277" t="n">
        <v>4</v>
      </c>
      <c r="B17" s="280" t="inlineStr">
        <is>
          <t> </t>
        </is>
      </c>
      <c r="C17" s="361" t="n">
        <v>2</v>
      </c>
      <c r="D17" s="273" t="inlineStr">
        <is>
          <t>Затраты труда машинистов</t>
        </is>
      </c>
      <c r="E17" s="277" t="inlineStr">
        <is>
          <t>чел.-ч</t>
        </is>
      </c>
      <c r="F17" s="277" t="n">
        <v>124.79</v>
      </c>
      <c r="G17" s="282" t="n">
        <v>0</v>
      </c>
      <c r="H17" s="282" t="n">
        <v>1754.75</v>
      </c>
      <c r="J17" s="286" t="n"/>
      <c r="K17" s="286" t="n"/>
    </row>
    <row r="18" ht="16.5" customFormat="1" customHeight="1" s="299">
      <c r="A18" s="348" t="inlineStr">
        <is>
          <t>Машины и механизмы</t>
        </is>
      </c>
      <c r="B18" s="426" t="n"/>
      <c r="C18" s="426" t="n"/>
      <c r="D18" s="426" t="n"/>
      <c r="E18" s="427" t="n"/>
      <c r="F18" s="348" t="n"/>
      <c r="G18" s="207" t="n"/>
      <c r="H18" s="283">
        <f>SUM(H19:H22)</f>
        <v/>
      </c>
      <c r="J18" s="286" t="n"/>
      <c r="K18" s="286" t="n"/>
    </row>
    <row r="19" ht="26.25" customHeight="1" s="310">
      <c r="A19" s="277" t="n">
        <v>5</v>
      </c>
      <c r="B19" s="280" t="inlineStr">
        <is>
          <t> </t>
        </is>
      </c>
      <c r="C19" s="361" t="inlineStr">
        <is>
          <t>91.01.05-063</t>
        </is>
      </c>
      <c r="D19" s="360" t="inlineStr">
        <is>
          <t>Экскаваторы на гусеничном ходу импортного производства, емкость ковша 0,4 м3</t>
        </is>
      </c>
      <c r="E19" s="361" t="inlineStr">
        <is>
          <t>маш.-ч.</t>
        </is>
      </c>
      <c r="F19" s="362" t="n">
        <v>226.692927</v>
      </c>
      <c r="G19" s="282" t="n">
        <v>158.83</v>
      </c>
      <c r="H19" s="282">
        <f>ROUND(F19*G19,2)</f>
        <v/>
      </c>
      <c r="J19" s="287">
        <f>H19/$H$18</f>
        <v/>
      </c>
      <c r="K19" s="288">
        <f>SUM(J19:J20)</f>
        <v/>
      </c>
    </row>
    <row r="20" customFormat="1" s="299">
      <c r="A20" s="277" t="n">
        <v>6</v>
      </c>
      <c r="B20" s="280" t="inlineStr">
        <is>
          <t> </t>
        </is>
      </c>
      <c r="C20" s="361" t="inlineStr">
        <is>
          <t>91.01.01-035</t>
        </is>
      </c>
      <c r="D20" s="360" t="inlineStr">
        <is>
          <t>Бульдозеры, мощность 79 кВт (108 л.с.)</t>
        </is>
      </c>
      <c r="E20" s="361" t="inlineStr">
        <is>
          <t>маш.-ч.</t>
        </is>
      </c>
      <c r="F20" s="362" t="n">
        <v>70.6735104</v>
      </c>
      <c r="G20" s="282" t="n">
        <v>79.06999999999999</v>
      </c>
      <c r="H20" s="282">
        <f>ROUND(F20*G20,2)</f>
        <v/>
      </c>
      <c r="J20" s="287">
        <f>H20/$H$18</f>
        <v/>
      </c>
      <c r="K20" s="289" t="n"/>
    </row>
    <row r="21" customFormat="1" s="299">
      <c r="A21" s="277" t="n">
        <v>7</v>
      </c>
      <c r="B21" s="280" t="inlineStr">
        <is>
          <t> </t>
        </is>
      </c>
      <c r="C21" s="361" t="inlineStr">
        <is>
          <t>91.01.01-038</t>
        </is>
      </c>
      <c r="D21" s="360" t="inlineStr">
        <is>
          <t>Бульдозеры, мощность 121 кВт (165 л.с.)</t>
        </is>
      </c>
      <c r="E21" s="361" t="inlineStr">
        <is>
          <t>маш.-ч.</t>
        </is>
      </c>
      <c r="F21" s="362" t="n">
        <v>19.3474633</v>
      </c>
      <c r="G21" s="282" t="n">
        <v>122.4</v>
      </c>
      <c r="H21" s="282">
        <f>ROUND(F21*G21,2)</f>
        <v/>
      </c>
      <c r="J21" s="287">
        <f>H21/$H$18</f>
        <v/>
      </c>
      <c r="K21" s="289" t="n"/>
    </row>
    <row r="22" customFormat="1" s="299">
      <c r="A22" s="277" t="n">
        <v>8</v>
      </c>
      <c r="B22" s="280" t="inlineStr">
        <is>
          <t> </t>
        </is>
      </c>
      <c r="C22" s="361" t="inlineStr">
        <is>
          <t>91.01.01-039</t>
        </is>
      </c>
      <c r="D22" s="360" t="inlineStr">
        <is>
          <t>Бульдозеры, мощность 132 кВт (180 л.с.)</t>
        </is>
      </c>
      <c r="E22" s="361" t="inlineStr">
        <is>
          <t>маш.-ч.</t>
        </is>
      </c>
      <c r="F22" s="362" t="n">
        <v>1.9554845</v>
      </c>
      <c r="G22" s="282" t="n">
        <v>132.79</v>
      </c>
      <c r="H22" s="282">
        <f>ROUND(F22*G22,2)</f>
        <v/>
      </c>
      <c r="J22" s="287">
        <f>H22/$H$18</f>
        <v/>
      </c>
      <c r="K22" s="289" t="n"/>
    </row>
    <row r="23">
      <c r="A23" s="348" t="inlineStr">
        <is>
          <t>Оборудование</t>
        </is>
      </c>
      <c r="B23" s="426" t="n"/>
      <c r="C23" s="426" t="n"/>
      <c r="D23" s="426" t="n"/>
      <c r="E23" s="427" t="n"/>
      <c r="F23" s="348" t="n"/>
      <c r="G23" s="207" t="n"/>
      <c r="H23" s="283" t="n">
        <v>0</v>
      </c>
    </row>
    <row r="24">
      <c r="A24" s="348" t="inlineStr">
        <is>
          <t>Материалы</t>
        </is>
      </c>
      <c r="B24" s="426" t="n"/>
      <c r="C24" s="426" t="n"/>
      <c r="D24" s="426" t="n"/>
      <c r="E24" s="427" t="n"/>
      <c r="F24" s="348" t="n"/>
      <c r="G24" s="207" t="n"/>
      <c r="H24" s="283" t="n">
        <v>62175.71</v>
      </c>
    </row>
    <row r="25">
      <c r="A25" s="277" t="n">
        <v>9</v>
      </c>
      <c r="B25" s="277" t="inlineStr">
        <is>
          <t> </t>
        </is>
      </c>
      <c r="C25" s="361" t="inlineStr">
        <is>
          <t>01.3.01.08-0002</t>
        </is>
      </c>
      <c r="D25" s="360" t="inlineStr">
        <is>
          <t>Топливо дизельное из малосернистых нефтей</t>
        </is>
      </c>
      <c r="E25" s="361" t="inlineStr">
        <is>
          <t>т</t>
        </is>
      </c>
      <c r="F25" s="431" t="n">
        <v>9.9481135</v>
      </c>
      <c r="G25" s="363" t="n">
        <v>6250</v>
      </c>
      <c r="H25" s="284" t="n">
        <v>62175.71</v>
      </c>
      <c r="J25" s="245" t="n"/>
    </row>
    <row r="28">
      <c r="B28" s="312" t="inlineStr">
        <is>
          <t>Составил ______________________        Д.А. Самуйленко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A24:E24"/>
    <mergeCell ref="A16:E16"/>
    <mergeCell ref="A7:H7"/>
    <mergeCell ref="A9:A10"/>
    <mergeCell ref="F9:F10"/>
    <mergeCell ref="A23:E23"/>
    <mergeCell ref="A5:H5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11.42578125" customWidth="1" style="310" min="6" max="6"/>
    <col width="9.140625" customWidth="1" style="310" min="7" max="10"/>
    <col width="13.5703125" customWidth="1" style="310" min="11" max="11"/>
    <col width="9.140625" customWidth="1" style="310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7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2" t="inlineStr">
        <is>
          <t>Ресурсная модель</t>
        </is>
      </c>
    </row>
    <row r="6">
      <c r="B6" s="216" t="n"/>
      <c r="C6" s="304" t="n"/>
      <c r="D6" s="304" t="n"/>
      <c r="E6" s="304" t="n"/>
    </row>
    <row r="7" ht="25.5" customHeight="1" s="310">
      <c r="B7" s="352" t="inlineStr">
        <is>
          <t xml:space="preserve">Наименование разрабатываемого показателя УНЦ —Расчистка кустарников и мелколесья, вырубка деревьев с диаметром ствола до 11 см, 12 см и более </t>
        </is>
      </c>
    </row>
    <row r="8">
      <c r="B8" s="353" t="inlineStr">
        <is>
          <t>Единица измерения  — 1 га</t>
        </is>
      </c>
    </row>
    <row r="9">
      <c r="B9" s="216" t="n"/>
      <c r="C9" s="304" t="n"/>
      <c r="D9" s="304" t="n"/>
      <c r="E9" s="304" t="n"/>
    </row>
    <row r="10" ht="51" customHeight="1" s="310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73" t="inlineStr">
        <is>
          <t>Оплата труда рабочих</t>
        </is>
      </c>
      <c r="C11" s="210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73" t="inlineStr">
        <is>
          <t>Эксплуатация машин основных</t>
        </is>
      </c>
      <c r="C12" s="210">
        <f>'Прил.5 Расчет СМР и ОБ'!J21</f>
        <v/>
      </c>
      <c r="D12" s="211">
        <f>C12/$C$24</f>
        <v/>
      </c>
      <c r="E12" s="211">
        <f>C12/$C$40</f>
        <v/>
      </c>
    </row>
    <row r="13">
      <c r="B13" s="273" t="inlineStr">
        <is>
          <t>Эксплуатация машин прочих</t>
        </is>
      </c>
      <c r="C13" s="210">
        <f>'Прил.5 Расчет СМР и ОБ'!J24</f>
        <v/>
      </c>
      <c r="D13" s="211">
        <f>C13/$C$24</f>
        <v/>
      </c>
      <c r="E13" s="211">
        <f>C13/$C$40</f>
        <v/>
      </c>
    </row>
    <row r="14">
      <c r="B14" s="273" t="inlineStr">
        <is>
          <t>ЭКСПЛУАТАЦИЯ МАШИН, ВСЕГО:</t>
        </is>
      </c>
      <c r="C14" s="210">
        <f>C13+C12</f>
        <v/>
      </c>
      <c r="D14" s="211">
        <f>C14/$C$24</f>
        <v/>
      </c>
      <c r="E14" s="211">
        <f>C14/$C$40</f>
        <v/>
      </c>
    </row>
    <row r="15">
      <c r="B15" s="273" t="inlineStr">
        <is>
          <t>в том числе зарплата машинистов</t>
        </is>
      </c>
      <c r="C15" s="210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73" t="inlineStr">
        <is>
          <t>Материалы основные</t>
        </is>
      </c>
      <c r="C16" s="210">
        <f>'Прил.5 Расчет СМР и ОБ'!J35</f>
        <v/>
      </c>
      <c r="D16" s="211">
        <f>C16/$C$24</f>
        <v/>
      </c>
      <c r="E16" s="211">
        <f>C16/$C$40</f>
        <v/>
      </c>
    </row>
    <row r="17">
      <c r="B17" s="273" t="inlineStr">
        <is>
          <t>Материалы прочие</t>
        </is>
      </c>
      <c r="C17" s="210">
        <f>'Прил.5 Расчет СМР и ОБ'!J36</f>
        <v/>
      </c>
      <c r="D17" s="211">
        <f>C17/$C$24</f>
        <v/>
      </c>
      <c r="E17" s="211">
        <f>C17/$C$40</f>
        <v/>
      </c>
    </row>
    <row r="18">
      <c r="B18" s="273" t="inlineStr">
        <is>
          <t>МАТЕРИАЛЫ, ВСЕГО:</t>
        </is>
      </c>
      <c r="C18" s="210">
        <f>C17+C16</f>
        <v/>
      </c>
      <c r="D18" s="211">
        <f>C18/$C$24</f>
        <v/>
      </c>
      <c r="E18" s="211">
        <f>C18/$C$40</f>
        <v/>
      </c>
    </row>
    <row r="19">
      <c r="B19" s="273" t="inlineStr">
        <is>
          <t>ИТОГО</t>
        </is>
      </c>
      <c r="C19" s="210">
        <f>C18+C14+C11</f>
        <v/>
      </c>
      <c r="D19" s="211" t="n"/>
      <c r="E19" s="273" t="n"/>
    </row>
    <row r="20">
      <c r="B20" s="273" t="inlineStr">
        <is>
          <t>Сметная прибыль, руб.</t>
        </is>
      </c>
      <c r="C20" s="210">
        <f>ROUND(C21*(C11+C15),2)</f>
        <v/>
      </c>
      <c r="D20" s="211">
        <f>C20/$C$24</f>
        <v/>
      </c>
      <c r="E20" s="211">
        <f>C20/$C$40</f>
        <v/>
      </c>
    </row>
    <row r="21">
      <c r="B21" s="273" t="inlineStr">
        <is>
          <t>Сметная прибыль, %</t>
        </is>
      </c>
      <c r="C21" s="214">
        <f>'Прил.5 Расчет СМР и ОБ'!D40</f>
        <v/>
      </c>
      <c r="D21" s="211" t="n"/>
      <c r="E21" s="273" t="n"/>
    </row>
    <row r="22">
      <c r="B22" s="273" t="inlineStr">
        <is>
          <t>Накладные расходы, руб.</t>
        </is>
      </c>
      <c r="C22" s="210">
        <f>ROUND(C23*(C11+C15),2)</f>
        <v/>
      </c>
      <c r="D22" s="211">
        <f>C22/$C$24</f>
        <v/>
      </c>
      <c r="E22" s="211">
        <f>C22/$C$40</f>
        <v/>
      </c>
    </row>
    <row r="23">
      <c r="B23" s="273" t="inlineStr">
        <is>
          <t>Накладные расходы, %</t>
        </is>
      </c>
      <c r="C23" s="214">
        <f>'Прил.5 Расчет СМР и ОБ'!D39</f>
        <v/>
      </c>
      <c r="D23" s="211" t="n"/>
      <c r="E23" s="273" t="n"/>
    </row>
    <row r="24">
      <c r="B24" s="273" t="inlineStr">
        <is>
          <t>ВСЕГО СМР с НР и СП</t>
        </is>
      </c>
      <c r="C24" s="210">
        <f>C19+C20+C22</f>
        <v/>
      </c>
      <c r="D24" s="211">
        <f>C24/$C$24</f>
        <v/>
      </c>
      <c r="E24" s="211">
        <f>C24/$C$40</f>
        <v/>
      </c>
    </row>
    <row r="25" ht="25.5" customHeight="1" s="310">
      <c r="B25" s="273" t="inlineStr">
        <is>
          <t>ВСЕГО стоимость оборудования, в том числе</t>
        </is>
      </c>
      <c r="C25" s="210">
        <f>'Прил.5 Расчет СМР и ОБ'!J30</f>
        <v/>
      </c>
      <c r="D25" s="211" t="n"/>
      <c r="E25" s="211">
        <f>C25/$C$40</f>
        <v/>
      </c>
    </row>
    <row r="26" ht="25.5" customHeight="1" s="310">
      <c r="B26" s="273" t="inlineStr">
        <is>
          <t>стоимость оборудования технологического</t>
        </is>
      </c>
      <c r="C26" s="210">
        <f>'Прил.5 Расчет СМР и ОБ'!J31</f>
        <v/>
      </c>
      <c r="D26" s="211" t="n"/>
      <c r="E26" s="211">
        <f>C26/$C$40</f>
        <v/>
      </c>
    </row>
    <row r="27">
      <c r="B27" s="273" t="inlineStr">
        <is>
          <t>ИТОГО (СМР + ОБОРУДОВАНИЕ)</t>
        </is>
      </c>
      <c r="C27" s="284">
        <f>C24+C25</f>
        <v/>
      </c>
      <c r="D27" s="211" t="n"/>
      <c r="E27" s="211">
        <f>C27/$C$40</f>
        <v/>
      </c>
    </row>
    <row r="28" ht="33" customHeight="1" s="310">
      <c r="B28" s="273" t="inlineStr">
        <is>
          <t>ПРОЧ. ЗАТР., УЧТЕННЫЕ ПОКАЗАТЕЛЕМ,  в том числе</t>
        </is>
      </c>
      <c r="C28" s="273" t="n"/>
      <c r="D28" s="273" t="n"/>
      <c r="E28" s="273" t="n"/>
      <c r="F28" s="212" t="n"/>
    </row>
    <row r="29" ht="25.5" customHeight="1" s="310">
      <c r="B29" s="273" t="inlineStr">
        <is>
          <t>Временные здания и сооружения - 3,3%</t>
        </is>
      </c>
      <c r="C29" s="284">
        <f>ROUND(C24*3.3%,2)</f>
        <v/>
      </c>
      <c r="D29" s="273" t="n"/>
      <c r="E29" s="211">
        <f>C29/$C$40</f>
        <v/>
      </c>
    </row>
    <row r="30" ht="38.25" customHeight="1" s="310">
      <c r="B30" s="273" t="inlineStr">
        <is>
          <t>Дополнительные затраты при производстве строительно-монтажных работ в зимнее время - 1,0%</t>
        </is>
      </c>
      <c r="C30" s="284">
        <f>ROUND((C24+C29)*1%,2)</f>
        <v/>
      </c>
      <c r="D30" s="273" t="n"/>
      <c r="E30" s="211">
        <f>C30/$C$40</f>
        <v/>
      </c>
      <c r="F30" s="212" t="n"/>
    </row>
    <row r="31">
      <c r="B31" s="290" t="inlineStr">
        <is>
          <t>Пусконаладочные работы</t>
        </is>
      </c>
      <c r="C31" s="291" t="n">
        <v>0</v>
      </c>
      <c r="D31" s="290" t="n"/>
      <c r="E31" s="211">
        <f>C31/$C$40</f>
        <v/>
      </c>
    </row>
    <row r="32" ht="25.5" customHeight="1" s="310">
      <c r="B32" s="273" t="inlineStr">
        <is>
          <t>Затраты по перевозке работников к месту работы и обратно</t>
        </is>
      </c>
      <c r="C32" s="284" t="n">
        <v>0</v>
      </c>
      <c r="D32" s="273" t="n"/>
      <c r="E32" s="211">
        <f>C32/$C$40</f>
        <v/>
      </c>
    </row>
    <row r="33" ht="25.5" customHeight="1" s="310">
      <c r="B33" s="273" t="inlineStr">
        <is>
          <t>Затраты, связанные с осуществлением работ вахтовым методом</t>
        </is>
      </c>
      <c r="C33" s="284">
        <f>ROUND($C$27*0,2)</f>
        <v/>
      </c>
      <c r="D33" s="273" t="n"/>
      <c r="E33" s="211">
        <f>C33/$C$40</f>
        <v/>
      </c>
    </row>
    <row r="34" ht="51" customHeight="1" s="310">
      <c r="B34" s="27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73" t="n"/>
      <c r="E34" s="211">
        <f>C34/$C$40</f>
        <v/>
      </c>
      <c r="G34" s="218" t="n"/>
    </row>
    <row r="35" ht="76.5" customHeight="1" s="310">
      <c r="B35" s="27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 t="n">
        <v>0</v>
      </c>
      <c r="D35" s="273" t="n"/>
      <c r="E35" s="211">
        <f>C35/$C$40</f>
        <v/>
      </c>
    </row>
    <row r="36" ht="25.5" customHeight="1" s="310">
      <c r="B36" s="273" t="inlineStr">
        <is>
          <t>Строительный контроль и содержание службы заказчика - 1,72%</t>
        </is>
      </c>
      <c r="C36" s="284">
        <f>ROUND((C27+C32+C33+C34+C35+C29+C31+C30)*1.72%,2)</f>
        <v/>
      </c>
      <c r="D36" s="273" t="n"/>
      <c r="E36" s="211">
        <f>C36/$C$40</f>
        <v/>
      </c>
      <c r="K36" s="212" t="n"/>
    </row>
    <row r="37">
      <c r="B37" s="273" t="inlineStr">
        <is>
          <t>Авторский надзор - 0,2%</t>
        </is>
      </c>
      <c r="C37" s="284">
        <f>ROUND((C27+C32+C33+C34+C35+C29+C31+C30)*0.2%,2)</f>
        <v/>
      </c>
      <c r="D37" s="273" t="n"/>
      <c r="E37" s="211">
        <f>C37/$C$40</f>
        <v/>
      </c>
      <c r="K37" s="212" t="n"/>
    </row>
    <row r="38" ht="38.25" customHeight="1" s="310">
      <c r="B38" s="273" t="inlineStr">
        <is>
          <t>ИТОГО (СМР+ОБОРУДОВАНИЕ+ПРОЧ. ЗАТР., УЧТЕННЫЕ ПОКАЗАТЕЛЕМ)</t>
        </is>
      </c>
      <c r="C38" s="210">
        <f>C27+C32+C33+C34+C35+C29+C31+C30+C36+C37</f>
        <v/>
      </c>
      <c r="D38" s="273" t="n"/>
      <c r="E38" s="211">
        <f>C38/$C$40</f>
        <v/>
      </c>
    </row>
    <row r="39" ht="13.5" customHeight="1" s="310">
      <c r="B39" s="273" t="inlineStr">
        <is>
          <t>Непредвиденные расходы</t>
        </is>
      </c>
      <c r="C39" s="210">
        <f>ROUND(C38*3%,2)</f>
        <v/>
      </c>
      <c r="D39" s="273" t="n"/>
      <c r="E39" s="211">
        <f>C39/$C$38</f>
        <v/>
      </c>
    </row>
    <row r="40">
      <c r="B40" s="273" t="inlineStr">
        <is>
          <t>ВСЕГО:</t>
        </is>
      </c>
      <c r="C40" s="210">
        <f>C39+C38</f>
        <v/>
      </c>
      <c r="D40" s="273" t="n"/>
      <c r="E40" s="211">
        <f>C40/$C$40</f>
        <v/>
      </c>
    </row>
    <row r="41">
      <c r="B41" s="273" t="inlineStr">
        <is>
          <t>ИТОГО ПОКАЗАТЕЛЬ НА ЕД. ИЗМ.</t>
        </is>
      </c>
      <c r="C41" s="210">
        <f>C40/'Прил.5 Расчет СМР и ОБ'!E43</f>
        <v/>
      </c>
      <c r="D41" s="273" t="n"/>
      <c r="E41" s="273" t="n"/>
    </row>
    <row r="42">
      <c r="B42" s="286" t="n"/>
      <c r="C42" s="304" t="n"/>
      <c r="D42" s="304" t="n"/>
      <c r="E42" s="304" t="n"/>
    </row>
    <row r="43">
      <c r="B43" s="286" t="inlineStr">
        <is>
          <t>Составил ____________________________ Д.А. Самуйленко</t>
        </is>
      </c>
      <c r="C43" s="304" t="n"/>
      <c r="D43" s="304" t="n"/>
      <c r="E43" s="304" t="n"/>
    </row>
    <row r="44">
      <c r="B44" s="286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86" t="n"/>
      <c r="C45" s="304" t="n"/>
      <c r="D45" s="304" t="n"/>
      <c r="E45" s="304" t="n"/>
    </row>
    <row r="46">
      <c r="B46" s="286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5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9"/>
  <sheetViews>
    <sheetView tabSelected="1" view="pageBreakPreview" topLeftCell="A25" zoomScaleSheetLayoutView="100" workbookViewId="0">
      <selection activeCell="M56" sqref="M56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10" min="13" max="13"/>
  </cols>
  <sheetData>
    <row r="1" s="310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0">
      <c r="A2" s="305" t="n"/>
      <c r="B2" s="305" t="n"/>
      <c r="C2" s="305" t="n"/>
      <c r="D2" s="305" t="n"/>
      <c r="E2" s="305" t="n"/>
      <c r="F2" s="305" t="n"/>
      <c r="G2" s="305" t="n"/>
      <c r="H2" s="369" t="inlineStr">
        <is>
          <t>Приложение №5</t>
        </is>
      </c>
      <c r="K2" s="305" t="n"/>
      <c r="L2" s="305" t="n"/>
      <c r="M2" s="305" t="n"/>
      <c r="N2" s="305" t="n"/>
    </row>
    <row r="3" s="310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2" t="inlineStr">
        <is>
          <t>Расчет стоимости СМР и оборудования</t>
        </is>
      </c>
    </row>
    <row r="5" ht="12.75" customFormat="1" customHeight="1" s="304">
      <c r="A5" s="332" t="n"/>
      <c r="B5" s="332" t="n"/>
      <c r="C5" s="381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304">
      <c r="A6" s="235" t="inlineStr">
        <is>
          <t>Наименование разрабатываемого показателя УНЦ</t>
        </is>
      </c>
      <c r="B6" s="236" t="n"/>
      <c r="C6" s="236" t="n"/>
      <c r="D6" s="335" t="inlineStr">
        <is>
          <t xml:space="preserve">Расчистка кустарников и мелколесья, вырубка деревьев с диаметром ствола до 11 см, 12 см и более </t>
        </is>
      </c>
    </row>
    <row r="7" ht="12.75" customFormat="1" customHeight="1" s="304">
      <c r="A7" s="335" t="inlineStr">
        <is>
          <t>Единица измерения  — 1 га</t>
        </is>
      </c>
      <c r="I7" s="352" t="n"/>
      <c r="J7" s="352" t="n"/>
    </row>
    <row r="8" ht="13.5" customFormat="1" customHeight="1" s="304">
      <c r="A8" s="335" t="n"/>
    </row>
    <row r="9" ht="27" customHeight="1" s="310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27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27" t="n"/>
      <c r="K9" s="305" t="n"/>
      <c r="L9" s="305" t="n"/>
      <c r="M9" s="305" t="n"/>
      <c r="N9" s="305" t="n"/>
    </row>
    <row r="10" ht="28.5" customHeight="1" s="310">
      <c r="A10" s="429" t="n"/>
      <c r="B10" s="429" t="n"/>
      <c r="C10" s="429" t="n"/>
      <c r="D10" s="429" t="n"/>
      <c r="E10" s="429" t="n"/>
      <c r="F10" s="361" t="inlineStr">
        <is>
          <t>на ед. изм.</t>
        </is>
      </c>
      <c r="G10" s="361" t="inlineStr">
        <is>
          <t>общая</t>
        </is>
      </c>
      <c r="H10" s="429" t="n"/>
      <c r="I10" s="361" t="inlineStr">
        <is>
          <t>на ед. изм.</t>
        </is>
      </c>
      <c r="J10" s="361" t="inlineStr">
        <is>
          <t>общая</t>
        </is>
      </c>
      <c r="K10" s="305" t="n"/>
      <c r="L10" s="305" t="n"/>
      <c r="M10" s="305" t="n"/>
      <c r="N10" s="305" t="n"/>
    </row>
    <row r="11" s="310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5" t="n">
        <v>9</v>
      </c>
      <c r="J11" s="355" t="n">
        <v>10</v>
      </c>
      <c r="K11" s="305" t="n"/>
      <c r="L11" s="305" t="n"/>
      <c r="M11" s="305" t="n"/>
      <c r="N11" s="305" t="n"/>
    </row>
    <row r="12">
      <c r="A12" s="361" t="n"/>
      <c r="B12" s="359" t="inlineStr">
        <is>
          <t>Затраты труда рабочих-строителей</t>
        </is>
      </c>
      <c r="C12" s="426" t="n"/>
      <c r="D12" s="426" t="n"/>
      <c r="E12" s="426" t="n"/>
      <c r="F12" s="426" t="n"/>
      <c r="G12" s="426" t="n"/>
      <c r="H12" s="427" t="n"/>
      <c r="I12" s="186" t="n"/>
      <c r="J12" s="186" t="n"/>
    </row>
    <row r="13" ht="25.5" customHeight="1" s="310">
      <c r="A13" s="361" t="n">
        <v>1</v>
      </c>
      <c r="B13" s="272" t="inlineStr">
        <is>
          <t>1-3-0</t>
        </is>
      </c>
      <c r="C13" s="360" t="inlineStr">
        <is>
          <t>Затраты труда рабочих-строителей среднего разряда (3,0)</t>
        </is>
      </c>
      <c r="D13" s="361" t="inlineStr">
        <is>
          <t>чел.-ч.</t>
        </is>
      </c>
      <c r="E13" s="432">
        <f>G13/F13</f>
        <v/>
      </c>
      <c r="F13" s="193" t="n">
        <v>8.529999999999999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05">
      <c r="A14" s="361" t="n"/>
      <c r="B14" s="361" t="n"/>
      <c r="C14" s="359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32">
        <f>SUM(E13:E13)</f>
        <v/>
      </c>
      <c r="F14" s="193" t="n"/>
      <c r="G14" s="193">
        <f>SUM(G13:G13)</f>
        <v/>
      </c>
      <c r="H14" s="364" t="n">
        <v>1</v>
      </c>
      <c r="I14" s="186" t="n"/>
      <c r="J14" s="193">
        <f>SUM(J13:J13)</f>
        <v/>
      </c>
    </row>
    <row r="15" ht="14.25" customFormat="1" customHeight="1" s="305">
      <c r="A15" s="361" t="n"/>
      <c r="B15" s="360" t="inlineStr">
        <is>
          <t>Затраты труда машинистов</t>
        </is>
      </c>
      <c r="C15" s="426" t="n"/>
      <c r="D15" s="426" t="n"/>
      <c r="E15" s="426" t="n"/>
      <c r="F15" s="426" t="n"/>
      <c r="G15" s="426" t="n"/>
      <c r="H15" s="427" t="n"/>
      <c r="I15" s="186" t="n"/>
      <c r="J15" s="186" t="n"/>
    </row>
    <row r="16" ht="14.25" customFormat="1" customHeight="1" s="305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277" t="n">
        <v>124.79</v>
      </c>
      <c r="F16" s="193">
        <f>G16/E16</f>
        <v/>
      </c>
      <c r="G16" s="193">
        <f>Прил.3!H16</f>
        <v/>
      </c>
      <c r="H16" s="364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05">
      <c r="A17" s="361" t="n"/>
      <c r="B17" s="359" t="inlineStr">
        <is>
          <t>Машины и механизмы</t>
        </is>
      </c>
      <c r="C17" s="426" t="n"/>
      <c r="D17" s="426" t="n"/>
      <c r="E17" s="426" t="n"/>
      <c r="F17" s="426" t="n"/>
      <c r="G17" s="426" t="n"/>
      <c r="H17" s="427" t="n"/>
      <c r="I17" s="186" t="n"/>
      <c r="J17" s="186" t="n"/>
    </row>
    <row r="18" ht="14.25" customFormat="1" customHeight="1" s="305">
      <c r="A18" s="361" t="n"/>
      <c r="B18" s="360" t="inlineStr">
        <is>
          <t>Основные 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186" t="n"/>
      <c r="J18" s="186" t="n"/>
    </row>
    <row r="19" ht="38.25" customFormat="1" customHeight="1" s="305">
      <c r="A19" s="361" t="n">
        <v>3</v>
      </c>
      <c r="B19" s="361" t="inlineStr">
        <is>
          <t>91.01.05-063</t>
        </is>
      </c>
      <c r="C19" s="360" t="inlineStr">
        <is>
          <t>Экскаваторы на гусеничном ходу импортного производства, емкость ковша 0,4 м3</t>
        </is>
      </c>
      <c r="D19" s="361" t="inlineStr">
        <is>
          <t>маш.-ч.</t>
        </is>
      </c>
      <c r="E19" s="362" t="n">
        <v>226.692927</v>
      </c>
      <c r="F19" s="282" t="n">
        <v>158.83</v>
      </c>
      <c r="G19" s="193">
        <f>ROUND(E19*F19,2)</f>
        <v/>
      </c>
      <c r="H19" s="195">
        <f>G19/$G$25</f>
        <v/>
      </c>
      <c r="I19" s="193">
        <f>ROUND(F19*Прил.10!$D$12,2)</f>
        <v/>
      </c>
      <c r="J19" s="193">
        <f>ROUND(I19*E19,2)</f>
        <v/>
      </c>
    </row>
    <row r="20" ht="14.25" customFormat="1" customHeight="1" s="305">
      <c r="A20" s="361" t="n">
        <v>4</v>
      </c>
      <c r="B20" s="361" t="inlineStr">
        <is>
          <t>91.01.01-035</t>
        </is>
      </c>
      <c r="C20" s="360" t="inlineStr">
        <is>
          <t>Бульдозеры, мощность 79 кВт (108 л.с.)</t>
        </is>
      </c>
      <c r="D20" s="361" t="inlineStr">
        <is>
          <t>маш.-ч.</t>
        </is>
      </c>
      <c r="E20" s="362" t="n">
        <v>70.6735104</v>
      </c>
      <c r="F20" s="282" t="n">
        <v>79.06999999999999</v>
      </c>
      <c r="G20" s="193">
        <f>ROUND(E20*F20,2)</f>
        <v/>
      </c>
      <c r="H20" s="195">
        <f>G20/$G$25</f>
        <v/>
      </c>
      <c r="I20" s="193">
        <f>ROUND(F20*Прил.10!$D$12,2)</f>
        <v/>
      </c>
      <c r="J20" s="193">
        <f>ROUND(I20*E20,2)</f>
        <v/>
      </c>
    </row>
    <row r="21" ht="14.25" customFormat="1" customHeight="1" s="305">
      <c r="A21" s="361" t="n"/>
      <c r="B21" s="361" t="n"/>
      <c r="C21" s="360" t="inlineStr">
        <is>
          <t>Итого основные машины и механизмы</t>
        </is>
      </c>
      <c r="D21" s="361" t="n"/>
      <c r="E21" s="432" t="n"/>
      <c r="F21" s="193" t="n"/>
      <c r="G21" s="193">
        <f>SUM(G19:G20)</f>
        <v/>
      </c>
      <c r="H21" s="364">
        <f>G21/G25</f>
        <v/>
      </c>
      <c r="I21" s="187" t="n"/>
      <c r="J21" s="193">
        <f>SUM(J19:J20)</f>
        <v/>
      </c>
    </row>
    <row r="22" outlineLevel="1" ht="14.25" customFormat="1" customHeight="1" s="305">
      <c r="A22" s="361" t="n">
        <v>5</v>
      </c>
      <c r="B22" s="361" t="inlineStr">
        <is>
          <t>91.01.01-038</t>
        </is>
      </c>
      <c r="C22" s="360" t="inlineStr">
        <is>
          <t>Бульдозеры, мощность 121 кВт (165 л.с.)</t>
        </is>
      </c>
      <c r="D22" s="361" t="inlineStr">
        <is>
          <t>маш.-ч.</t>
        </is>
      </c>
      <c r="E22" s="362" t="n">
        <v>19.3474633</v>
      </c>
      <c r="F22" s="282" t="n">
        <v>122.4</v>
      </c>
      <c r="G22" s="193">
        <f>ROUND(E22*F22,2)</f>
        <v/>
      </c>
      <c r="H22" s="195">
        <f>G22/$G$25</f>
        <v/>
      </c>
      <c r="I22" s="193">
        <f>ROUND(F22*Прил.10!$D$12,2)</f>
        <v/>
      </c>
      <c r="J22" s="193">
        <f>ROUND(I22*E22,2)</f>
        <v/>
      </c>
    </row>
    <row r="23" outlineLevel="1" ht="14.25" customFormat="1" customHeight="1" s="305">
      <c r="A23" s="361" t="n">
        <v>6</v>
      </c>
      <c r="B23" s="361" t="inlineStr">
        <is>
          <t>91.01.01-039</t>
        </is>
      </c>
      <c r="C23" s="360" t="inlineStr">
        <is>
          <t>Бульдозеры, мощность 132 кВт (180 л.с.)</t>
        </is>
      </c>
      <c r="D23" s="361" t="inlineStr">
        <is>
          <t>маш.-ч.</t>
        </is>
      </c>
      <c r="E23" s="362" t="n">
        <v>1.9554845</v>
      </c>
      <c r="F23" s="282" t="n">
        <v>132.79</v>
      </c>
      <c r="G23" s="193">
        <f>ROUND(E23*F23,2)</f>
        <v/>
      </c>
      <c r="H23" s="195">
        <f>G23/$G$25</f>
        <v/>
      </c>
      <c r="I23" s="193">
        <f>ROUND(F23*Прил.10!$D$12,2)</f>
        <v/>
      </c>
      <c r="J23" s="193">
        <f>ROUND(I23*E23,2)</f>
        <v/>
      </c>
    </row>
    <row r="24" ht="14.25" customFormat="1" customHeight="1" s="305">
      <c r="A24" s="361" t="n"/>
      <c r="B24" s="361" t="n"/>
      <c r="C24" s="360" t="inlineStr">
        <is>
          <t>Итого прочие машины и механизмы</t>
        </is>
      </c>
      <c r="D24" s="361" t="n"/>
      <c r="E24" s="362" t="n"/>
      <c r="F24" s="193" t="n"/>
      <c r="G24" s="187">
        <f>SUM(G22:G23)</f>
        <v/>
      </c>
      <c r="H24" s="195">
        <f>G24/G25</f>
        <v/>
      </c>
      <c r="I24" s="193" t="n"/>
      <c r="J24" s="193">
        <f>SUM(J22:J23)</f>
        <v/>
      </c>
    </row>
    <row r="25" ht="25.5" customFormat="1" customHeight="1" s="305">
      <c r="A25" s="361" t="n"/>
      <c r="B25" s="361" t="n"/>
      <c r="C25" s="359" t="inlineStr">
        <is>
          <t>Итого по разделу «Машины и механизмы»</t>
        </is>
      </c>
      <c r="D25" s="361" t="n"/>
      <c r="E25" s="362" t="n"/>
      <c r="F25" s="193" t="n"/>
      <c r="G25" s="193">
        <f>G24+G21</f>
        <v/>
      </c>
      <c r="H25" s="180" t="n">
        <v>1</v>
      </c>
      <c r="I25" s="181" t="n"/>
      <c r="J25" s="202">
        <f>J24+J21</f>
        <v/>
      </c>
    </row>
    <row r="26" ht="14.25" customFormat="1" customHeight="1" s="305">
      <c r="A26" s="361" t="n"/>
      <c r="B26" s="359" t="inlineStr">
        <is>
          <t>Оборудование</t>
        </is>
      </c>
      <c r="C26" s="426" t="n"/>
      <c r="D26" s="426" t="n"/>
      <c r="E26" s="426" t="n"/>
      <c r="F26" s="426" t="n"/>
      <c r="G26" s="426" t="n"/>
      <c r="H26" s="427" t="n"/>
      <c r="I26" s="186" t="n"/>
      <c r="J26" s="186" t="n"/>
    </row>
    <row r="27">
      <c r="A27" s="361" t="n"/>
      <c r="B27" s="360" t="inlineStr">
        <is>
          <t>Основное оборудование</t>
        </is>
      </c>
      <c r="C27" s="426" t="n"/>
      <c r="D27" s="426" t="n"/>
      <c r="E27" s="426" t="n"/>
      <c r="F27" s="426" t="n"/>
      <c r="G27" s="426" t="n"/>
      <c r="H27" s="427" t="n"/>
      <c r="I27" s="186" t="n"/>
      <c r="J27" s="186" t="n"/>
      <c r="K27" s="305" t="n"/>
      <c r="L27" s="305" t="n"/>
    </row>
    <row r="28">
      <c r="A28" s="361" t="n"/>
      <c r="B28" s="361" t="n"/>
      <c r="C28" s="360" t="inlineStr">
        <is>
          <t>Итого основное оборудование</t>
        </is>
      </c>
      <c r="D28" s="361" t="n"/>
      <c r="E28" s="432" t="n"/>
      <c r="F28" s="363" t="n"/>
      <c r="G28" s="193" t="n">
        <v>0</v>
      </c>
      <c r="H28" s="195" t="n">
        <v>0</v>
      </c>
      <c r="I28" s="187" t="n"/>
      <c r="J28" s="193" t="n">
        <v>0</v>
      </c>
      <c r="K28" s="305" t="n"/>
      <c r="L28" s="305" t="n"/>
    </row>
    <row r="29">
      <c r="A29" s="361" t="n"/>
      <c r="B29" s="361" t="n"/>
      <c r="C29" s="360" t="inlineStr">
        <is>
          <t>Итого прочее оборудование</t>
        </is>
      </c>
      <c r="D29" s="361" t="n"/>
      <c r="E29" s="432" t="n"/>
      <c r="F29" s="363" t="n"/>
      <c r="G29" s="193" t="n">
        <v>0</v>
      </c>
      <c r="H29" s="195" t="n">
        <v>0</v>
      </c>
      <c r="I29" s="187" t="n"/>
      <c r="J29" s="193" t="n">
        <v>0</v>
      </c>
      <c r="K29" s="305" t="n"/>
      <c r="L29" s="305" t="n"/>
    </row>
    <row r="30">
      <c r="A30" s="361" t="n"/>
      <c r="B30" s="361" t="n"/>
      <c r="C30" s="359" t="inlineStr">
        <is>
          <t>Итого по разделу «Оборудование»</t>
        </is>
      </c>
      <c r="D30" s="361" t="n"/>
      <c r="E30" s="362" t="n"/>
      <c r="F30" s="363" t="n"/>
      <c r="G30" s="193">
        <f>G28+G29</f>
        <v/>
      </c>
      <c r="H30" s="364" t="n">
        <v>0</v>
      </c>
      <c r="I30" s="187" t="n"/>
      <c r="J30" s="193">
        <f>J29+J28</f>
        <v/>
      </c>
      <c r="K30" s="305" t="n"/>
      <c r="L30" s="305" t="n"/>
    </row>
    <row r="31" ht="25.5" customHeight="1" s="310">
      <c r="A31" s="361" t="n"/>
      <c r="B31" s="361" t="n"/>
      <c r="C31" s="360" t="inlineStr">
        <is>
          <t>в том числе технологическое оборудование</t>
        </is>
      </c>
      <c r="D31" s="361" t="n"/>
      <c r="E31" s="431" t="n"/>
      <c r="F31" s="363" t="n"/>
      <c r="G31" s="193">
        <f>'Прил.6 Расчет ОБ'!G12</f>
        <v/>
      </c>
      <c r="H31" s="364" t="n"/>
      <c r="I31" s="187" t="n"/>
      <c r="J31" s="193">
        <f>ROUND(G31*Прил.10!D14,2)</f>
        <v/>
      </c>
      <c r="K31" s="305" t="n"/>
      <c r="L31" s="305" t="n"/>
    </row>
    <row r="32" ht="14.25" customFormat="1" customHeight="1" s="305">
      <c r="A32" s="361" t="n"/>
      <c r="B32" s="359" t="inlineStr">
        <is>
          <t>Материалы</t>
        </is>
      </c>
      <c r="C32" s="426" t="n"/>
      <c r="D32" s="426" t="n"/>
      <c r="E32" s="426" t="n"/>
      <c r="F32" s="426" t="n"/>
      <c r="G32" s="426" t="n"/>
      <c r="H32" s="427" t="n"/>
      <c r="I32" s="186" t="n"/>
      <c r="J32" s="186" t="n"/>
    </row>
    <row r="33" ht="14.25" customFormat="1" customHeight="1" s="305">
      <c r="A33" s="355" t="n"/>
      <c r="B33" s="354" t="inlineStr">
        <is>
          <t>Основные материалы</t>
        </is>
      </c>
      <c r="C33" s="433" t="n"/>
      <c r="D33" s="433" t="n"/>
      <c r="E33" s="433" t="n"/>
      <c r="F33" s="433" t="n"/>
      <c r="G33" s="433" t="n"/>
      <c r="H33" s="434" t="n"/>
      <c r="I33" s="197" t="n"/>
      <c r="J33" s="197" t="n"/>
    </row>
    <row r="34" ht="25.5" customFormat="1" customHeight="1" s="305">
      <c r="A34" s="361" t="n">
        <v>7</v>
      </c>
      <c r="B34" s="361" t="inlineStr">
        <is>
          <t>01.3.01.08-0002</t>
        </is>
      </c>
      <c r="C34" s="360" t="inlineStr">
        <is>
          <t>Топливо дизельное из малосернистых нефтей</t>
        </is>
      </c>
      <c r="D34" s="361" t="inlineStr">
        <is>
          <t>т</t>
        </is>
      </c>
      <c r="E34" s="431" t="n">
        <v>9.9481135</v>
      </c>
      <c r="F34" s="363" t="n">
        <v>6250</v>
      </c>
      <c r="G34" s="193">
        <f>ROUND(E34*F34,2)</f>
        <v/>
      </c>
      <c r="H34" s="195">
        <f>G34/$G$37</f>
        <v/>
      </c>
      <c r="I34" s="193">
        <f>ROUND(F34*Прил.10!$D$13,2)</f>
        <v/>
      </c>
      <c r="J34" s="193">
        <f>ROUND(I34*E34,2)</f>
        <v/>
      </c>
    </row>
    <row r="35" ht="14.25" customFormat="1" customHeight="1" s="305">
      <c r="A35" s="361" t="n"/>
      <c r="B35" s="198" t="n"/>
      <c r="C35" s="199" t="inlineStr">
        <is>
          <t>Итого основные материалы</t>
        </is>
      </c>
      <c r="D35" s="372" t="n"/>
      <c r="E35" s="435" t="n"/>
      <c r="F35" s="202" t="n"/>
      <c r="G35" s="202">
        <f>SUM(G34)</f>
        <v/>
      </c>
      <c r="H35" s="195">
        <f>G35/$G$37</f>
        <v/>
      </c>
      <c r="I35" s="193" t="n"/>
      <c r="J35" s="202">
        <f>SUM(J34)</f>
        <v/>
      </c>
      <c r="K35" s="26" t="n"/>
      <c r="L35" s="26" t="n"/>
    </row>
    <row r="36" ht="14.25" customFormat="1" customHeight="1" s="305">
      <c r="A36" s="361" t="n"/>
      <c r="B36" s="361" t="n"/>
      <c r="C36" s="360" t="inlineStr">
        <is>
          <t>Итого прочие материалы</t>
        </is>
      </c>
      <c r="D36" s="361" t="n"/>
      <c r="E36" s="362" t="n"/>
      <c r="F36" s="363" t="n"/>
      <c r="G36" s="193" t="n">
        <v>0</v>
      </c>
      <c r="H36" s="195">
        <f>G36/$G$37</f>
        <v/>
      </c>
      <c r="I36" s="193" t="n"/>
      <c r="J36" s="193" t="n">
        <v>0</v>
      </c>
    </row>
    <row r="37" ht="14.25" customFormat="1" customHeight="1" s="305">
      <c r="A37" s="361" t="n"/>
      <c r="B37" s="361" t="n"/>
      <c r="C37" s="359" t="inlineStr">
        <is>
          <t>Итого по разделу «Материалы»</t>
        </is>
      </c>
      <c r="D37" s="361" t="n"/>
      <c r="E37" s="362" t="n"/>
      <c r="F37" s="363" t="n"/>
      <c r="G37" s="193">
        <f>G35+G36</f>
        <v/>
      </c>
      <c r="H37" s="364">
        <f>G37/$G$37</f>
        <v/>
      </c>
      <c r="I37" s="193" t="n"/>
      <c r="J37" s="193">
        <f>J35+J36</f>
        <v/>
      </c>
    </row>
    <row r="38" ht="14.25" customFormat="1" customHeight="1" s="305">
      <c r="A38" s="361" t="n"/>
      <c r="B38" s="361" t="n"/>
      <c r="C38" s="360" t="inlineStr">
        <is>
          <t>ИТОГО ПО РМ</t>
        </is>
      </c>
      <c r="D38" s="361" t="n"/>
      <c r="E38" s="362" t="n"/>
      <c r="F38" s="363" t="n"/>
      <c r="G38" s="193">
        <f>G14+G25+G37</f>
        <v/>
      </c>
      <c r="H38" s="364" t="n"/>
      <c r="I38" s="193" t="n"/>
      <c r="J38" s="193">
        <f>J14+J25+J37</f>
        <v/>
      </c>
    </row>
    <row r="39" ht="14.25" customFormat="1" customHeight="1" s="305">
      <c r="A39" s="361" t="n"/>
      <c r="B39" s="361" t="n"/>
      <c r="C39" s="360" t="inlineStr">
        <is>
          <t>Накладные расходы</t>
        </is>
      </c>
      <c r="D39" s="189">
        <f>ROUND(G39/(G$16+$G$14),2)</f>
        <v/>
      </c>
      <c r="E39" s="362" t="n"/>
      <c r="F39" s="363" t="n"/>
      <c r="G39" s="193" t="n">
        <v>67667</v>
      </c>
      <c r="H39" s="364" t="n"/>
      <c r="I39" s="193" t="n"/>
      <c r="J39" s="193">
        <f>ROUND(D39*(J14+J16),2)</f>
        <v/>
      </c>
    </row>
    <row r="40" ht="14.25" customFormat="1" customHeight="1" s="305">
      <c r="A40" s="361" t="n"/>
      <c r="B40" s="361" t="n"/>
      <c r="C40" s="360" t="inlineStr">
        <is>
          <t>Сметная прибыль</t>
        </is>
      </c>
      <c r="D40" s="189">
        <f>ROUND(G40/(G$14+G$16),2)</f>
        <v/>
      </c>
      <c r="E40" s="362" t="n"/>
      <c r="F40" s="363" t="n"/>
      <c r="G40" s="193" t="n">
        <v>31357</v>
      </c>
      <c r="H40" s="364" t="n"/>
      <c r="I40" s="193" t="n"/>
      <c r="J40" s="193">
        <f>ROUND(D40*(J14+J16),2)</f>
        <v/>
      </c>
    </row>
    <row r="41" ht="14.25" customFormat="1" customHeight="1" s="305">
      <c r="A41" s="361" t="n"/>
      <c r="B41" s="361" t="n"/>
      <c r="C41" s="360" t="inlineStr">
        <is>
          <t>Итого СМР (с НР и СП)</t>
        </is>
      </c>
      <c r="D41" s="361" t="n"/>
      <c r="E41" s="362" t="n"/>
      <c r="F41" s="363" t="n"/>
      <c r="G41" s="193">
        <f>G14+G25+G37+G39+G40</f>
        <v/>
      </c>
      <c r="H41" s="364" t="n"/>
      <c r="I41" s="193" t="n"/>
      <c r="J41" s="193">
        <f>J14+J25+J37+J39+J40</f>
        <v/>
      </c>
    </row>
    <row r="42" ht="14.25" customFormat="1" customHeight="1" s="305">
      <c r="A42" s="361" t="n"/>
      <c r="B42" s="361" t="n"/>
      <c r="C42" s="360" t="inlineStr">
        <is>
          <t>ВСЕГО СМР + ОБОРУДОВАНИЕ</t>
        </is>
      </c>
      <c r="D42" s="361" t="n"/>
      <c r="E42" s="362" t="n"/>
      <c r="F42" s="363" t="n"/>
      <c r="G42" s="193">
        <f>G41+G30</f>
        <v/>
      </c>
      <c r="H42" s="364" t="n"/>
      <c r="I42" s="193" t="n"/>
      <c r="J42" s="193">
        <f>J41+J30</f>
        <v/>
      </c>
    </row>
    <row r="43" ht="14.25" customFormat="1" customHeight="1" s="305">
      <c r="A43" s="361" t="n"/>
      <c r="B43" s="361" t="n"/>
      <c r="C43" s="360" t="inlineStr">
        <is>
          <t>ИТОГО ПОКАЗАТЕЛЬ НА ЕД. ИЗМ.</t>
        </is>
      </c>
      <c r="D43" s="361" t="inlineStr">
        <is>
          <t>га</t>
        </is>
      </c>
      <c r="E43" s="436" t="n">
        <v>27.85</v>
      </c>
      <c r="F43" s="363" t="n"/>
      <c r="G43" s="193">
        <f>G42/E43</f>
        <v/>
      </c>
      <c r="H43" s="364" t="n"/>
      <c r="I43" s="193" t="n"/>
      <c r="J43" s="193">
        <f>J42/E43</f>
        <v/>
      </c>
    </row>
    <row r="45" ht="14.25" customFormat="1" customHeight="1" s="305">
      <c r="A45" s="304" t="inlineStr">
        <is>
          <t>Составил ______________________    Д.А. Самуйленко</t>
        </is>
      </c>
    </row>
    <row r="46" ht="14.25" customFormat="1" customHeight="1" s="305">
      <c r="A46" s="307" t="inlineStr">
        <is>
          <t xml:space="preserve">                         (подпись, инициалы, фамилия)</t>
        </is>
      </c>
    </row>
    <row r="47" ht="14.25" customFormat="1" customHeight="1" s="305">
      <c r="A47" s="304" t="n"/>
    </row>
    <row r="48" ht="14.25" customFormat="1" customHeight="1" s="305">
      <c r="A48" s="304" t="inlineStr">
        <is>
          <t>Проверил ______________________        А.В. Костянецкая</t>
        </is>
      </c>
    </row>
    <row r="49" ht="14.25" customFormat="1" customHeight="1" s="305">
      <c r="A49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16" sqref="C16:D16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73" t="inlineStr">
        <is>
          <t>Приложение №6</t>
        </is>
      </c>
    </row>
    <row r="2" ht="21.75" customHeight="1" s="310">
      <c r="A2" s="373" t="n"/>
      <c r="B2" s="373" t="n"/>
      <c r="C2" s="373" t="n"/>
      <c r="D2" s="373" t="n"/>
      <c r="E2" s="373" t="n"/>
      <c r="F2" s="373" t="n"/>
      <c r="G2" s="373" t="n"/>
    </row>
    <row r="3">
      <c r="A3" s="332" t="inlineStr">
        <is>
          <t>Расчет стоимости оборудования</t>
        </is>
      </c>
    </row>
    <row r="4" ht="25.5" customHeight="1" s="310">
      <c r="A4" s="335" t="inlineStr">
        <is>
          <t xml:space="preserve">Наименование разрабатываемого показателя УНЦ — Расчистка кустарников и мелколесья, вырубка деревьев с диаметром ствола до 11 см, 12 см и более 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0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61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10">
      <c r="A9" s="273" t="n"/>
      <c r="B9" s="360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10">
      <c r="A10" s="361" t="n"/>
      <c r="B10" s="359" t="n"/>
      <c r="C10" s="360" t="inlineStr">
        <is>
          <t>ИТОГО ИНЖЕНЕРНОЕ ОБОРУДОВАНИЕ</t>
        </is>
      </c>
      <c r="D10" s="359" t="n"/>
      <c r="E10" s="142" t="n"/>
      <c r="F10" s="363" t="n"/>
      <c r="G10" s="193" t="n">
        <v>0</v>
      </c>
    </row>
    <row r="11">
      <c r="A11" s="361" t="n"/>
      <c r="B11" s="360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10">
      <c r="A12" s="361" t="n"/>
      <c r="B12" s="360" t="n"/>
      <c r="C12" s="360" t="inlineStr">
        <is>
          <t>ИТОГО ТЕХНОЛОГИЧЕСКОЕ ОБОРУДОВАНИЕ</t>
        </is>
      </c>
      <c r="D12" s="360" t="n"/>
      <c r="E12" s="377" t="n"/>
      <c r="F12" s="363" t="n"/>
      <c r="G12" s="193" t="n">
        <v>0</v>
      </c>
    </row>
    <row r="13" ht="19.5" customHeight="1" s="310">
      <c r="A13" s="361" t="n"/>
      <c r="B13" s="360" t="n"/>
      <c r="C13" s="360" t="inlineStr">
        <is>
          <t>Всего по разделу «Оборудование»</t>
        </is>
      </c>
      <c r="D13" s="360" t="n"/>
      <c r="E13" s="377" t="n"/>
      <c r="F13" s="363" t="n"/>
      <c r="G13" s="193">
        <f>G10+G12</f>
        <v/>
      </c>
    </row>
    <row r="14">
      <c r="A14" s="306" t="n"/>
      <c r="B14" s="228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Д.А. Самуйленко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0" min="1" max="1"/>
    <col width="34.85546875" customWidth="1" style="310" min="2" max="2"/>
    <col width="33.5703125" customWidth="1" style="310" min="3" max="3"/>
    <col width="47.28515625" customWidth="1" style="310" min="4" max="4"/>
    <col width="9.14062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299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47.25" customHeight="1" s="310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310">
      <c r="A6" s="312" t="inlineStr">
        <is>
          <t>Единица измерения  — 1 га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310">
      <c r="A10" s="344" t="n">
        <v>1</v>
      </c>
      <c r="B10" s="344" t="n">
        <v>2</v>
      </c>
      <c r="C10" s="344" t="n">
        <v>3</v>
      </c>
      <c r="D10" s="344" t="n">
        <v>4</v>
      </c>
    </row>
    <row r="11" ht="63" customHeight="1" s="310">
      <c r="A11" s="344" t="inlineStr">
        <is>
          <t>Б7-02</t>
        </is>
      </c>
      <c r="B11" s="344" t="inlineStr">
        <is>
          <t xml:space="preserve">УНЦ на вырубку (расширение, расчистку) просеки ВЛ (для всех субъектов Российской Федерации) </t>
        </is>
      </c>
      <c r="C11" s="308">
        <f>D5</f>
        <v/>
      </c>
      <c r="D11" s="318">
        <f>'Прил.4 РМ'!C41/1000</f>
        <v/>
      </c>
    </row>
    <row r="13">
      <c r="A13" s="304" t="inlineStr">
        <is>
          <t>Составил ______________________     Д.А. Самуйленко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0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RowHeight="15"/>
  <cols>
    <col width="9.140625" customWidth="1" style="310" min="1" max="1"/>
    <col width="40.7109375" customWidth="1" style="310" min="2" max="2"/>
    <col width="38.5703125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39" t="inlineStr">
        <is>
          <t>Приложение № 10</t>
        </is>
      </c>
    </row>
    <row r="5" ht="18.75" customHeight="1" s="310">
      <c r="B5" s="163" t="n"/>
    </row>
    <row r="6" ht="15.75" customHeight="1" s="310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310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10">
      <c r="B10" s="344" t="n">
        <v>1</v>
      </c>
      <c r="C10" s="344" t="n">
        <v>2</v>
      </c>
      <c r="D10" s="344" t="n">
        <v>3</v>
      </c>
    </row>
    <row r="11" ht="31.5" customHeight="1" s="310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прил.1</t>
        </is>
      </c>
      <c r="D11" s="344" t="n">
        <v>46.83</v>
      </c>
    </row>
    <row r="12" ht="31.5" customHeight="1" s="310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прил.1</t>
        </is>
      </c>
      <c r="D12" s="344" t="n">
        <v>11.96</v>
      </c>
    </row>
    <row r="13" ht="31.5" customHeight="1" s="310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прил.1</t>
        </is>
      </c>
      <c r="D13" s="344" t="n">
        <v>9.84</v>
      </c>
    </row>
    <row r="14" ht="31.5" customHeight="1" s="310">
      <c r="B14" s="344" t="inlineStr">
        <is>
          <t>Индекс изменения сметной стоимости на 1 квартал 2023 года. ОБ</t>
        </is>
      </c>
      <c r="C14" s="344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10">
      <c r="B15" s="344" t="inlineStr">
        <is>
          <t>Временные здания и сооружения</t>
        </is>
      </c>
      <c r="C15" s="3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5" t="n">
        <v>0.033</v>
      </c>
    </row>
    <row r="16" ht="78.75" customHeight="1" s="310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0.01</v>
      </c>
    </row>
    <row r="17" ht="15.75" customHeight="1" s="310">
      <c r="B17" s="344" t="inlineStr">
        <is>
          <t>Пусконаладочные работы*</t>
        </is>
      </c>
      <c r="C17" s="344" t="n"/>
      <c r="D17" s="344" t="inlineStr">
        <is>
          <t>Расчет</t>
        </is>
      </c>
    </row>
    <row r="18" ht="31.5" customHeight="1" s="310">
      <c r="B18" s="344" t="inlineStr">
        <is>
          <t>Строительный контроль</t>
        </is>
      </c>
      <c r="C18" s="344" t="inlineStr">
        <is>
          <t>Постановление Правительства РФ от 21.06.10 г. № 468</t>
        </is>
      </c>
      <c r="D18" s="165" t="n">
        <v>0.0214</v>
      </c>
    </row>
    <row r="19" ht="31.5" customHeight="1" s="310">
      <c r="B19" s="344" t="inlineStr">
        <is>
          <t>Авторский надзор - 0,2%</t>
        </is>
      </c>
      <c r="C19" s="344" t="inlineStr">
        <is>
          <t>Приказ от 4.08.2020 № 421/пр п.173</t>
        </is>
      </c>
      <c r="D19" s="165" t="n">
        <v>0.002</v>
      </c>
    </row>
    <row r="20" ht="24" customHeight="1" s="310">
      <c r="B20" s="344" t="inlineStr">
        <is>
          <t>Непредвиденные расходы</t>
        </is>
      </c>
      <c r="C20" s="344" t="inlineStr">
        <is>
          <t>Приказ от 4.08.2020 № 421/пр п.179</t>
        </is>
      </c>
      <c r="D20" s="165" t="n">
        <v>0.03</v>
      </c>
    </row>
    <row r="21" ht="18.75" customHeight="1" s="310">
      <c r="B21" s="229" t="n"/>
    </row>
    <row r="22" ht="18.75" customHeight="1" s="310">
      <c r="B22" s="229" t="n"/>
    </row>
    <row r="23" ht="18.75" customHeight="1" s="310">
      <c r="B23" s="229" t="n"/>
    </row>
    <row r="24" ht="18.75" customHeight="1" s="310">
      <c r="B24" s="229" t="n"/>
    </row>
    <row r="27">
      <c r="B27" s="304" t="inlineStr">
        <is>
          <t>Составил ______________________        Д.А. Самуйленко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15" sqref="R15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4" t="inlineStr">
        <is>
          <t>С1ср</t>
        </is>
      </c>
      <c r="D7" s="344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44" t="inlineStr">
        <is>
          <t>tср</t>
        </is>
      </c>
      <c r="D8" s="344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44" t="inlineStr">
        <is>
          <t>Кув</t>
        </is>
      </c>
      <c r="D9" s="344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44" t="n"/>
      <c r="D10" s="344" t="n"/>
      <c r="E10" s="437" t="n">
        <v>3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44" t="inlineStr">
        <is>
          <t>КТ</t>
        </is>
      </c>
      <c r="D11" s="344" t="inlineStr">
        <is>
          <t>-</t>
        </is>
      </c>
      <c r="E11" s="438" t="n">
        <v>1.19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439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n"/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2025-01-24T11:54:24Z</dcterms:modified>
  <cp:lastModifiedBy>REDMIBOOK</cp:lastModifiedBy>
  <cp:lastPrinted>2023-12-01T12:53:58Z</cp:lastPrinted>
</cp:coreProperties>
</file>