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ОБ'!$A$1:$J$54</definedName>
    <definedName name="_xlnm.Print_Area" localSheetId="5">'Прил.6 Расчет ОБ'!$A$1:$G$19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"/>
    <numFmt numFmtId="169" formatCode="0.000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167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0" fontId="17" fillId="0" borderId="2" applyAlignment="1" pivotButton="0" quotePrefix="0" xfId="0">
      <alignment horizontal="justify" vertical="center" wrapText="1"/>
    </xf>
    <xf numFmtId="10" fontId="17" fillId="0" borderId="0" pivotButton="0" quotePrefix="0" xfId="0"/>
    <xf numFmtId="0" fontId="17" fillId="0" borderId="5" applyAlignment="1" pivotButton="0" quotePrefix="0" xfId="0">
      <alignment horizontal="center" vertical="center" wrapText="1"/>
    </xf>
    <xf numFmtId="168" fontId="17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right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10" fontId="1" fillId="0" borderId="0" pivotButton="0" quotePrefix="0" xfId="0"/>
    <xf numFmtId="2" fontId="21" fillId="0" borderId="6" applyAlignment="1" pivotButton="0" quotePrefix="0" xfId="0">
      <alignment horizontal="center" vertical="center"/>
    </xf>
    <xf numFmtId="10" fontId="21" fillId="0" borderId="7" applyAlignment="1" pivotButton="0" quotePrefix="0" xfId="0">
      <alignment horizontal="right" vertical="center"/>
    </xf>
    <xf numFmtId="10" fontId="1" fillId="0" borderId="8" applyAlignment="1" pivotButton="0" quotePrefix="0" xfId="0">
      <alignment horizontal="center" vertical="center"/>
    </xf>
    <xf numFmtId="10" fontId="1" fillId="0" borderId="9" applyAlignment="1" pivotButton="0" quotePrefix="0" xfId="0">
      <alignment horizontal="center" vertical="center"/>
    </xf>
    <xf numFmtId="10" fontId="1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center"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11" applyAlignment="1" pivotButton="0" quotePrefix="0" xfId="0">
      <alignment horizontal="right" vertical="center" wrapText="1"/>
    </xf>
    <xf numFmtId="0" fontId="19" fillId="0" borderId="1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3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4" pivotButton="0" quotePrefix="0" xfId="0"/>
    <xf numFmtId="168" fontId="17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166" fontId="1" fillId="0" borderId="4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6" zoomScale="60" zoomScaleNormal="55" workbookViewId="0">
      <selection activeCell="E29" sqref="E28:E29"/>
    </sheetView>
  </sheetViews>
  <sheetFormatPr baseColWidth="8" defaultColWidth="9.140625" defaultRowHeight="15.75"/>
  <cols>
    <col width="9.140625" customWidth="1" style="321" min="1" max="2"/>
    <col width="36.85546875" customWidth="1" style="321" min="3" max="3"/>
    <col width="36.5703125" customWidth="1" style="321" min="4" max="6"/>
    <col width="9.140625" customWidth="1" style="321" min="7" max="7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>
      <c r="B5" s="360" t="n"/>
      <c r="C5" s="360" t="n"/>
      <c r="D5" s="360" t="n"/>
      <c r="E5" s="360" t="n"/>
      <c r="F5" s="360" t="n"/>
    </row>
    <row r="6">
      <c r="B6" s="360" t="n"/>
      <c r="C6" s="360" t="n"/>
      <c r="D6" s="360" t="n"/>
      <c r="E6" s="360" t="n"/>
      <c r="F6" s="360" t="n"/>
    </row>
    <row r="7" ht="36.75" customHeight="1" s="319">
      <c r="B7" s="350" t="inlineStr">
        <is>
          <t>Наименование разрабатываемого показателя УНЦ — Расчистка кустарников и мелколесья, вырубка деревьев и корчевка пней с диаметром ствола до 11 см, 12 см и более</t>
        </is>
      </c>
    </row>
    <row r="8">
      <c r="B8" s="350" t="inlineStr">
        <is>
          <t>Сопоставимый уровень цен: 1 квартал 2022 года</t>
        </is>
      </c>
    </row>
    <row r="9">
      <c r="B9" s="350" t="inlineStr">
        <is>
          <t>Единица измерения  — 1 га</t>
        </is>
      </c>
    </row>
    <row r="10">
      <c r="B10" s="350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 1</t>
        </is>
      </c>
      <c r="E11" s="354" t="inlineStr">
        <is>
          <t>Объект-представитель 2</t>
        </is>
      </c>
      <c r="F11" s="354" t="inlineStr">
        <is>
          <t>Объект-представитель 3</t>
        </is>
      </c>
    </row>
    <row r="12" ht="47.25" customHeight="1" s="319">
      <c r="B12" s="354" t="n">
        <v>1</v>
      </c>
      <c r="C12" s="333" t="inlineStr">
        <is>
          <t>Наименование объекта-представителя</t>
        </is>
      </c>
      <c r="D12" s="354" t="inlineStr">
        <is>
          <t>Строительство ВЛ 220 кВ Комсомольская - Старт № 1 с отпайкой на ПС ГПП-4</t>
        </is>
      </c>
      <c r="E12" s="354" t="inlineStr">
        <is>
          <t>Строительство заходов ВЛ 220 кВ Урушат/т-Ерофей Павлович/т в РУ 220 кВ ПС 220 кВ Сгибеево/т</t>
        </is>
      </c>
      <c r="F12" s="333" t="n"/>
    </row>
    <row r="13" ht="31.5" customHeight="1" s="319">
      <c r="B13" s="354" t="n">
        <v>2</v>
      </c>
      <c r="C13" s="333" t="inlineStr">
        <is>
          <t>Наименование субъекта Российской Федерации</t>
        </is>
      </c>
      <c r="D13" s="354" t="inlineStr">
        <is>
          <t>Хабаровский край</t>
        </is>
      </c>
      <c r="E13" s="354" t="inlineStr">
        <is>
          <t>Амурская область</t>
        </is>
      </c>
      <c r="F13" s="333" t="n"/>
    </row>
    <row r="14">
      <c r="B14" s="354" t="n">
        <v>3</v>
      </c>
      <c r="C14" s="333" t="inlineStr">
        <is>
          <t>Климатический район и подрайон</t>
        </is>
      </c>
      <c r="D14" s="354" t="inlineStr">
        <is>
          <t>IВ</t>
        </is>
      </c>
      <c r="E14" s="354" t="inlineStr">
        <is>
          <t>IА</t>
        </is>
      </c>
      <c r="F14" s="333" t="n"/>
    </row>
    <row r="15">
      <c r="B15" s="354" t="n">
        <v>4</v>
      </c>
      <c r="C15" s="333" t="inlineStr">
        <is>
          <t>Мощность объекта</t>
        </is>
      </c>
      <c r="D15" s="354" t="n">
        <v>46.03</v>
      </c>
      <c r="E15" s="354" t="n">
        <v>25.8</v>
      </c>
      <c r="F15" s="328" t="n"/>
    </row>
    <row r="16" ht="102.75" customHeight="1" s="319">
      <c r="B16" s="354" t="n">
        <v>5</v>
      </c>
      <c r="C16" s="24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Валка 49615 деревьев
Корчневка 1819 пней
Срезка 47796 пней</t>
        </is>
      </c>
      <c r="E16" s="354" t="inlineStr">
        <is>
          <t>Валка 24314 деревьев
Корчневка 4230 пней</t>
        </is>
      </c>
      <c r="F16" s="333" t="n"/>
    </row>
    <row r="17" ht="78.75" customHeight="1" s="319">
      <c r="B17" s="354" t="n">
        <v>6</v>
      </c>
      <c r="C17" s="24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316">
        <f>SUM(E18:E21)</f>
        <v/>
      </c>
      <c r="F17" s="316" t="n"/>
    </row>
    <row r="18">
      <c r="B18" s="254" t="inlineStr">
        <is>
          <t>6.1</t>
        </is>
      </c>
      <c r="C18" s="333" t="inlineStr">
        <is>
          <t>строительно-монтажные работы</t>
        </is>
      </c>
      <c r="D18" s="316" t="n">
        <v>15442.52</v>
      </c>
      <c r="E18" s="316" t="n">
        <v>2575.13</v>
      </c>
      <c r="F18" s="316" t="n"/>
    </row>
    <row r="19" ht="15.75" customHeight="1" s="319">
      <c r="B19" s="254" t="inlineStr">
        <is>
          <t>6.2</t>
        </is>
      </c>
      <c r="C19" s="333" t="inlineStr">
        <is>
          <t>оборудование и инвентарь</t>
        </is>
      </c>
      <c r="D19" s="316" t="n">
        <v>0</v>
      </c>
      <c r="E19" s="316" t="n">
        <v>0</v>
      </c>
      <c r="F19" s="316" t="n"/>
    </row>
    <row r="20" ht="16.5" customHeight="1" s="319">
      <c r="B20" s="254" t="inlineStr">
        <is>
          <t>6.3</t>
        </is>
      </c>
      <c r="C20" s="333" t="inlineStr">
        <is>
          <t>пусконаладочные работы</t>
        </is>
      </c>
      <c r="D20" s="316" t="n">
        <v>0</v>
      </c>
      <c r="E20" s="316" t="n">
        <v>0</v>
      </c>
      <c r="F20" s="316" t="n"/>
    </row>
    <row r="21" ht="35.25" customHeight="1" s="319">
      <c r="B21" s="254" t="inlineStr">
        <is>
          <t>6.4</t>
        </is>
      </c>
      <c r="C21" s="243" t="inlineStr">
        <is>
          <t>прочие и лимитированные затраты</t>
        </is>
      </c>
      <c r="D21" s="316">
        <f>D18*3.3%+(D18+D18*3.3%)*4%*0.9</f>
        <v/>
      </c>
      <c r="E21" s="316">
        <f>E18*3.3%+(E18+E18*3.3%)*2.7%*0.9</f>
        <v/>
      </c>
      <c r="F21" s="316" t="n"/>
    </row>
    <row r="22">
      <c r="B22" s="354" t="n">
        <v>7</v>
      </c>
      <c r="C22" s="243" t="inlineStr">
        <is>
          <t>Сопоставимый уровень цен</t>
        </is>
      </c>
      <c r="D22" s="354" t="inlineStr">
        <is>
          <t>1 квартал 2022 года</t>
        </is>
      </c>
      <c r="E22" s="354" t="inlineStr">
        <is>
          <t>1 квартал 2022 года</t>
        </is>
      </c>
      <c r="F22" s="316" t="n"/>
    </row>
    <row r="23" ht="123" customHeight="1" s="319">
      <c r="B23" s="354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545786.19/1000*10.43+((545786.19/1000*3.3%)+(545786.19/1000+545786.19/1000*3.3%)*4%*0.9)*10.43</f>
        <v/>
      </c>
      <c r="E23" s="316">
        <f>E17/8.55*10.43</f>
        <v/>
      </c>
      <c r="F23" s="434" t="n"/>
    </row>
    <row r="24" ht="60.75" customHeight="1" s="319">
      <c r="B24" s="354" t="n">
        <v>9</v>
      </c>
      <c r="C24" s="240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316">
        <f>E23/E15</f>
        <v/>
      </c>
      <c r="F24" s="316" t="n"/>
    </row>
    <row r="25" ht="128.25" customHeight="1" s="319">
      <c r="B25" s="354" t="n">
        <v>10</v>
      </c>
      <c r="C25" s="333" t="inlineStr">
        <is>
          <t>Примечание</t>
        </is>
      </c>
      <c r="D25" s="333" t="n"/>
      <c r="E25" s="354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га</t>
        </is>
      </c>
      <c r="F25" s="333" t="n"/>
    </row>
    <row r="26">
      <c r="B26" s="220" t="n"/>
      <c r="C26" s="221" t="n"/>
      <c r="D26" s="221" t="n"/>
      <c r="E26" s="221" t="n"/>
      <c r="F26" s="221" t="n"/>
    </row>
    <row r="27" ht="37.5" customHeight="1" s="319">
      <c r="B27" s="223" t="n"/>
    </row>
    <row r="28">
      <c r="B28" s="321" t="inlineStr">
        <is>
          <t>Составил ______________________        Д.А. Самуйленко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5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zoomScale="70" zoomScaleNormal="70" workbookViewId="0">
      <selection activeCell="F28" sqref="F28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48" t="inlineStr">
        <is>
          <t>Приложение № 2</t>
        </is>
      </c>
      <c r="K3" s="223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360" t="n"/>
      <c r="C5" s="360" t="n"/>
      <c r="D5" s="360" t="n"/>
      <c r="E5" s="360" t="n"/>
      <c r="F5" s="360" t="n"/>
      <c r="G5" s="360" t="n"/>
      <c r="H5" s="360" t="n"/>
      <c r="I5" s="360" t="n"/>
      <c r="J5" s="360" t="n"/>
      <c r="K5" s="360" t="n"/>
    </row>
    <row r="6">
      <c r="B6" s="356" t="inlineStr">
        <is>
          <t xml:space="preserve">Наименование разрабатываемого показателя УНЦ —  Расчистка кустарников и мелколесья, вырубка деревьев с диаметром ствола до 11 см, 12 см и более </t>
        </is>
      </c>
      <c r="K6" s="223" t="n"/>
      <c r="L6" s="231" t="n"/>
    </row>
    <row r="7">
      <c r="B7" s="350" t="inlineStr">
        <is>
          <t>Единица измерения  — 1 га</t>
        </is>
      </c>
      <c r="L7" s="231" t="n"/>
    </row>
    <row r="8">
      <c r="B8" s="350" t="n"/>
    </row>
    <row r="9" ht="15.75" customHeight="1" s="319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9">
      <c r="B10" s="437" t="n"/>
      <c r="C10" s="43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2021 г., тыс. руб.</t>
        </is>
      </c>
      <c r="G10" s="435" t="n"/>
      <c r="H10" s="435" t="n"/>
      <c r="I10" s="435" t="n"/>
      <c r="J10" s="436" t="n"/>
    </row>
    <row r="11" ht="31.5" customHeight="1" s="319">
      <c r="B11" s="438" t="n"/>
      <c r="C11" s="438" t="n"/>
      <c r="D11" s="438" t="n"/>
      <c r="E11" s="43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78.75" customHeight="1" s="319">
      <c r="B12" s="261" t="n">
        <v>1</v>
      </c>
      <c r="C12" s="354" t="inlineStr">
        <is>
          <t>Валка 49615 деревьев
Корчневка 1819 пней
Срезка 47796 пней</t>
        </is>
      </c>
      <c r="D12" s="254" t="inlineStr">
        <is>
          <t>01-01-10 изм. 1</t>
        </is>
      </c>
      <c r="E12" s="328" t="inlineStr">
        <is>
          <t>Строительство ВЛ 220 кВ Комсомольская - Старт № 1 с отпайкой на ПС ГПП-4. Вырубка просеки</t>
        </is>
      </c>
      <c r="F12" s="317">
        <f>15442643/1000</f>
        <v/>
      </c>
      <c r="G12" s="260" t="n"/>
      <c r="H12" s="260" t="n"/>
      <c r="I12" s="262" t="n"/>
      <c r="J12" s="318">
        <f>SUM(F12:I12)</f>
        <v/>
      </c>
    </row>
    <row r="13" ht="15.75" customHeight="1" s="319">
      <c r="B13" s="355" t="inlineStr">
        <is>
          <t>Всего по объекту:</t>
        </is>
      </c>
      <c r="C13" s="435" t="n"/>
      <c r="D13" s="435" t="n"/>
      <c r="E13" s="436" t="n"/>
      <c r="F13" s="263">
        <f>SUM(F12:F12)</f>
        <v/>
      </c>
      <c r="G13" s="263">
        <f>SUM(G12:G12)</f>
        <v/>
      </c>
      <c r="H13" s="263">
        <f>SUM(H12:H12)</f>
        <v/>
      </c>
      <c r="I13" s="264" t="n"/>
      <c r="J13" s="265">
        <f>SUM(F13:I13)</f>
        <v/>
      </c>
    </row>
    <row r="14" ht="28.5" customHeight="1" s="319">
      <c r="B14" s="355" t="inlineStr">
        <is>
          <t>Всего по объекту в сопоставимом уровне цен 4 кв. 2021 г:</t>
        </is>
      </c>
      <c r="C14" s="435" t="n"/>
      <c r="D14" s="435" t="n"/>
      <c r="E14" s="436" t="n"/>
      <c r="F14" s="263">
        <f>F13</f>
        <v/>
      </c>
      <c r="G14" s="263">
        <f>G13</f>
        <v/>
      </c>
      <c r="H14" s="263">
        <f>H13</f>
        <v/>
      </c>
      <c r="I14" s="264" t="n"/>
      <c r="J14" s="265">
        <f>SUM(F14:I14)</f>
        <v/>
      </c>
    </row>
    <row r="15">
      <c r="B15" s="350" t="n"/>
      <c r="C15" s="321" t="n"/>
      <c r="D15" s="321" t="n"/>
      <c r="E15" s="321" t="n"/>
      <c r="F15" s="321" t="n"/>
      <c r="G15" s="321" t="n"/>
      <c r="H15" s="321" t="n"/>
      <c r="I15" s="321" t="n"/>
      <c r="J15" s="321" t="n"/>
    </row>
    <row r="16">
      <c r="B16" s="354" t="inlineStr">
        <is>
          <t>№ п/п</t>
        </is>
      </c>
      <c r="C16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54" t="inlineStr">
        <is>
          <t>Объект-представитель 2</t>
        </is>
      </c>
      <c r="E16" s="435" t="n"/>
      <c r="F16" s="435" t="n"/>
      <c r="G16" s="435" t="n"/>
      <c r="H16" s="435" t="n"/>
      <c r="I16" s="435" t="n"/>
      <c r="J16" s="436" t="n"/>
    </row>
    <row r="17" ht="15.75" customHeight="1" s="319">
      <c r="B17" s="437" t="n"/>
      <c r="C17" s="437" t="n"/>
      <c r="D17" s="354" t="inlineStr">
        <is>
          <t>Номер сметы</t>
        </is>
      </c>
      <c r="E17" s="354" t="inlineStr">
        <is>
          <t>Наименование сметы</t>
        </is>
      </c>
      <c r="F17" s="354" t="inlineStr">
        <is>
          <t>Сметная стоимость в уровне цен 4 кв. 2018 г., тыс. руб.</t>
        </is>
      </c>
      <c r="G17" s="435" t="n"/>
      <c r="H17" s="435" t="n"/>
      <c r="I17" s="435" t="n"/>
      <c r="J17" s="436" t="n"/>
    </row>
    <row r="18" ht="31.5" customHeight="1" s="319">
      <c r="B18" s="438" t="n"/>
      <c r="C18" s="438" t="n"/>
      <c r="D18" s="438" t="n"/>
      <c r="E18" s="438" t="n"/>
      <c r="F18" s="354" t="inlineStr">
        <is>
          <t>Строительные работы</t>
        </is>
      </c>
      <c r="G18" s="354" t="inlineStr">
        <is>
          <t>Монтажные работы</t>
        </is>
      </c>
      <c r="H18" s="354" t="inlineStr">
        <is>
          <t>Оборудование</t>
        </is>
      </c>
      <c r="I18" s="354" t="inlineStr">
        <is>
          <t>Прочее</t>
        </is>
      </c>
      <c r="J18" s="354" t="inlineStr">
        <is>
          <t>Всего</t>
        </is>
      </c>
    </row>
    <row r="19" ht="31.5" customHeight="1" s="319">
      <c r="B19" s="261" t="n">
        <v>1</v>
      </c>
      <c r="C19" s="354" t="inlineStr">
        <is>
          <t>Валка 24314 деревьев
Корчневка 4230 пней</t>
        </is>
      </c>
      <c r="D19" s="323" t="inlineStr">
        <is>
          <t>01-01-01</t>
        </is>
      </c>
      <c r="E19" s="333" t="inlineStr">
        <is>
          <t xml:space="preserve">Лесоочистительные работы </t>
        </is>
      </c>
      <c r="F19" s="317">
        <f>301185/1000*8.55</f>
        <v/>
      </c>
      <c r="G19" s="262" t="n"/>
      <c r="H19" s="262" t="n"/>
      <c r="I19" s="262" t="n"/>
      <c r="J19" s="318">
        <f>SUM(F19:I19)</f>
        <v/>
      </c>
    </row>
    <row r="20" ht="15.75" customHeight="1" s="319">
      <c r="B20" s="355" t="inlineStr">
        <is>
          <t>Всего по объекту:</t>
        </is>
      </c>
      <c r="C20" s="435" t="n"/>
      <c r="D20" s="435" t="n"/>
      <c r="E20" s="436" t="n"/>
      <c r="F20" s="263">
        <f>SUM(F19:F19)</f>
        <v/>
      </c>
      <c r="G20" s="263">
        <f>SUM(G19:G19)</f>
        <v/>
      </c>
      <c r="H20" s="263">
        <f>SUM(H19:H19)</f>
        <v/>
      </c>
      <c r="I20" s="264" t="n"/>
      <c r="J20" s="265">
        <f>SUM(F20:I20)</f>
        <v/>
      </c>
    </row>
    <row r="21" ht="28.5" customHeight="1" s="319">
      <c r="B21" s="355" t="inlineStr">
        <is>
          <t>Всего по объекту в сопоставимом уровне цен 4 кв. 2018 г:</t>
        </is>
      </c>
      <c r="C21" s="435" t="n"/>
      <c r="D21" s="435" t="n"/>
      <c r="E21" s="436" t="n"/>
      <c r="F21" s="263">
        <f>F20</f>
        <v/>
      </c>
      <c r="G21" s="263">
        <f>G20</f>
        <v/>
      </c>
      <c r="H21" s="263">
        <f>H20</f>
        <v/>
      </c>
      <c r="I21" s="264" t="n"/>
      <c r="J21" s="265">
        <f>SUM(F21:I21)</f>
        <v/>
      </c>
    </row>
    <row r="24">
      <c r="B24" s="363" t="n"/>
    </row>
    <row r="28">
      <c r="B28" s="321" t="inlineStr">
        <is>
          <t>Составил ______________________        Д.А. Самуйленко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"/>
  <sheetViews>
    <sheetView view="pageBreakPreview" zoomScale="55" zoomScaleSheetLayoutView="55" workbookViewId="0">
      <selection activeCell="N27" sqref="N27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252" min="5" max="5"/>
    <col width="20.7109375" customWidth="1" style="321" min="6" max="6"/>
    <col width="16.140625" customWidth="1" style="321" min="7" max="7"/>
    <col width="15" customWidth="1" style="321" min="8" max="8"/>
    <col hidden="1" width="9.140625" customWidth="1" style="321" min="9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252" t="n"/>
      <c r="F2" s="321" t="n"/>
      <c r="G2" s="321" t="n"/>
      <c r="H2" s="321" t="n"/>
      <c r="I2" s="321" t="n"/>
      <c r="J2" s="321" t="n"/>
      <c r="K2" s="321" t="n"/>
      <c r="L2" s="321" t="n"/>
    </row>
    <row r="3" s="319">
      <c r="A3" s="321" t="n"/>
      <c r="B3" s="321" t="n"/>
      <c r="C3" s="321" t="n"/>
      <c r="D3" s="321" t="n"/>
      <c r="E3" s="252" t="n"/>
      <c r="F3" s="321" t="n"/>
      <c r="G3" s="321" t="n"/>
      <c r="H3" s="321" t="n"/>
      <c r="I3" s="321" t="n"/>
      <c r="J3" s="321" t="n"/>
      <c r="K3" s="321" t="n"/>
      <c r="L3" s="321" t="n"/>
    </row>
    <row r="4">
      <c r="A4" s="348" t="inlineStr">
        <is>
          <t xml:space="preserve">Приложение № 3 </t>
        </is>
      </c>
    </row>
    <row r="5">
      <c r="A5" s="349" t="inlineStr">
        <is>
          <t>Объектная ресурсная ведомость</t>
        </is>
      </c>
    </row>
    <row r="6">
      <c r="A6" s="350" t="n"/>
    </row>
    <row r="7">
      <c r="A7" s="360" t="inlineStr">
        <is>
          <t xml:space="preserve">Наименование разрабатываемого показателя УНЦ - Расчистка кустарников и мелколесья, вырубка деревьев с диаметром ствола до 11 см, 12 см и более </t>
        </is>
      </c>
    </row>
    <row r="8">
      <c r="A8" s="356" t="n"/>
      <c r="B8" s="356" t="n"/>
      <c r="C8" s="356" t="n"/>
      <c r="D8" s="356" t="n"/>
      <c r="E8" s="360" t="n"/>
      <c r="F8" s="356" t="n"/>
      <c r="G8" s="356" t="n"/>
      <c r="H8" s="356" t="n"/>
    </row>
    <row r="9" ht="38.25" customHeight="1" s="319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36" t="n"/>
    </row>
    <row r="10" ht="40.5" customHeight="1" s="319">
      <c r="A10" s="438" t="n"/>
      <c r="B10" s="438" t="n"/>
      <c r="C10" s="438" t="n"/>
      <c r="D10" s="438" t="n"/>
      <c r="E10" s="438" t="n"/>
      <c r="F10" s="438" t="n"/>
      <c r="G10" s="354" t="inlineStr">
        <is>
          <t>на ед.изм.</t>
        </is>
      </c>
      <c r="H10" s="354" t="inlineStr">
        <is>
          <t>общая</t>
        </is>
      </c>
    </row>
    <row r="11" ht="16.5" customHeight="1" s="319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ht="16.5" customFormat="1" customHeight="1" s="303">
      <c r="A12" s="357" t="inlineStr">
        <is>
          <t>Затраты труда рабочих</t>
        </is>
      </c>
      <c r="B12" s="435" t="n"/>
      <c r="C12" s="435" t="n"/>
      <c r="D12" s="435" t="n"/>
      <c r="E12" s="436" t="n"/>
      <c r="F12" s="278">
        <f>SUM(F13:F13)</f>
        <v/>
      </c>
      <c r="G12" s="207" t="n"/>
      <c r="H12" s="278">
        <f>SUM(H13:H13)</f>
        <v/>
      </c>
      <c r="J12" s="287">
        <f>K12/F12</f>
        <v/>
      </c>
      <c r="K12" s="308">
        <f>SUM(K13:K13)</f>
        <v/>
      </c>
    </row>
    <row r="13">
      <c r="A13" s="274" t="n">
        <v>1</v>
      </c>
      <c r="B13" s="269" t="inlineStr">
        <is>
          <t> </t>
        </is>
      </c>
      <c r="C13" s="270" t="inlineStr">
        <is>
          <t>1-3-0</t>
        </is>
      </c>
      <c r="D13" s="271" t="inlineStr">
        <is>
          <t>Затраты труда рабочих (средний разряд 3,0)</t>
        </is>
      </c>
      <c r="E13" s="274" t="inlineStr">
        <is>
          <t>чел.-ч</t>
        </is>
      </c>
      <c r="F13" s="12" t="n">
        <v>10468.926611958</v>
      </c>
      <c r="G13" s="272" t="n">
        <v>8.529999999999999</v>
      </c>
      <c r="H13" s="272">
        <f>ROUND(F13*G13,2)</f>
        <v/>
      </c>
      <c r="J13" s="285" t="n">
        <v>2.8</v>
      </c>
      <c r="K13" s="308">
        <f>F13*J13</f>
        <v/>
      </c>
      <c r="L13" s="439" t="n"/>
    </row>
    <row r="14">
      <c r="A14" s="357" t="inlineStr">
        <is>
          <t>Затраты труда машинистов</t>
        </is>
      </c>
      <c r="B14" s="435" t="n"/>
      <c r="C14" s="435" t="n"/>
      <c r="D14" s="435" t="n"/>
      <c r="E14" s="436" t="n"/>
      <c r="F14" s="207" t="n"/>
      <c r="G14" s="207" t="n"/>
      <c r="H14" s="278">
        <f>H15</f>
        <v/>
      </c>
      <c r="J14" s="308" t="n"/>
      <c r="K14" s="308" t="n"/>
    </row>
    <row r="15">
      <c r="A15" s="274" t="n">
        <v>2</v>
      </c>
      <c r="B15" s="273" t="inlineStr">
        <is>
          <t> </t>
        </is>
      </c>
      <c r="C15" s="366" t="n">
        <v>2</v>
      </c>
      <c r="D15" s="271" t="inlineStr">
        <is>
          <t>Затраты труда машинистов</t>
        </is>
      </c>
      <c r="E15" s="274" t="inlineStr">
        <is>
          <t>чел.-ч</t>
        </is>
      </c>
      <c r="F15" s="12" t="n">
        <v>799.452</v>
      </c>
      <c r="G15" s="272" t="n">
        <v>0</v>
      </c>
      <c r="H15" s="272" t="n">
        <v>8912.91</v>
      </c>
      <c r="J15" s="308" t="n"/>
      <c r="K15" s="308" t="n"/>
    </row>
    <row r="16" ht="16.5" customFormat="1" customHeight="1" s="303">
      <c r="A16" s="357" t="inlineStr">
        <is>
          <t>Машины и механизмы</t>
        </is>
      </c>
      <c r="B16" s="435" t="n"/>
      <c r="C16" s="435" t="n"/>
      <c r="D16" s="435" t="n"/>
      <c r="E16" s="436" t="n"/>
      <c r="F16" s="207" t="n"/>
      <c r="G16" s="207" t="n"/>
      <c r="H16" s="278">
        <f>SUM(H17:H23)</f>
        <v/>
      </c>
      <c r="J16" s="308" t="n"/>
      <c r="K16" s="308" t="n"/>
    </row>
    <row r="17" ht="26.25" customFormat="1" customHeight="1" s="303">
      <c r="A17" s="274" t="n">
        <v>3</v>
      </c>
      <c r="B17" s="274" t="inlineStr">
        <is>
          <t> </t>
        </is>
      </c>
      <c r="C17" s="366" t="inlineStr">
        <is>
          <t>91.01.05-063</t>
        </is>
      </c>
      <c r="D17" s="374" t="inlineStr">
        <is>
          <t>Экскаваторы на гусеничном ходу импортного производства, емкость ковша 0,4 м3</t>
        </is>
      </c>
      <c r="E17" s="366" t="inlineStr">
        <is>
          <t>маш.-ч.</t>
        </is>
      </c>
      <c r="F17" s="375" t="n">
        <v>268.7046092</v>
      </c>
      <c r="G17" s="284" t="n">
        <v>158.83</v>
      </c>
      <c r="H17" s="284">
        <f>ROUND(F17*G17,2)</f>
        <v/>
      </c>
      <c r="J17" s="289">
        <f>H17/$H$16</f>
        <v/>
      </c>
      <c r="K17" s="288">
        <f>SUM(J17:J20)</f>
        <v/>
      </c>
    </row>
    <row r="18" ht="25.5" customFormat="1" customHeight="1" s="303">
      <c r="A18" s="274" t="n">
        <v>4</v>
      </c>
      <c r="B18" s="281" t="n"/>
      <c r="C18" s="366" t="inlineStr">
        <is>
          <t>91.12.02-002</t>
        </is>
      </c>
      <c r="D18" s="374" t="inlineStr">
        <is>
          <t>Корчеватели-собиратели с трактором, мощность 79 кВт (108 л.с.)</t>
        </is>
      </c>
      <c r="E18" s="366" t="inlineStr">
        <is>
          <t>маш.-ч.</t>
        </is>
      </c>
      <c r="F18" s="366" t="n">
        <v>223.59324</v>
      </c>
      <c r="G18" s="284" t="n">
        <v>88.91</v>
      </c>
      <c r="H18" s="284">
        <f>ROUND(F18*G18,2)</f>
        <v/>
      </c>
      <c r="J18" s="290">
        <f>H18/$H$16</f>
        <v/>
      </c>
      <c r="K18" s="308" t="n"/>
    </row>
    <row r="19" customFormat="1" s="303">
      <c r="A19" s="274" t="n">
        <v>5</v>
      </c>
      <c r="B19" s="274" t="inlineStr">
        <is>
          <t> </t>
        </is>
      </c>
      <c r="C19" s="366" t="inlineStr">
        <is>
          <t>91.01.01-035</t>
        </is>
      </c>
      <c r="D19" s="374" t="inlineStr">
        <is>
          <t>Бульдозеры, мощность 79 кВт (108 л.с.)</t>
        </is>
      </c>
      <c r="E19" s="366" t="inlineStr">
        <is>
          <t>маш.-ч.</t>
        </is>
      </c>
      <c r="F19" s="375" t="n">
        <v>196.4461184</v>
      </c>
      <c r="G19" s="284" t="n">
        <v>79.06999999999999</v>
      </c>
      <c r="H19" s="284">
        <f>ROUND(F19*G19,2)</f>
        <v/>
      </c>
      <c r="J19" s="290">
        <f>H19/$H$16</f>
        <v/>
      </c>
      <c r="K19" s="308" t="n"/>
    </row>
    <row r="20" ht="29.25" customFormat="1" customHeight="1" s="303">
      <c r="A20" s="274" t="n">
        <v>6</v>
      </c>
      <c r="B20" s="274" t="inlineStr">
        <is>
          <t> </t>
        </is>
      </c>
      <c r="C20" s="366" t="inlineStr">
        <is>
          <t>91.01.01-038</t>
        </is>
      </c>
      <c r="D20" s="374" t="inlineStr">
        <is>
          <t>Бульдозеры, мощность 121 кВт (165 л.с.)</t>
        </is>
      </c>
      <c r="E20" s="366" t="inlineStr">
        <is>
          <t>маш.-ч.</t>
        </is>
      </c>
      <c r="F20" s="375" t="n">
        <v>66.53242</v>
      </c>
      <c r="G20" s="284" t="n">
        <v>122.4</v>
      </c>
      <c r="H20" s="284">
        <f>ROUND(F20*G20,2)</f>
        <v/>
      </c>
      <c r="J20" s="291">
        <f>H20/$H$16</f>
        <v/>
      </c>
      <c r="K20" s="308" t="n"/>
    </row>
    <row r="21" ht="25.5" customFormat="1" customHeight="1" s="303">
      <c r="A21" s="274" t="n">
        <v>7</v>
      </c>
      <c r="B21" s="281" t="n"/>
      <c r="C21" s="366" t="inlineStr">
        <is>
          <t>91.15.02-024</t>
        </is>
      </c>
      <c r="D21" s="374" t="inlineStr">
        <is>
          <t>Тракторы на гусеничном ходу, мощность 79 кВт (108 л.с.)</t>
        </is>
      </c>
      <c r="E21" s="366" t="inlineStr">
        <is>
          <t>маш.-ч.</t>
        </is>
      </c>
      <c r="F21" s="366" t="n">
        <v>83.602</v>
      </c>
      <c r="G21" s="284" t="n">
        <v>83.09999999999999</v>
      </c>
      <c r="H21" s="284">
        <f>ROUND(F21*G21,2)</f>
        <v/>
      </c>
      <c r="J21" s="295">
        <f>H21/$H$16</f>
        <v/>
      </c>
      <c r="K21" s="286" t="n"/>
    </row>
    <row r="22" customFormat="1" s="303">
      <c r="A22" s="274" t="n">
        <v>8</v>
      </c>
      <c r="B22" s="274" t="inlineStr">
        <is>
          <t> </t>
        </is>
      </c>
      <c r="C22" s="366" t="inlineStr">
        <is>
          <t>91.01.01-039</t>
        </is>
      </c>
      <c r="D22" s="374" t="inlineStr">
        <is>
          <t>Бульдозеры, мощность 132 кВт (180 л.с.)</t>
        </is>
      </c>
      <c r="E22" s="366" t="inlineStr">
        <is>
          <t>маш.-ч.</t>
        </is>
      </c>
      <c r="F22" s="375" t="n">
        <v>5.713836</v>
      </c>
      <c r="G22" s="284" t="n">
        <v>132.79</v>
      </c>
      <c r="H22" s="284">
        <f>ROUND(F22*G22,2)</f>
        <v/>
      </c>
      <c r="J22" s="295">
        <f>H22/$H$16</f>
        <v/>
      </c>
      <c r="K22" s="286" t="n"/>
    </row>
    <row r="23" customFormat="1" s="303">
      <c r="A23" s="274" t="n">
        <v>9</v>
      </c>
      <c r="B23" s="281" t="n"/>
      <c r="C23" s="366" t="inlineStr">
        <is>
          <t>91.15.01-001</t>
        </is>
      </c>
      <c r="D23" s="374" t="inlineStr">
        <is>
          <t>Прицепы тракторные 2 т</t>
        </is>
      </c>
      <c r="E23" s="366" t="inlineStr">
        <is>
          <t>маш.-ч.</t>
        </is>
      </c>
      <c r="F23" s="366" t="n">
        <v>71.33499999999999</v>
      </c>
      <c r="G23" s="284" t="n">
        <v>4.01</v>
      </c>
      <c r="H23" s="284">
        <f>ROUND(F23*G23,2)</f>
        <v/>
      </c>
      <c r="J23" s="295">
        <f>H23/$H$16</f>
        <v/>
      </c>
      <c r="K23" s="286" t="n"/>
    </row>
    <row r="24">
      <c r="A24" s="357" t="inlineStr">
        <is>
          <t>Оборудование</t>
        </is>
      </c>
      <c r="B24" s="435" t="n"/>
      <c r="C24" s="435" t="n"/>
      <c r="D24" s="435" t="n"/>
      <c r="E24" s="436" t="n"/>
      <c r="F24" s="207" t="n"/>
      <c r="G24" s="207" t="n"/>
      <c r="H24" s="278" t="n">
        <v>0</v>
      </c>
    </row>
    <row r="25">
      <c r="A25" s="357" t="inlineStr">
        <is>
          <t>Материалы</t>
        </is>
      </c>
      <c r="B25" s="435" t="n"/>
      <c r="C25" s="435" t="n"/>
      <c r="D25" s="435" t="n"/>
      <c r="E25" s="436" t="n"/>
      <c r="F25" s="207" t="n"/>
      <c r="G25" s="207" t="n"/>
      <c r="H25" s="278" t="n">
        <v>96100.94</v>
      </c>
    </row>
    <row r="26">
      <c r="A26" s="274" t="n">
        <v>10</v>
      </c>
      <c r="B26" s="274" t="inlineStr">
        <is>
          <t> </t>
        </is>
      </c>
      <c r="C26" s="366" t="inlineStr">
        <is>
          <t>01.3.01.08-0002</t>
        </is>
      </c>
      <c r="D26" s="374" t="inlineStr">
        <is>
          <t>Топливо дизельное из малосернистых нефтей</t>
        </is>
      </c>
      <c r="E26" s="366" t="inlineStr">
        <is>
          <t>т</t>
        </is>
      </c>
      <c r="F26" s="440" t="n">
        <v>15.376151</v>
      </c>
      <c r="G26" s="193" t="n">
        <v>6250</v>
      </c>
      <c r="H26" s="284" t="n">
        <v>96100.94</v>
      </c>
      <c r="J26" s="245" t="n"/>
    </row>
    <row r="29">
      <c r="B29" s="321" t="inlineStr">
        <is>
          <t>Составил ______________________        Д.А. Самуйленко</t>
        </is>
      </c>
    </row>
    <row r="30">
      <c r="B30" s="223" t="inlineStr">
        <is>
          <t xml:space="preserve">                         (подпись, инициалы, фамилия)</t>
        </is>
      </c>
    </row>
    <row r="32">
      <c r="B32" s="321" t="inlineStr">
        <is>
          <t>Проверил ______________________        А.В. Костянецкая</t>
        </is>
      </c>
    </row>
    <row r="33">
      <c r="B33" s="22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16:E16"/>
    <mergeCell ref="A7:H7"/>
    <mergeCell ref="A9:A10"/>
    <mergeCell ref="A24:E24"/>
    <mergeCell ref="A25:E25"/>
    <mergeCell ref="A14:E14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E66" sqref="E66"/>
    </sheetView>
  </sheetViews>
  <sheetFormatPr baseColWidth="8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9.140625" customWidth="1" style="319" min="7" max="10"/>
    <col width="13.5703125" customWidth="1" style="319" min="11" max="11"/>
    <col width="9.140625" customWidth="1" style="319" min="12" max="12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2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1" t="inlineStr">
        <is>
          <t>Ресурсная модель</t>
        </is>
      </c>
    </row>
    <row r="6">
      <c r="B6" s="216" t="n"/>
      <c r="C6" s="308" t="n"/>
      <c r="D6" s="308" t="n"/>
      <c r="E6" s="308" t="n"/>
    </row>
    <row r="7" ht="25.5" customHeight="1" s="319">
      <c r="B7" s="361" t="inlineStr">
        <is>
          <t xml:space="preserve">Наименование разрабатываемого показателя УНЦ —Расчистка кустарников и мелколесья, вырубка деревьев с диаметром ствола до 11 см, 12 см и более </t>
        </is>
      </c>
    </row>
    <row r="8">
      <c r="B8" s="362" t="inlineStr">
        <is>
          <t>Единица измерения  — 1 га</t>
        </is>
      </c>
    </row>
    <row r="9">
      <c r="B9" s="216" t="n"/>
      <c r="C9" s="308" t="n"/>
      <c r="D9" s="308" t="n"/>
      <c r="E9" s="308" t="n"/>
    </row>
    <row r="10" ht="51" customHeight="1" s="319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71" t="inlineStr">
        <is>
          <t>Оплата труда рабочих</t>
        </is>
      </c>
      <c r="C11" s="210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71" t="inlineStr">
        <is>
          <t>Эксплуатация машин основных</t>
        </is>
      </c>
      <c r="C12" s="210">
        <f>'Прил.5 Расчет СМР и ОБ'!J23</f>
        <v/>
      </c>
      <c r="D12" s="211">
        <f>C12/$C$24</f>
        <v/>
      </c>
      <c r="E12" s="211">
        <f>C12/$C$40</f>
        <v/>
      </c>
    </row>
    <row r="13">
      <c r="B13" s="271" t="inlineStr">
        <is>
          <t>Эксплуатация машин прочих</t>
        </is>
      </c>
      <c r="C13" s="210">
        <f>'Прил.5 Расчет СМР и ОБ'!J27</f>
        <v/>
      </c>
      <c r="D13" s="211">
        <f>C13/$C$24</f>
        <v/>
      </c>
      <c r="E13" s="211">
        <f>C13/$C$40</f>
        <v/>
      </c>
    </row>
    <row r="14">
      <c r="B14" s="271" t="inlineStr">
        <is>
          <t>ЭКСПЛУАТАЦИЯ МАШИН, ВСЕГО:</t>
        </is>
      </c>
      <c r="C14" s="210">
        <f>C13+C12</f>
        <v/>
      </c>
      <c r="D14" s="211">
        <f>C14/$C$24</f>
        <v/>
      </c>
      <c r="E14" s="211">
        <f>C14/$C$40</f>
        <v/>
      </c>
    </row>
    <row r="15">
      <c r="B15" s="271" t="inlineStr">
        <is>
          <t>в том числе зарплата машинистов</t>
        </is>
      </c>
      <c r="C15" s="210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71" t="inlineStr">
        <is>
          <t>Материалы основные</t>
        </is>
      </c>
      <c r="C16" s="210">
        <f>'Прил.5 Расчет СМР и ОБ'!J38</f>
        <v/>
      </c>
      <c r="D16" s="211">
        <f>C16/$C$24</f>
        <v/>
      </c>
      <c r="E16" s="211">
        <f>C16/$C$40</f>
        <v/>
      </c>
    </row>
    <row r="17">
      <c r="B17" s="271" t="inlineStr">
        <is>
          <t>Материалы прочие</t>
        </is>
      </c>
      <c r="C17" s="210">
        <f>'Прил.5 Расчет СМР и ОБ'!J39</f>
        <v/>
      </c>
      <c r="D17" s="211">
        <f>C17/$C$24</f>
        <v/>
      </c>
      <c r="E17" s="211">
        <f>C17/$C$40</f>
        <v/>
      </c>
    </row>
    <row r="18">
      <c r="B18" s="271" t="inlineStr">
        <is>
          <t>МАТЕРИАЛЫ, ВСЕГО:</t>
        </is>
      </c>
      <c r="C18" s="210">
        <f>C17+C16</f>
        <v/>
      </c>
      <c r="D18" s="211">
        <f>C18/$C$24</f>
        <v/>
      </c>
      <c r="E18" s="211">
        <f>C18/$C$40</f>
        <v/>
      </c>
    </row>
    <row r="19">
      <c r="B19" s="271" t="inlineStr">
        <is>
          <t>ИТОГО</t>
        </is>
      </c>
      <c r="C19" s="210">
        <f>C18+C14+C11</f>
        <v/>
      </c>
      <c r="D19" s="211" t="n"/>
      <c r="E19" s="271" t="n"/>
    </row>
    <row r="20">
      <c r="B20" s="271" t="inlineStr">
        <is>
          <t>Сметная прибыль, руб.</t>
        </is>
      </c>
      <c r="C20" s="210">
        <f>ROUND(C21*(C11+C15),2)</f>
        <v/>
      </c>
      <c r="D20" s="211">
        <f>C20/$C$24</f>
        <v/>
      </c>
      <c r="E20" s="211">
        <f>C20/$C$40</f>
        <v/>
      </c>
    </row>
    <row r="21">
      <c r="B21" s="271" t="inlineStr">
        <is>
          <t>Сметная прибыль, %</t>
        </is>
      </c>
      <c r="C21" s="214">
        <f>'Прил.5 Расчет СМР и ОБ'!D43</f>
        <v/>
      </c>
      <c r="D21" s="211" t="n"/>
      <c r="E21" s="271" t="n"/>
    </row>
    <row r="22">
      <c r="B22" s="271" t="inlineStr">
        <is>
          <t>Накладные расходы, руб.</t>
        </is>
      </c>
      <c r="C22" s="210">
        <f>ROUND(C23*(C11+C15),2)</f>
        <v/>
      </c>
      <c r="D22" s="211">
        <f>C22/$C$24</f>
        <v/>
      </c>
      <c r="E22" s="211">
        <f>C22/$C$40</f>
        <v/>
      </c>
    </row>
    <row r="23">
      <c r="B23" s="271" t="inlineStr">
        <is>
          <t>Накладные расходы, %</t>
        </is>
      </c>
      <c r="C23" s="214">
        <f>'Прил.5 Расчет СМР и ОБ'!D42</f>
        <v/>
      </c>
      <c r="D23" s="211" t="n"/>
      <c r="E23" s="271" t="n"/>
    </row>
    <row r="24">
      <c r="B24" s="271" t="inlineStr">
        <is>
          <t>ВСЕГО СМР с НР и СП</t>
        </is>
      </c>
      <c r="C24" s="210">
        <f>C19+C20+C22</f>
        <v/>
      </c>
      <c r="D24" s="211">
        <f>C24/$C$24</f>
        <v/>
      </c>
      <c r="E24" s="211">
        <f>C24/$C$40</f>
        <v/>
      </c>
    </row>
    <row r="25" ht="25.5" customHeight="1" s="319">
      <c r="B25" s="271" t="inlineStr">
        <is>
          <t>ВСЕГО стоимость оборудования, в том числе</t>
        </is>
      </c>
      <c r="C25" s="210">
        <f>'Прил.5 Расчет СМР и ОБ'!J33</f>
        <v/>
      </c>
      <c r="D25" s="211" t="n"/>
      <c r="E25" s="211">
        <f>C25/$C$40</f>
        <v/>
      </c>
    </row>
    <row r="26" ht="25.5" customHeight="1" s="319">
      <c r="B26" s="271" t="inlineStr">
        <is>
          <t>стоимость оборудования технологического</t>
        </is>
      </c>
      <c r="C26" s="210">
        <f>'Прил.5 Расчет СМР и ОБ'!J34</f>
        <v/>
      </c>
      <c r="D26" s="211" t="n"/>
      <c r="E26" s="211">
        <f>C26/$C$40</f>
        <v/>
      </c>
    </row>
    <row r="27">
      <c r="B27" s="271" t="inlineStr">
        <is>
          <t>ИТОГО (СМР + ОБОРУДОВАНИЕ)</t>
        </is>
      </c>
      <c r="C27" s="284">
        <f>C24+C25</f>
        <v/>
      </c>
      <c r="D27" s="211" t="n"/>
      <c r="E27" s="211">
        <f>C27/$C$40</f>
        <v/>
      </c>
    </row>
    <row r="28" ht="33" customHeight="1" s="319">
      <c r="B28" s="271" t="inlineStr">
        <is>
          <t>ПРОЧ. ЗАТР., УЧТЕННЫЕ ПОКАЗАТЕЛЕМ,  в том числе</t>
        </is>
      </c>
      <c r="C28" s="271" t="n"/>
      <c r="D28" s="271" t="n"/>
      <c r="E28" s="271" t="n"/>
      <c r="F28" s="212" t="n"/>
    </row>
    <row r="29" ht="25.5" customHeight="1" s="319">
      <c r="B29" s="271" t="inlineStr">
        <is>
          <t>Временные здания и сооружения - 3,3%</t>
        </is>
      </c>
      <c r="C29" s="284">
        <f>ROUND(C24*3.3%,2)</f>
        <v/>
      </c>
      <c r="D29" s="271" t="n"/>
      <c r="E29" s="211">
        <f>C29/$C$40</f>
        <v/>
      </c>
    </row>
    <row r="30" ht="38.25" customHeight="1" s="319">
      <c r="B30" s="271" t="inlineStr">
        <is>
          <t>Дополнительные затраты при производстве строительно-монтажных работ в зимнее время - 1,0%</t>
        </is>
      </c>
      <c r="C30" s="284">
        <f>ROUND((C24+C29)*1%,2)</f>
        <v/>
      </c>
      <c r="D30" s="271" t="n"/>
      <c r="E30" s="211">
        <f>C30/$C$40</f>
        <v/>
      </c>
      <c r="F30" s="212" t="n"/>
    </row>
    <row r="31">
      <c r="B31" s="296" t="inlineStr">
        <is>
          <t>Пусконаладочные работы</t>
        </is>
      </c>
      <c r="C31" s="297" t="n">
        <v>0</v>
      </c>
      <c r="D31" s="271" t="n"/>
      <c r="E31" s="211">
        <f>C31/$C$40</f>
        <v/>
      </c>
    </row>
    <row r="32" ht="25.5" customHeight="1" s="319">
      <c r="B32" s="296" t="inlineStr">
        <is>
          <t>Затраты по перевозке работников к месту работы и обратно</t>
        </is>
      </c>
      <c r="C32" s="297" t="n">
        <v>0</v>
      </c>
      <c r="D32" s="271" t="n"/>
      <c r="E32" s="211">
        <f>C32/$C$40</f>
        <v/>
      </c>
    </row>
    <row r="33" ht="25.5" customHeight="1" s="319">
      <c r="B33" s="271" t="inlineStr">
        <is>
          <t>Затраты, связанные с осуществлением работ вахтовым методом</t>
        </is>
      </c>
      <c r="C33" s="284">
        <f>ROUND($C$27*0,2)</f>
        <v/>
      </c>
      <c r="D33" s="271" t="n"/>
      <c r="E33" s="211">
        <f>C33/$C$40</f>
        <v/>
      </c>
    </row>
    <row r="34" ht="51" customHeight="1" s="319">
      <c r="B34" s="27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71" t="n"/>
      <c r="E34" s="211">
        <f>C34/$C$40</f>
        <v/>
      </c>
      <c r="G34" s="218" t="n"/>
    </row>
    <row r="35" ht="76.5" customHeight="1" s="319">
      <c r="B35" s="27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 t="n">
        <v>0</v>
      </c>
      <c r="D35" s="271" t="n"/>
      <c r="E35" s="211">
        <f>C35/$C$40</f>
        <v/>
      </c>
    </row>
    <row r="36" ht="25.5" customHeight="1" s="319">
      <c r="B36" s="271" t="inlineStr">
        <is>
          <t>Строительный контроль и содержание службы заказчика - 1,72%</t>
        </is>
      </c>
      <c r="C36" s="284">
        <f>ROUND((C27+C32+C33+C34+C35+C29+C31+C30)*1.72%,2)</f>
        <v/>
      </c>
      <c r="D36" s="271" t="n"/>
      <c r="E36" s="211">
        <f>C36/$C$40</f>
        <v/>
      </c>
      <c r="K36" s="212" t="n"/>
    </row>
    <row r="37">
      <c r="B37" s="271" t="inlineStr">
        <is>
          <t>Авторский надзор - 0,2%</t>
        </is>
      </c>
      <c r="C37" s="284">
        <f>ROUND((C27+C32+C33+C34+C35+C29+C31+C30)*0.2%,2)</f>
        <v/>
      </c>
      <c r="D37" s="271" t="n"/>
      <c r="E37" s="211">
        <f>C37/$C$40</f>
        <v/>
      </c>
      <c r="K37" s="212" t="n"/>
    </row>
    <row r="38" ht="38.25" customHeight="1" s="319">
      <c r="B38" s="271" t="inlineStr">
        <is>
          <t>ИТОГО (СМР+ОБОРУДОВАНИЕ+ПРОЧ. ЗАТР., УЧТЕННЫЕ ПОКАЗАТЕЛЕМ)</t>
        </is>
      </c>
      <c r="C38" s="210">
        <f>C27+C32+C33+C34+C35+C29+C31+C30+C36+C37</f>
        <v/>
      </c>
      <c r="D38" s="271" t="n"/>
      <c r="E38" s="211">
        <f>C38/$C$40</f>
        <v/>
      </c>
    </row>
    <row r="39" ht="13.5" customHeight="1" s="319">
      <c r="B39" s="271" t="inlineStr">
        <is>
          <t>Непредвиденные расходы</t>
        </is>
      </c>
      <c r="C39" s="210">
        <f>ROUND(C38*3%,2)</f>
        <v/>
      </c>
      <c r="D39" s="271" t="n"/>
      <c r="E39" s="211">
        <f>C39/$C$38</f>
        <v/>
      </c>
    </row>
    <row r="40">
      <c r="B40" s="271" t="inlineStr">
        <is>
          <t>ВСЕГО:</t>
        </is>
      </c>
      <c r="C40" s="210">
        <f>C39+C38</f>
        <v/>
      </c>
      <c r="D40" s="271" t="n"/>
      <c r="E40" s="211">
        <f>C40/$C$40</f>
        <v/>
      </c>
    </row>
    <row r="41">
      <c r="B41" s="271" t="inlineStr">
        <is>
          <t>ИТОГО ПОКАЗАТЕЛЬ НА ЕД. ИЗМ.</t>
        </is>
      </c>
      <c r="C41" s="210">
        <f>C40/'Прил.5 Расчет СМР и ОБ'!E46</f>
        <v/>
      </c>
      <c r="D41" s="271" t="n"/>
      <c r="E41" s="271" t="n"/>
    </row>
    <row r="42">
      <c r="B42" s="225" t="n"/>
      <c r="C42" s="308" t="n"/>
      <c r="D42" s="308" t="n"/>
      <c r="E42" s="308" t="n"/>
    </row>
    <row r="43">
      <c r="B43" s="225" t="inlineStr">
        <is>
          <t>Составил ____________________________ Д.А. Самуйленко</t>
        </is>
      </c>
      <c r="C43" s="308" t="n"/>
      <c r="D43" s="308" t="n"/>
      <c r="E43" s="308" t="n"/>
    </row>
    <row r="44">
      <c r="B44" s="225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25" t="n"/>
      <c r="C45" s="308" t="n"/>
      <c r="E45" s="308" t="n"/>
    </row>
    <row r="46">
      <c r="B46" s="225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2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zoomScale="85" zoomScaleSheetLayoutView="85" workbookViewId="0">
      <selection activeCell="N30" sqref="N30"/>
    </sheetView>
  </sheetViews>
  <sheetFormatPr baseColWidth="8" defaultColWidth="9.140625" defaultRowHeight="15" outlineLevelRow="1"/>
  <cols>
    <col width="5.7109375" customWidth="1" style="309" min="1" max="1"/>
    <col width="22.5703125" customWidth="1" style="309" min="2" max="2"/>
    <col width="39.140625" customWidth="1" style="309" min="3" max="3"/>
    <col width="10.7109375" customWidth="1" style="309" min="4" max="4"/>
    <col width="12.7109375" customWidth="1" style="309" min="5" max="5"/>
    <col width="15" customWidth="1" style="309" min="6" max="6"/>
    <col width="13.42578125" customWidth="1" style="309" min="7" max="7"/>
    <col width="12.7109375" customWidth="1" style="309" min="8" max="8"/>
    <col width="13.85546875" customWidth="1" style="309" min="9" max="9"/>
    <col width="17.5703125" customWidth="1" style="309" min="10" max="10"/>
    <col width="33.140625" customWidth="1" style="309" min="11" max="11"/>
    <col width="9.140625" customWidth="1" style="309" min="12" max="12"/>
    <col width="9.140625" customWidth="1" style="319" min="13" max="13"/>
  </cols>
  <sheetData>
    <row r="1" s="319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19">
      <c r="A2" s="309" t="n"/>
      <c r="B2" s="309" t="n"/>
      <c r="C2" s="309" t="n"/>
      <c r="D2" s="309" t="n"/>
      <c r="E2" s="309" t="n"/>
      <c r="F2" s="309" t="n"/>
      <c r="G2" s="309" t="n"/>
      <c r="H2" s="363" t="inlineStr">
        <is>
          <t>Приложение №5</t>
        </is>
      </c>
      <c r="K2" s="309" t="n"/>
      <c r="L2" s="309" t="n"/>
      <c r="M2" s="309" t="n"/>
      <c r="N2" s="309" t="n"/>
    </row>
    <row r="3" s="319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1" t="inlineStr">
        <is>
          <t>Расчет стоимости СМР и оборудования</t>
        </is>
      </c>
    </row>
    <row r="5" ht="12.75" customFormat="1" customHeight="1" s="308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8">
      <c r="A6" s="235" t="inlineStr">
        <is>
          <t>Наименование разрабатываемого показателя УНЦ</t>
        </is>
      </c>
      <c r="B6" s="236" t="n"/>
      <c r="C6" s="236" t="n"/>
      <c r="D6" s="344" t="inlineStr">
        <is>
          <t xml:space="preserve">Расчистка кустарников и мелколесья, вырубка деревьев с диаметром ствола до 11 см, 12 см и более </t>
        </is>
      </c>
    </row>
    <row r="7" ht="12.75" customFormat="1" customHeight="1" s="308">
      <c r="A7" s="344" t="inlineStr">
        <is>
          <t>Единица измерения  — 1 га</t>
        </is>
      </c>
      <c r="I7" s="361" t="n"/>
      <c r="J7" s="361" t="n"/>
    </row>
    <row r="8" ht="13.5" customFormat="1" customHeight="1" s="308">
      <c r="A8" s="344" t="n"/>
    </row>
    <row r="9" ht="27" customHeight="1" s="319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36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36" t="n"/>
      <c r="K9" s="309" t="n"/>
      <c r="L9" s="309" t="n"/>
      <c r="M9" s="309" t="n"/>
      <c r="N9" s="309" t="n"/>
    </row>
    <row r="10" ht="28.5" customHeight="1" s="319">
      <c r="A10" s="438" t="n"/>
      <c r="B10" s="438" t="n"/>
      <c r="C10" s="438" t="n"/>
      <c r="D10" s="438" t="n"/>
      <c r="E10" s="438" t="n"/>
      <c r="F10" s="366" t="inlineStr">
        <is>
          <t>на ед. изм.</t>
        </is>
      </c>
      <c r="G10" s="366" t="inlineStr">
        <is>
          <t>общая</t>
        </is>
      </c>
      <c r="H10" s="438" t="n"/>
      <c r="I10" s="366" t="inlineStr">
        <is>
          <t>на ед. изм.</t>
        </is>
      </c>
      <c r="J10" s="366" t="inlineStr">
        <is>
          <t>общая</t>
        </is>
      </c>
      <c r="K10" s="309" t="n"/>
      <c r="L10" s="309" t="n"/>
      <c r="M10" s="309" t="n"/>
      <c r="N10" s="309" t="n"/>
    </row>
    <row r="11" s="319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309" t="n"/>
      <c r="L11" s="309" t="n"/>
      <c r="M11" s="309" t="n"/>
      <c r="N11" s="309" t="n"/>
    </row>
    <row r="12">
      <c r="A12" s="366" t="n"/>
      <c r="B12" s="373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186" t="n"/>
      <c r="J12" s="186" t="n"/>
    </row>
    <row r="13" ht="25.5" customHeight="1" s="319">
      <c r="A13" s="366" t="n">
        <v>1</v>
      </c>
      <c r="B13" s="270" t="inlineStr">
        <is>
          <t>1-3-0</t>
        </is>
      </c>
      <c r="C13" s="374" t="inlineStr">
        <is>
          <t>Затраты труда рабочих-строителей среднего разряда (3,0)</t>
        </is>
      </c>
      <c r="D13" s="366" t="inlineStr">
        <is>
          <t>чел.-ч.</t>
        </is>
      </c>
      <c r="E13" s="441" t="n">
        <v>10468.926611958</v>
      </c>
      <c r="F13" s="193" t="n">
        <v>8.529999999999999</v>
      </c>
      <c r="G13" s="193">
        <f>ROUND(E13*F13,2)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09">
      <c r="A14" s="366" t="n"/>
      <c r="B14" s="366" t="n"/>
      <c r="C14" s="373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41" t="n">
        <v>10468.926611958</v>
      </c>
      <c r="F14" s="193" t="n"/>
      <c r="G14" s="193">
        <f>SUM(G13:G13)</f>
        <v/>
      </c>
      <c r="H14" s="377" t="n">
        <v>1</v>
      </c>
      <c r="I14" s="186" t="n"/>
      <c r="J14" s="193">
        <f>SUM(J13:J13)</f>
        <v/>
      </c>
    </row>
    <row r="15" ht="14.25" customFormat="1" customHeight="1" s="309">
      <c r="A15" s="366" t="n"/>
      <c r="B15" s="374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186" t="n"/>
      <c r="J15" s="186" t="n"/>
    </row>
    <row r="16" ht="14.25" customFormat="1" customHeight="1" s="309">
      <c r="A16" s="366" t="n">
        <v>2</v>
      </c>
      <c r="B16" s="366" t="n">
        <v>2</v>
      </c>
      <c r="C16" s="374" t="inlineStr">
        <is>
          <t>Затраты труда машинистов</t>
        </is>
      </c>
      <c r="D16" s="366" t="inlineStr">
        <is>
          <t>чел.-ч.</t>
        </is>
      </c>
      <c r="E16" s="274" t="n">
        <v>799.452</v>
      </c>
      <c r="F16" s="193" t="n">
        <v>11.148768622058</v>
      </c>
      <c r="G16" s="193">
        <f>ROUND(E16*F16,2)</f>
        <v/>
      </c>
      <c r="H16" s="377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09">
      <c r="A17" s="366" t="n"/>
      <c r="B17" s="373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186" t="n"/>
      <c r="J17" s="186" t="n"/>
    </row>
    <row r="18" ht="14.25" customFormat="1" customHeight="1" s="309">
      <c r="A18" s="366" t="n"/>
      <c r="B18" s="374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86" t="n"/>
      <c r="J18" s="186" t="n"/>
    </row>
    <row r="19" ht="38.25" customFormat="1" customHeight="1" s="309">
      <c r="A19" s="366" t="n">
        <v>3</v>
      </c>
      <c r="B19" s="366" t="inlineStr">
        <is>
          <t>91.01.05-063</t>
        </is>
      </c>
      <c r="C19" s="374" t="inlineStr">
        <is>
          <t>Экскаваторы на гусеничном ходу импортного производства, емкость ковша 0,4 м3</t>
        </is>
      </c>
      <c r="D19" s="366" t="inlineStr">
        <is>
          <t>маш.-ч.</t>
        </is>
      </c>
      <c r="E19" s="375" t="n">
        <v>268.7046092</v>
      </c>
      <c r="F19" s="284" t="n">
        <v>158.83</v>
      </c>
      <c r="G19" s="193">
        <f>ROUND(E19*F19,2)</f>
        <v/>
      </c>
      <c r="H19" s="195">
        <f>G19/$G$28</f>
        <v/>
      </c>
      <c r="I19" s="193">
        <f>ROUND(F19*Прил.10!$D$12,2)</f>
        <v/>
      </c>
      <c r="J19" s="193">
        <f>ROUND(I19*E19,2)</f>
        <v/>
      </c>
    </row>
    <row r="20" ht="25.5" customFormat="1" customHeight="1" s="309">
      <c r="A20" s="366" t="n">
        <v>4</v>
      </c>
      <c r="B20" s="366" t="inlineStr">
        <is>
          <t>91.12.02-002</t>
        </is>
      </c>
      <c r="C20" s="374" t="inlineStr">
        <is>
          <t>Корчеватели-собиратели с трактором, мощность 79 кВт (108 л.с.)</t>
        </is>
      </c>
      <c r="D20" s="366" t="inlineStr">
        <is>
          <t>маш.-ч.</t>
        </is>
      </c>
      <c r="E20" s="366" t="n">
        <v>223.59324</v>
      </c>
      <c r="F20" s="284" t="n">
        <v>88.91</v>
      </c>
      <c r="G20" s="193">
        <f>ROUND(E20*F20,2)</f>
        <v/>
      </c>
      <c r="H20" s="195">
        <f>G20/$G$28</f>
        <v/>
      </c>
      <c r="I20" s="193">
        <f>ROUND(F20*Прил.10!$D$12,2)</f>
        <v/>
      </c>
      <c r="J20" s="193">
        <f>ROUND(I20*E20,2)</f>
        <v/>
      </c>
    </row>
    <row r="21" ht="14.25" customFormat="1" customHeight="1" s="309">
      <c r="A21" s="366" t="n">
        <v>5</v>
      </c>
      <c r="B21" s="366" t="inlineStr">
        <is>
          <t>91.01.01-035</t>
        </is>
      </c>
      <c r="C21" s="374" t="inlineStr">
        <is>
          <t>Бульдозеры, мощность 79 кВт (108 л.с.)</t>
        </is>
      </c>
      <c r="D21" s="366" t="inlineStr">
        <is>
          <t>маш.-ч.</t>
        </is>
      </c>
      <c r="E21" s="375" t="n">
        <v>196.4461184</v>
      </c>
      <c r="F21" s="284" t="n">
        <v>79.06999999999999</v>
      </c>
      <c r="G21" s="193">
        <f>ROUND(E21*F21,2)</f>
        <v/>
      </c>
      <c r="H21" s="195">
        <f>G21/$G$28</f>
        <v/>
      </c>
      <c r="I21" s="193">
        <f>ROUND(F21*Прил.10!$D$12,2)</f>
        <v/>
      </c>
      <c r="J21" s="193">
        <f>ROUND(I21*E21,2)</f>
        <v/>
      </c>
    </row>
    <row r="22" ht="14.25" customFormat="1" customHeight="1" s="309">
      <c r="A22" s="366" t="n">
        <v>6</v>
      </c>
      <c r="B22" s="366" t="inlineStr">
        <is>
          <t>91.01.01-038</t>
        </is>
      </c>
      <c r="C22" s="374" t="inlineStr">
        <is>
          <t>Бульдозеры, мощность 121 кВт (165 л.с.)</t>
        </is>
      </c>
      <c r="D22" s="366" t="inlineStr">
        <is>
          <t>маш.-ч.</t>
        </is>
      </c>
      <c r="E22" s="375" t="n">
        <v>66.53242</v>
      </c>
      <c r="F22" s="284" t="n">
        <v>122.4</v>
      </c>
      <c r="G22" s="193">
        <f>ROUND(E22*F22,2)</f>
        <v/>
      </c>
      <c r="H22" s="195">
        <f>G22/$G$28</f>
        <v/>
      </c>
      <c r="I22" s="193">
        <f>ROUND(F22*Прил.10!$D$12,2)</f>
        <v/>
      </c>
      <c r="J22" s="193">
        <f>ROUND(I22*E22,2)</f>
        <v/>
      </c>
    </row>
    <row r="23" ht="14.25" customFormat="1" customHeight="1" s="309">
      <c r="A23" s="366" t="n"/>
      <c r="B23" s="366" t="n"/>
      <c r="C23" s="374" t="inlineStr">
        <is>
          <t>Итого основные машины и механизмы</t>
        </is>
      </c>
      <c r="D23" s="366" t="n"/>
      <c r="E23" s="441" t="n"/>
      <c r="F23" s="193" t="n"/>
      <c r="G23" s="193">
        <f>SUM(G19:G22)</f>
        <v/>
      </c>
      <c r="H23" s="377">
        <f>G23/G28</f>
        <v/>
      </c>
      <c r="I23" s="187" t="n"/>
      <c r="J23" s="193">
        <f>SUM(J19:J22)</f>
        <v/>
      </c>
    </row>
    <row r="24" outlineLevel="1" ht="25.5" customFormat="1" customHeight="1" s="309">
      <c r="A24" s="366" t="n">
        <v>7</v>
      </c>
      <c r="B24" s="366" t="inlineStr">
        <is>
          <t>91.15.02-024</t>
        </is>
      </c>
      <c r="C24" s="374" t="inlineStr">
        <is>
          <t>Тракторы на гусеничном ходу, мощность 79 кВт (108 л.с.)</t>
        </is>
      </c>
      <c r="D24" s="366" t="inlineStr">
        <is>
          <t>маш.-ч.</t>
        </is>
      </c>
      <c r="E24" s="366" t="n">
        <v>83.602</v>
      </c>
      <c r="F24" s="284" t="n">
        <v>83.09999999999999</v>
      </c>
      <c r="G24" s="193">
        <f>ROUND(E24*F24,2)</f>
        <v/>
      </c>
      <c r="H24" s="195">
        <f>G24/$G$28</f>
        <v/>
      </c>
      <c r="I24" s="193">
        <f>ROUND(F24*Прил.10!$D$12,2)</f>
        <v/>
      </c>
      <c r="J24" s="193">
        <f>ROUND(I24*E24,2)</f>
        <v/>
      </c>
    </row>
    <row r="25" outlineLevel="1" ht="14.25" customFormat="1" customHeight="1" s="309">
      <c r="A25" s="366" t="n">
        <v>8</v>
      </c>
      <c r="B25" s="366" t="inlineStr">
        <is>
          <t>91.01.01-039</t>
        </is>
      </c>
      <c r="C25" s="374" t="inlineStr">
        <is>
          <t>Бульдозеры, мощность 132 кВт (180 л.с.)</t>
        </is>
      </c>
      <c r="D25" s="366" t="inlineStr">
        <is>
          <t>маш.-ч.</t>
        </is>
      </c>
      <c r="E25" s="375" t="n">
        <v>5.713836</v>
      </c>
      <c r="F25" s="284" t="n">
        <v>132.79</v>
      </c>
      <c r="G25" s="193">
        <f>ROUND(E25*F25,2)</f>
        <v/>
      </c>
      <c r="H25" s="195">
        <f>G25/$G$28</f>
        <v/>
      </c>
      <c r="I25" s="193">
        <f>ROUND(F25*Прил.10!$D$12,2)</f>
        <v/>
      </c>
      <c r="J25" s="193">
        <f>ROUND(I25*E25,2)</f>
        <v/>
      </c>
    </row>
    <row r="26" outlineLevel="1" ht="14.25" customFormat="1" customHeight="1" s="309">
      <c r="A26" s="366" t="n">
        <v>9</v>
      </c>
      <c r="B26" s="366" t="inlineStr">
        <is>
          <t>91.15.01-001</t>
        </is>
      </c>
      <c r="C26" s="374" t="inlineStr">
        <is>
          <t>Прицепы тракторные 2 т</t>
        </is>
      </c>
      <c r="D26" s="366" t="inlineStr">
        <is>
          <t>маш.-ч.</t>
        </is>
      </c>
      <c r="E26" s="366" t="n">
        <v>71.33499999999999</v>
      </c>
      <c r="F26" s="284" t="n">
        <v>4.01</v>
      </c>
      <c r="G26" s="193">
        <f>ROUND(E26*F26,2)</f>
        <v/>
      </c>
      <c r="H26" s="195">
        <f>G26/$G$28</f>
        <v/>
      </c>
      <c r="I26" s="193">
        <f>ROUND(F26*Прил.10!$D$12,2)</f>
        <v/>
      </c>
      <c r="J26" s="193">
        <f>ROUND(I26*E26,2)</f>
        <v/>
      </c>
    </row>
    <row r="27" ht="14.25" customFormat="1" customHeight="1" s="309">
      <c r="A27" s="366" t="n"/>
      <c r="B27" s="366" t="n"/>
      <c r="C27" s="374" t="inlineStr">
        <is>
          <t>Итого прочие машины и механизмы</t>
        </is>
      </c>
      <c r="D27" s="366" t="n"/>
      <c r="E27" s="375" t="n"/>
      <c r="F27" s="193" t="n"/>
      <c r="G27" s="187">
        <f>SUM(G24:G26)</f>
        <v/>
      </c>
      <c r="H27" s="195">
        <f>G27/G28</f>
        <v/>
      </c>
      <c r="I27" s="193" t="n"/>
      <c r="J27" s="193">
        <f>SUM(J24:J26)</f>
        <v/>
      </c>
    </row>
    <row r="28" ht="25.5" customFormat="1" customHeight="1" s="309">
      <c r="A28" s="366" t="n"/>
      <c r="B28" s="366" t="n"/>
      <c r="C28" s="373" t="inlineStr">
        <is>
          <t>Итого по разделу «Машины и механизмы»</t>
        </is>
      </c>
      <c r="D28" s="366" t="n"/>
      <c r="E28" s="375" t="n"/>
      <c r="F28" s="193" t="n"/>
      <c r="G28" s="193">
        <f>G27+G23</f>
        <v/>
      </c>
      <c r="H28" s="180" t="n">
        <v>1</v>
      </c>
      <c r="I28" s="181" t="n"/>
      <c r="J28" s="202">
        <f>J27+J23</f>
        <v/>
      </c>
    </row>
    <row r="29" ht="14.25" customFormat="1" customHeight="1" s="309">
      <c r="A29" s="366" t="n"/>
      <c r="B29" s="373" t="inlineStr">
        <is>
          <t>Оборудование</t>
        </is>
      </c>
      <c r="C29" s="435" t="n"/>
      <c r="D29" s="435" t="n"/>
      <c r="E29" s="435" t="n"/>
      <c r="F29" s="435" t="n"/>
      <c r="G29" s="435" t="n"/>
      <c r="H29" s="436" t="n"/>
      <c r="I29" s="186" t="n"/>
      <c r="J29" s="186" t="n"/>
    </row>
    <row r="30">
      <c r="A30" s="366" t="n"/>
      <c r="B30" s="374" t="inlineStr">
        <is>
          <t>Основное оборудование</t>
        </is>
      </c>
      <c r="C30" s="435" t="n"/>
      <c r="D30" s="435" t="n"/>
      <c r="E30" s="435" t="n"/>
      <c r="F30" s="435" t="n"/>
      <c r="G30" s="435" t="n"/>
      <c r="H30" s="436" t="n"/>
      <c r="I30" s="186" t="n"/>
      <c r="J30" s="186" t="n"/>
      <c r="K30" s="309" t="n"/>
      <c r="L30" s="309" t="n"/>
    </row>
    <row r="31">
      <c r="A31" s="366" t="n"/>
      <c r="B31" s="366" t="n"/>
      <c r="C31" s="374" t="inlineStr">
        <is>
          <t>Итого основное оборудование</t>
        </is>
      </c>
      <c r="D31" s="366" t="n"/>
      <c r="E31" s="441" t="n"/>
      <c r="F31" s="376" t="n"/>
      <c r="G31" s="193" t="n">
        <v>0</v>
      </c>
      <c r="H31" s="195" t="n">
        <v>0</v>
      </c>
      <c r="I31" s="187" t="n"/>
      <c r="J31" s="193" t="n">
        <v>0</v>
      </c>
      <c r="K31" s="309" t="n"/>
      <c r="L31" s="309" t="n"/>
    </row>
    <row r="32">
      <c r="A32" s="366" t="n"/>
      <c r="B32" s="366" t="n"/>
      <c r="C32" s="374" t="inlineStr">
        <is>
          <t>Итого прочее оборудование</t>
        </is>
      </c>
      <c r="D32" s="366" t="n"/>
      <c r="E32" s="441" t="n"/>
      <c r="F32" s="376" t="n"/>
      <c r="G32" s="193" t="n">
        <v>0</v>
      </c>
      <c r="H32" s="195" t="n">
        <v>0</v>
      </c>
      <c r="I32" s="187" t="n"/>
      <c r="J32" s="193" t="n">
        <v>0</v>
      </c>
      <c r="K32" s="309" t="n"/>
      <c r="L32" s="309" t="n"/>
    </row>
    <row r="33">
      <c r="A33" s="366" t="n"/>
      <c r="B33" s="366" t="n"/>
      <c r="C33" s="373" t="inlineStr">
        <is>
          <t>Итого по разделу «Оборудование»</t>
        </is>
      </c>
      <c r="D33" s="366" t="n"/>
      <c r="E33" s="375" t="n"/>
      <c r="F33" s="376" t="n"/>
      <c r="G33" s="193">
        <f>G31+G32</f>
        <v/>
      </c>
      <c r="H33" s="377" t="n">
        <v>0</v>
      </c>
      <c r="I33" s="187" t="n"/>
      <c r="J33" s="193">
        <f>J32+J31</f>
        <v/>
      </c>
      <c r="K33" s="309" t="n"/>
      <c r="L33" s="309" t="n"/>
    </row>
    <row r="34" ht="25.5" customHeight="1" s="319">
      <c r="A34" s="366" t="n"/>
      <c r="B34" s="366" t="n"/>
      <c r="C34" s="374" t="inlineStr">
        <is>
          <t>в том числе технологическое оборудование</t>
        </is>
      </c>
      <c r="D34" s="366" t="n"/>
      <c r="E34" s="440" t="n"/>
      <c r="F34" s="376" t="n"/>
      <c r="G34" s="193">
        <f>'Прил.6 Расчет ОБ'!G12</f>
        <v/>
      </c>
      <c r="H34" s="377" t="n"/>
      <c r="I34" s="187" t="n"/>
      <c r="J34" s="193">
        <f>ROUND(G34*Прил.10!D14,2)</f>
        <v/>
      </c>
      <c r="K34" s="309" t="n"/>
      <c r="L34" s="309" t="n"/>
    </row>
    <row r="35" ht="14.25" customFormat="1" customHeight="1" s="309">
      <c r="A35" s="366" t="n"/>
      <c r="B35" s="373" t="inlineStr">
        <is>
          <t>Материалы</t>
        </is>
      </c>
      <c r="C35" s="435" t="n"/>
      <c r="D35" s="435" t="n"/>
      <c r="E35" s="435" t="n"/>
      <c r="F35" s="435" t="n"/>
      <c r="G35" s="435" t="n"/>
      <c r="H35" s="436" t="n"/>
      <c r="I35" s="186" t="n"/>
      <c r="J35" s="186" t="n"/>
    </row>
    <row r="36" ht="14.25" customFormat="1" customHeight="1" s="309">
      <c r="A36" s="367" t="n"/>
      <c r="B36" s="369" t="inlineStr">
        <is>
          <t>Основные материалы</t>
        </is>
      </c>
      <c r="C36" s="442" t="n"/>
      <c r="D36" s="442" t="n"/>
      <c r="E36" s="442" t="n"/>
      <c r="F36" s="442" t="n"/>
      <c r="G36" s="442" t="n"/>
      <c r="H36" s="443" t="n"/>
      <c r="I36" s="197" t="n"/>
      <c r="J36" s="197" t="n"/>
    </row>
    <row r="37" ht="25.5" customFormat="1" customHeight="1" s="309">
      <c r="A37" s="366" t="n">
        <v>10</v>
      </c>
      <c r="B37" s="366" t="inlineStr">
        <is>
          <t>01.3.01.08-0002</t>
        </is>
      </c>
      <c r="C37" s="374" t="inlineStr">
        <is>
          <t>Топливо дизельное из малосернистых нефтей</t>
        </is>
      </c>
      <c r="D37" s="366" t="inlineStr">
        <is>
          <t>т</t>
        </is>
      </c>
      <c r="E37" s="440" t="n">
        <v>15.376151</v>
      </c>
      <c r="F37" s="376" t="n">
        <v>6250</v>
      </c>
      <c r="G37" s="193">
        <f>ROUND(E37*F37,2)</f>
        <v/>
      </c>
      <c r="H37" s="195">
        <f>G37/$G$40</f>
        <v/>
      </c>
      <c r="I37" s="193">
        <f>ROUND(F37*Прил.10!$D$13,2)</f>
        <v/>
      </c>
      <c r="J37" s="193">
        <f>ROUND(I37*E37,2)</f>
        <v/>
      </c>
    </row>
    <row r="38" ht="14.25" customFormat="1" customHeight="1" s="309">
      <c r="A38" s="366" t="n"/>
      <c r="B38" s="198" t="n"/>
      <c r="C38" s="199" t="inlineStr">
        <is>
          <t>Итого основные материалы</t>
        </is>
      </c>
      <c r="D38" s="368" t="n"/>
      <c r="E38" s="444" t="n"/>
      <c r="F38" s="202" t="n"/>
      <c r="G38" s="202">
        <f>SUM(G37)</f>
        <v/>
      </c>
      <c r="H38" s="195">
        <f>G38/$G$40</f>
        <v/>
      </c>
      <c r="I38" s="193" t="n"/>
      <c r="J38" s="202">
        <f>SUM(J37)</f>
        <v/>
      </c>
      <c r="K38" s="26" t="n"/>
      <c r="L38" s="26" t="n"/>
    </row>
    <row r="39" ht="14.25" customFormat="1" customHeight="1" s="309">
      <c r="A39" s="366" t="n"/>
      <c r="B39" s="366" t="n"/>
      <c r="C39" s="374" t="inlineStr">
        <is>
          <t>Итого прочие материалы</t>
        </is>
      </c>
      <c r="D39" s="366" t="n"/>
      <c r="E39" s="375" t="n"/>
      <c r="F39" s="376" t="n"/>
      <c r="G39" s="193" t="n">
        <v>0</v>
      </c>
      <c r="H39" s="195">
        <f>G39/$G$40</f>
        <v/>
      </c>
      <c r="I39" s="193" t="n"/>
      <c r="J39" s="193" t="n">
        <v>0</v>
      </c>
    </row>
    <row r="40" ht="14.25" customFormat="1" customHeight="1" s="309">
      <c r="A40" s="366" t="n"/>
      <c r="B40" s="366" t="n"/>
      <c r="C40" s="373" t="inlineStr">
        <is>
          <t>Итого по разделу «Материалы»</t>
        </is>
      </c>
      <c r="D40" s="366" t="n"/>
      <c r="E40" s="375" t="n"/>
      <c r="F40" s="376" t="n"/>
      <c r="G40" s="193">
        <f>G38+G39</f>
        <v/>
      </c>
      <c r="H40" s="377">
        <f>G40/$G$40</f>
        <v/>
      </c>
      <c r="I40" s="193" t="n"/>
      <c r="J40" s="193">
        <f>J38+J39</f>
        <v/>
      </c>
    </row>
    <row r="41" ht="14.25" customFormat="1" customHeight="1" s="309">
      <c r="A41" s="366" t="n"/>
      <c r="B41" s="366" t="n"/>
      <c r="C41" s="374" t="inlineStr">
        <is>
          <t>ИТОГО ПО РМ</t>
        </is>
      </c>
      <c r="D41" s="366" t="n"/>
      <c r="E41" s="375" t="n"/>
      <c r="F41" s="376" t="n"/>
      <c r="G41" s="193">
        <f>G14+G28+G40</f>
        <v/>
      </c>
      <c r="H41" s="377" t="n"/>
      <c r="I41" s="193" t="n"/>
      <c r="J41" s="193">
        <f>J14+J28+J40</f>
        <v/>
      </c>
    </row>
    <row r="42" ht="14.25" customFormat="1" customHeight="1" s="309">
      <c r="A42" s="366" t="n"/>
      <c r="B42" s="366" t="n"/>
      <c r="C42" s="374" t="inlineStr">
        <is>
          <t>Накладные расходы</t>
        </is>
      </c>
      <c r="D42" s="189" t="n">
        <v>0.89</v>
      </c>
      <c r="E42" s="375" t="n"/>
      <c r="F42" s="376" t="n"/>
      <c r="G42" s="193">
        <f>D42*($G$14+$G$16)</f>
        <v/>
      </c>
      <c r="H42" s="377" t="n"/>
      <c r="I42" s="193" t="n"/>
      <c r="J42" s="193">
        <f>ROUND(D42*(J14+J16),2)</f>
        <v/>
      </c>
    </row>
    <row r="43" ht="14.25" customFormat="1" customHeight="1" s="309">
      <c r="A43" s="366" t="n"/>
      <c r="B43" s="366" t="n"/>
      <c r="C43" s="374" t="inlineStr">
        <is>
          <t>Сметная прибыль</t>
        </is>
      </c>
      <c r="D43" s="189" t="n">
        <v>0.41</v>
      </c>
      <c r="E43" s="375" t="n"/>
      <c r="F43" s="376" t="n"/>
      <c r="G43" s="193">
        <f>D43*($G$14+$G$16)</f>
        <v/>
      </c>
      <c r="H43" s="377" t="n"/>
      <c r="I43" s="193" t="n"/>
      <c r="J43" s="193">
        <f>ROUND(D43*(J14+J16),2)</f>
        <v/>
      </c>
    </row>
    <row r="44" ht="14.25" customFormat="1" customHeight="1" s="309">
      <c r="A44" s="366" t="n"/>
      <c r="B44" s="366" t="n"/>
      <c r="C44" s="374" t="inlineStr">
        <is>
          <t>Итого СМР (с НР и СП)</t>
        </is>
      </c>
      <c r="D44" s="366" t="n"/>
      <c r="E44" s="375" t="n"/>
      <c r="F44" s="376" t="n"/>
      <c r="G44" s="193">
        <f>G14+G28+G40+G42+G43</f>
        <v/>
      </c>
      <c r="H44" s="377" t="n"/>
      <c r="I44" s="193" t="n"/>
      <c r="J44" s="193">
        <f>J14+J28+J40+J42+J43</f>
        <v/>
      </c>
    </row>
    <row r="45" ht="14.25" customFormat="1" customHeight="1" s="309">
      <c r="A45" s="366" t="n"/>
      <c r="B45" s="366" t="n"/>
      <c r="C45" s="374" t="inlineStr">
        <is>
          <t>ВСЕГО СМР + ОБОРУДОВАНИЕ</t>
        </is>
      </c>
      <c r="D45" s="366" t="n"/>
      <c r="E45" s="375" t="n"/>
      <c r="F45" s="376" t="n"/>
      <c r="G45" s="193">
        <f>G44+G33</f>
        <v/>
      </c>
      <c r="H45" s="377" t="n"/>
      <c r="I45" s="193" t="n"/>
      <c r="J45" s="193">
        <f>J44+J33</f>
        <v/>
      </c>
    </row>
    <row r="46" ht="14.25" customFormat="1" customHeight="1" s="309">
      <c r="A46" s="366" t="n"/>
      <c r="B46" s="366" t="n"/>
      <c r="C46" s="374" t="inlineStr">
        <is>
          <t>ИТОГО ПОКАЗАТЕЛЬ НА ЕД. ИЗМ.</t>
        </is>
      </c>
      <c r="D46" s="366" t="inlineStr">
        <is>
          <t>га</t>
        </is>
      </c>
      <c r="E46" s="445" t="n">
        <v>25.8</v>
      </c>
      <c r="F46" s="376" t="n"/>
      <c r="G46" s="193">
        <f>G45/E46</f>
        <v/>
      </c>
      <c r="H46" s="377" t="n"/>
      <c r="I46" s="193" t="n"/>
      <c r="J46" s="193">
        <f>J45/E46</f>
        <v/>
      </c>
    </row>
    <row r="48" ht="14.25" customFormat="1" customHeight="1" s="309">
      <c r="A48" s="308" t="inlineStr">
        <is>
          <t>Составил ______________________    Д.А. Самуйленко</t>
        </is>
      </c>
    </row>
    <row r="49" ht="14.25" customFormat="1" customHeight="1" s="309">
      <c r="A49" s="311" t="inlineStr">
        <is>
          <t xml:space="preserve">                         (подпись, инициалы, фамилия)</t>
        </is>
      </c>
    </row>
    <row r="50" ht="14.25" customFormat="1" customHeight="1" s="309">
      <c r="A50" s="308" t="n"/>
    </row>
    <row r="51" ht="14.25" customFormat="1" customHeight="1" s="309">
      <c r="A51" s="308" t="inlineStr">
        <is>
          <t>Проверил ______________________        А.В. Костянецкая</t>
        </is>
      </c>
    </row>
    <row r="52" ht="14.25" customFormat="1" customHeight="1" s="309">
      <c r="A52" s="311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17" sqref="D17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2" t="inlineStr">
        <is>
          <t>Приложение №6</t>
        </is>
      </c>
    </row>
    <row r="2" ht="21.75" customHeight="1" s="319">
      <c r="A2" s="382" t="n"/>
      <c r="B2" s="382" t="n"/>
      <c r="C2" s="382" t="n"/>
      <c r="D2" s="382" t="n"/>
      <c r="E2" s="382" t="n"/>
      <c r="F2" s="382" t="n"/>
      <c r="G2" s="382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 xml:space="preserve">Наименование разрабатываемого показателя УНЦ — Расчистка кустарников и мелколесья, вырубка деревьев с диаметром ствола до 11 см, 12 см и более 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" customHeight="1" s="319">
      <c r="A6" s="366" t="inlineStr">
        <is>
          <t>№ пп.</t>
        </is>
      </c>
      <c r="B6" s="366" t="inlineStr">
        <is>
          <t>Код ресурса</t>
        </is>
      </c>
      <c r="C6" s="366" t="inlineStr">
        <is>
          <t>Наименование</t>
        </is>
      </c>
      <c r="D6" s="366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9">
      <c r="A9" s="271" t="n"/>
      <c r="B9" s="374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9">
      <c r="A10" s="366" t="n"/>
      <c r="B10" s="373" t="n"/>
      <c r="C10" s="374" t="inlineStr">
        <is>
          <t>ИТОГО ИНЖЕНЕРНОЕ ОБОРУДОВАНИЕ</t>
        </is>
      </c>
      <c r="D10" s="373" t="n"/>
      <c r="E10" s="142" t="n"/>
      <c r="F10" s="376" t="n"/>
      <c r="G10" s="193" t="n">
        <v>0</v>
      </c>
    </row>
    <row r="11">
      <c r="A11" s="366" t="n"/>
      <c r="B11" s="374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9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193" t="n">
        <v>0</v>
      </c>
    </row>
    <row r="13" ht="19.5" customHeight="1" s="319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193">
        <f>G10+G12</f>
        <v/>
      </c>
    </row>
    <row r="14">
      <c r="A14" s="310" t="n"/>
      <c r="B14" s="228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Д.А. Самуйленко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RowHeight="15"/>
  <cols>
    <col width="12.7109375" customWidth="1" style="319" min="1" max="1"/>
    <col width="34.85546875" customWidth="1" style="319" min="2" max="2"/>
    <col width="33.5703125" customWidth="1" style="319" min="3" max="3"/>
    <col width="47.28515625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303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47.25" customHeight="1" s="319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9">
      <c r="A6" s="321" t="inlineStr">
        <is>
          <t>Единица измерения  — 1 га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9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19">
      <c r="A11" s="354" t="inlineStr">
        <is>
          <t>Б7-03</t>
        </is>
      </c>
      <c r="B11" s="354" t="inlineStr">
        <is>
          <t xml:space="preserve">УНЦ на вырубку (расширение, расчистку) просеки ВЛ (для всех субъектов Российской Федерации) </t>
        </is>
      </c>
      <c r="C11" s="316">
        <f>D5</f>
        <v/>
      </c>
      <c r="D11" s="327">
        <f>'Прил.4 РМ'!C41/1000</f>
        <v/>
      </c>
    </row>
    <row r="13">
      <c r="A13" s="308" t="inlineStr">
        <is>
          <t>Составил ______________________     Д.А. Самуйленко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19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29" sqref="D29"/>
    </sheetView>
  </sheetViews>
  <sheetFormatPr baseColWidth="8" defaultRowHeight="15"/>
  <cols>
    <col width="9.140625" customWidth="1" style="319" min="1" max="1"/>
    <col width="40.7109375" customWidth="1" style="319" min="2" max="2"/>
    <col width="38.710937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48" t="inlineStr">
        <is>
          <t>Приложение № 10</t>
        </is>
      </c>
    </row>
    <row r="5" ht="18.75" customHeight="1" s="319">
      <c r="B5" s="163" t="n"/>
    </row>
    <row r="6" ht="15.75" customHeight="1" s="319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31.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прил.1</t>
        </is>
      </c>
      <c r="D11" s="354" t="n">
        <v>46.83</v>
      </c>
    </row>
    <row r="12" ht="31.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прил.1</t>
        </is>
      </c>
      <c r="D12" s="354" t="n">
        <v>11.96</v>
      </c>
    </row>
    <row r="13" ht="31.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прил.1</t>
        </is>
      </c>
      <c r="D13" s="354" t="n">
        <v>9.84</v>
      </c>
    </row>
    <row r="14" ht="31.5" customHeight="1" s="319">
      <c r="B14" s="354" t="inlineStr">
        <is>
          <t>Индекс изменения сметной стоимости на 1 квартал 2023 года. ОБ</t>
        </is>
      </c>
      <c r="C14" s="354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9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5" t="n">
        <v>0.033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0.01</v>
      </c>
    </row>
    <row r="17" ht="15.75" customHeight="1" s="319">
      <c r="B17" s="354" t="inlineStr">
        <is>
          <t>Пусконаладочные работы*</t>
        </is>
      </c>
      <c r="C17" s="354" t="n"/>
      <c r="D17" s="354" t="inlineStr">
        <is>
          <t>Расчет</t>
        </is>
      </c>
    </row>
    <row r="18" ht="31.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65" t="n">
        <v>0.0214</v>
      </c>
    </row>
    <row r="19" ht="31.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65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65" t="n">
        <v>0.03</v>
      </c>
    </row>
    <row r="21" ht="18.75" customHeight="1" s="319">
      <c r="B21" s="229" t="n"/>
    </row>
    <row r="22" ht="18.75" customHeight="1" s="319">
      <c r="B22" s="229" t="n"/>
    </row>
    <row r="23" ht="18.75" customHeight="1" s="319">
      <c r="B23" s="229" t="n"/>
    </row>
    <row r="24" ht="18.75" customHeight="1" s="319">
      <c r="B24" s="229" t="n"/>
    </row>
    <row r="27">
      <c r="B27" s="308" t="inlineStr">
        <is>
          <t>Составил ______________________        Д.А. Самуйленко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22" sqref="L22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46" t="n">
        <v>3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7" t="n">
        <v>1.19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48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2025-01-24T11:54:25Z</dcterms:modified>
  <cp:lastModifiedBy>REDMIBOOK</cp:lastModifiedBy>
  <cp:lastPrinted>2023-12-01T12:56:48Z</cp:lastPrinted>
</cp:coreProperties>
</file>