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70" fontId="12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6" zoomScale="60" zoomScaleNormal="85" workbookViewId="0">
      <selection activeCell="I19" sqref="I19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.2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95" t="n"/>
      <c r="C6" s="95" t="n"/>
      <c r="D6" s="95" t="n"/>
    </row>
    <row r="7" ht="64.5" customHeight="1">
      <c r="B7" s="141" t="inlineStr">
        <is>
          <t>Наименование разрабатываемого показателя УНЦ - РЗиА ячейки выключателя 330 кВ</t>
        </is>
      </c>
    </row>
    <row r="8" ht="31.7" customHeight="1">
      <c r="B8" s="141" t="inlineStr">
        <is>
          <t>Сопоставимый уровень цен: 4 кв. 2012 г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36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35" customHeight="1">
      <c r="B12" s="147" t="n">
        <v>1</v>
      </c>
      <c r="C12" s="122" t="inlineStr">
        <is>
          <t>Наименование объекта-представителя</t>
        </is>
      </c>
      <c r="D12" s="147" t="inlineStr">
        <is>
          <t>ПС 330 кВ Кисловодск с заходами ВЛ 330 кВ</t>
        </is>
      </c>
    </row>
    <row r="13" ht="31.7" customHeight="1">
      <c r="B13" s="147" t="n">
        <v>2</v>
      </c>
      <c r="C13" s="122" t="inlineStr">
        <is>
          <t>Наименование субъекта Российской Федерации</t>
        </is>
      </c>
      <c r="D13" s="147" t="inlineStr">
        <is>
          <t>Ставропольский край</t>
        </is>
      </c>
    </row>
    <row r="14" ht="15.75" customHeight="1">
      <c r="B14" s="147" t="n">
        <v>3</v>
      </c>
      <c r="C14" s="122" t="inlineStr">
        <is>
          <t>Климатический район и подрайон</t>
        </is>
      </c>
      <c r="D14" s="147" t="inlineStr">
        <is>
          <t>IIIВ</t>
        </is>
      </c>
    </row>
    <row r="15" ht="15.75" customHeight="1">
      <c r="B15" s="147" t="n">
        <v>4</v>
      </c>
      <c r="C15" s="122" t="inlineStr">
        <is>
          <t>Мощность объекта</t>
        </is>
      </c>
      <c r="D15" s="147" t="n">
        <v>9</v>
      </c>
    </row>
    <row r="16" ht="162.75" customHeight="1">
      <c r="B16" s="147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Шкаф управления разъединителем 72шт
Шкаф автоматики управления выключателя УШР (АУВ УШР) 8шт
Основная защита линий 12шт
Автоматика управления выключателем 9шт
Дифференциальная защита шин (ошиновки) 4шт
Резервная защита линий 6шт</t>
        </is>
      </c>
    </row>
    <row r="17" ht="85.7" customHeight="1">
      <c r="B17" s="147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0">
        <f>SUM(D18:D21)</f>
        <v/>
      </c>
    </row>
    <row r="18" ht="15.75" customHeight="1">
      <c r="B18" s="96" t="inlineStr">
        <is>
          <t>6.1</t>
        </is>
      </c>
      <c r="C18" s="122" t="inlineStr">
        <is>
          <t>строительно-монтажные работы</t>
        </is>
      </c>
      <c r="D18" s="110">
        <f>'Прил.2 Расч стоим'!G13</f>
        <v/>
      </c>
    </row>
    <row r="19" ht="15.75" customHeight="1">
      <c r="B19" s="96" t="inlineStr">
        <is>
          <t>6.2</t>
        </is>
      </c>
      <c r="C19" s="122" t="inlineStr">
        <is>
          <t>оборудование и инвентарь</t>
        </is>
      </c>
      <c r="D19" s="110">
        <f>'Прил.2 Расч стоим'!H12</f>
        <v/>
      </c>
    </row>
    <row r="20" ht="15.75" customHeight="1">
      <c r="B20" s="96" t="inlineStr">
        <is>
          <t>6.3</t>
        </is>
      </c>
      <c r="C20" s="122" t="inlineStr">
        <is>
          <t>пусконаладочные работы</t>
        </is>
      </c>
      <c r="D20" s="110" t="n"/>
    </row>
    <row r="21" ht="31.7" customHeight="1">
      <c r="B21" s="96" t="inlineStr">
        <is>
          <t>6.4</t>
        </is>
      </c>
      <c r="C21" s="122" t="inlineStr">
        <is>
          <t>прочие и лимитированные затраты</t>
        </is>
      </c>
      <c r="D21" s="110">
        <f>'Прил.2 Расч стоим'!I13</f>
        <v/>
      </c>
    </row>
    <row r="22" ht="15.75" customHeight="1">
      <c r="B22" s="147" t="n">
        <v>7</v>
      </c>
      <c r="C22" s="122" t="inlineStr">
        <is>
          <t>Сопоставимый уровень цен</t>
        </is>
      </c>
      <c r="D22" s="147" t="inlineStr">
        <is>
          <t>4 кв. 2012 г</t>
        </is>
      </c>
      <c r="G22" s="101" t="n"/>
    </row>
    <row r="23" ht="110.25" customHeight="1">
      <c r="B23" s="147" t="n">
        <v>8</v>
      </c>
      <c r="C23" s="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0">
        <f>D17</f>
        <v/>
      </c>
    </row>
    <row r="24" ht="47.25" customHeight="1">
      <c r="B24" s="147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10">
        <f>D23/D15</f>
        <v/>
      </c>
      <c r="G24" s="101" t="n"/>
    </row>
    <row r="25" hidden="1" ht="110.25" customHeight="1">
      <c r="B25" s="147" t="n">
        <v>10</v>
      </c>
      <c r="C25" s="122" t="inlineStr">
        <is>
          <t>Примечание</t>
        </is>
      </c>
      <c r="D25" s="12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97" t="n"/>
      <c r="C26" s="98" t="n"/>
      <c r="D26" s="98" t="n"/>
    </row>
    <row r="27" hidden="1">
      <c r="B27" s="127" t="inlineStr">
        <is>
          <t>Составил ______________________        Е.А. Князева</t>
        </is>
      </c>
      <c r="C27" s="137" t="n"/>
    </row>
    <row r="28" hidden="1">
      <c r="B28" s="138" t="inlineStr">
        <is>
          <t xml:space="preserve">                         (подпись, инициалы, фамилия)</t>
        </is>
      </c>
      <c r="C28" s="137" t="n"/>
    </row>
    <row r="29" hidden="1">
      <c r="B29" s="138" t="n"/>
      <c r="C29" s="137" t="n"/>
    </row>
    <row r="30">
      <c r="B30" s="127" t="inlineStr">
        <is>
          <t>Составил ______________________        Р.Р. Шагеева</t>
        </is>
      </c>
      <c r="C30" s="137" t="n"/>
    </row>
    <row r="31">
      <c r="B31" s="138" t="inlineStr">
        <is>
          <t xml:space="preserve">                         (подпись, инициалы, фамилия)</t>
        </is>
      </c>
      <c r="C31" s="137" t="n"/>
    </row>
    <row r="32">
      <c r="B32" s="127" t="n"/>
      <c r="C32" s="137" t="n"/>
    </row>
    <row r="33">
      <c r="B33" s="127" t="inlineStr">
        <is>
          <t>Проверил ______________________        А.В. Костянецкая</t>
        </is>
      </c>
      <c r="C33" s="137" t="n"/>
    </row>
    <row r="34">
      <c r="B34" s="138" t="inlineStr">
        <is>
          <t xml:space="preserve">                        (подпись, инициалы, фамилия)</t>
        </is>
      </c>
      <c r="C34" s="137" t="n"/>
    </row>
    <row r="35" ht="15.75" customHeight="1">
      <c r="B35" s="98" t="n"/>
      <c r="C35" s="98" t="n"/>
      <c r="D35" s="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F19" sqref="F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39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36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85" t="n"/>
      <c r="F9" s="185" t="n"/>
      <c r="G9" s="185" t="n"/>
      <c r="H9" s="185" t="n"/>
      <c r="I9" s="185" t="n"/>
      <c r="J9" s="186" t="n"/>
    </row>
    <row r="10" ht="15.75" customHeight="1">
      <c r="B10" s="187" t="n"/>
      <c r="C10" s="187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4 кв. 2012 г., тыс. руб.</t>
        </is>
      </c>
      <c r="G10" s="185" t="n"/>
      <c r="H10" s="185" t="n"/>
      <c r="I10" s="185" t="n"/>
      <c r="J10" s="186" t="n"/>
    </row>
    <row r="11" ht="71.45" customHeight="1">
      <c r="B11" s="188" t="n"/>
      <c r="C11" s="188" t="n"/>
      <c r="D11" s="188" t="n"/>
      <c r="E11" s="188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71.95" customHeight="1">
      <c r="B12" s="119" t="n">
        <v>1</v>
      </c>
      <c r="C12" s="122">
        <f>'Прил.1 Сравнит табл'!D16</f>
        <v/>
      </c>
      <c r="D12" s="121" t="inlineStr">
        <is>
          <t>02-14-02</t>
        </is>
      </c>
      <c r="E12" s="122" t="inlineStr">
        <is>
          <t>Шкафы релейной защиты и автоматики РЗА, ПС 330 кВ Кисловодск</t>
        </is>
      </c>
      <c r="F12" s="123" t="n">
        <v>0</v>
      </c>
      <c r="G12" s="123" t="n">
        <v>32862.976</v>
      </c>
      <c r="H12" s="123" t="n">
        <v>48070.273</v>
      </c>
      <c r="I12" s="123" t="n"/>
      <c r="J12" s="124">
        <f>SUM(F12:I12)</f>
        <v/>
      </c>
    </row>
    <row r="13" ht="15" customHeight="1">
      <c r="B13" s="145" t="inlineStr">
        <is>
          <t>Всего по объекту:</t>
        </is>
      </c>
      <c r="C13" s="185" t="n"/>
      <c r="D13" s="185" t="n"/>
      <c r="E13" s="186" t="n"/>
      <c r="F13" s="126">
        <f>SUM(F12:F12)</f>
        <v/>
      </c>
      <c r="G13" s="126">
        <f>SUM(G12:G12)</f>
        <v/>
      </c>
      <c r="H13" s="126">
        <f>SUM(H12:H12)</f>
        <v/>
      </c>
      <c r="I13" s="126">
        <f>(F13+G13)*3.9%+((F13+G13)*3.9%+F13+G13)*0.6%*1.2</f>
        <v/>
      </c>
      <c r="J13" s="126">
        <f>SUM(F13:I13)</f>
        <v/>
      </c>
    </row>
    <row r="14" ht="15.75" customHeight="1">
      <c r="B14" s="145" t="inlineStr">
        <is>
          <t>Всего по объекту в сопоставимом уровне цен 4 кв. 2012 г:</t>
        </is>
      </c>
      <c r="C14" s="185" t="n"/>
      <c r="D14" s="185" t="n"/>
      <c r="E14" s="186" t="n"/>
      <c r="F14" s="126">
        <f>F13</f>
        <v/>
      </c>
      <c r="G14" s="126">
        <f>G13</f>
        <v/>
      </c>
      <c r="H14" s="126">
        <f>H13</f>
        <v/>
      </c>
      <c r="I14" s="126">
        <f>(F14+G14)*3.9%+((F14+G14)*3.9%+F14+G14)*0.6%*1.2</f>
        <v/>
      </c>
      <c r="J14" s="126">
        <f>SUM(F14:I14)</f>
        <v/>
      </c>
    </row>
    <row r="18">
      <c r="C18" s="127" t="inlineStr">
        <is>
          <t>Составил ______________________        Р.Р. Шагеева</t>
        </is>
      </c>
      <c r="D18" s="137" t="n"/>
    </row>
    <row r="19">
      <c r="C19" s="138" t="inlineStr">
        <is>
          <t xml:space="preserve">                         (подпись, инициалы, фамилия)</t>
        </is>
      </c>
      <c r="D19" s="137" t="n"/>
    </row>
    <row r="20">
      <c r="C20" s="127" t="n"/>
      <c r="D20" s="137" t="n"/>
    </row>
    <row r="21">
      <c r="C21" s="127" t="inlineStr">
        <is>
          <t>Проверил ______________________        А.В. Костянецкая</t>
        </is>
      </c>
      <c r="D21" s="137" t="n"/>
    </row>
    <row r="22">
      <c r="C22" s="138" t="inlineStr">
        <is>
          <t xml:space="preserve">                        (подпись, инициалы, фамилия)</t>
        </is>
      </c>
      <c r="D22" s="13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88"/>
  <sheetViews>
    <sheetView view="pageBreakPreview" topLeftCell="A66" zoomScale="85" workbookViewId="0">
      <selection activeCell="D84" sqref="D84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49" t="n"/>
    </row>
    <row r="5" ht="18.75" customHeight="1">
      <c r="A5" s="143" t="n"/>
      <c r="B5" s="143" t="n"/>
      <c r="C5" s="154" t="n"/>
    </row>
    <row r="6" ht="18.75" customHeight="1">
      <c r="A6" s="36" t="n"/>
    </row>
    <row r="7" ht="32.25" customHeight="1">
      <c r="A7" s="149" t="inlineStr">
        <is>
          <t>Наименование разрабатываемого показателя УНЦ - РЗиА ячейки выключателя 330 кВ</t>
        </is>
      </c>
    </row>
    <row r="8" ht="15.75" customHeight="1">
      <c r="A8" s="40" t="n"/>
      <c r="B8" s="40" t="n"/>
      <c r="C8" s="40" t="n"/>
      <c r="D8" s="40" t="n"/>
      <c r="E8" s="40" t="n"/>
      <c r="F8" s="40" t="n"/>
      <c r="G8" s="40" t="n"/>
      <c r="H8" s="73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86" t="n"/>
    </row>
    <row r="10" ht="40.7" customHeight="1">
      <c r="A10" s="188" t="n"/>
      <c r="B10" s="188" t="n"/>
      <c r="C10" s="188" t="n"/>
      <c r="D10" s="188" t="n"/>
      <c r="E10" s="188" t="n"/>
      <c r="F10" s="188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46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46" t="n">
        <v>6</v>
      </c>
      <c r="H11" s="46" t="n">
        <v>7</v>
      </c>
    </row>
    <row r="12" ht="15" customHeight="1">
      <c r="A12" s="152" t="inlineStr">
        <is>
          <t>Затраты труда рабочих</t>
        </is>
      </c>
      <c r="B12" s="185" t="n"/>
      <c r="C12" s="185" t="n"/>
      <c r="D12" s="185" t="n"/>
      <c r="E12" s="185" t="n"/>
      <c r="F12" s="47">
        <f>SUM(F13:F16)</f>
        <v/>
      </c>
      <c r="G12" s="48" t="n"/>
      <c r="H12" s="47">
        <f>SUM(H13:H16)</f>
        <v/>
      </c>
    </row>
    <row r="13">
      <c r="A13" s="43" t="n">
        <v>1</v>
      </c>
      <c r="B13" s="74" t="n"/>
      <c r="C13" s="43" t="inlineStr">
        <is>
          <t>1-3-8</t>
        </is>
      </c>
      <c r="D13" s="103" t="inlineStr">
        <is>
          <t>Затраты труда рабочих (средний разряд работы 3,8)</t>
        </is>
      </c>
      <c r="E13" s="179" t="inlineStr">
        <is>
          <t>чел.-ч</t>
        </is>
      </c>
      <c r="F13" s="43" t="n">
        <v>5318.45</v>
      </c>
      <c r="G13" s="44" t="n">
        <v>9.4</v>
      </c>
      <c r="H13" s="44">
        <f>F13*G13</f>
        <v/>
      </c>
    </row>
    <row r="14">
      <c r="A14" s="45" t="n">
        <v>2</v>
      </c>
      <c r="B14" s="74" t="n"/>
      <c r="C14" s="43" t="inlineStr">
        <is>
          <t>1-4-0</t>
        </is>
      </c>
      <c r="D14" s="103" t="inlineStr">
        <is>
          <t>Затраты труда рабочих (средний разряд работы 4,0)</t>
        </is>
      </c>
      <c r="E14" s="179" t="inlineStr">
        <is>
          <t>чел.-ч</t>
        </is>
      </c>
      <c r="F14" s="43" t="n">
        <v>2202.48</v>
      </c>
      <c r="G14" s="44" t="n">
        <v>9.619999999999999</v>
      </c>
      <c r="H14" s="44">
        <f>F14*G14</f>
        <v/>
      </c>
    </row>
    <row r="15">
      <c r="A15" s="45" t="n">
        <v>3</v>
      </c>
      <c r="B15" s="74" t="n"/>
      <c r="C15" s="43" t="inlineStr">
        <is>
          <t>1-4-2</t>
        </is>
      </c>
      <c r="D15" s="103" t="inlineStr">
        <is>
          <t>Затраты труда рабочих (средний разряд работы 4,2)</t>
        </is>
      </c>
      <c r="E15" s="179" t="inlineStr">
        <is>
          <t>чел.-ч</t>
        </is>
      </c>
      <c r="F15" s="43" t="n">
        <v>1225.23</v>
      </c>
      <c r="G15" s="44" t="n">
        <v>9.92</v>
      </c>
      <c r="H15" s="44">
        <f>F15*G15</f>
        <v/>
      </c>
    </row>
    <row r="16">
      <c r="A16" s="45" t="n">
        <v>4</v>
      </c>
      <c r="B16" s="74" t="n"/>
      <c r="C16" s="43" t="inlineStr">
        <is>
          <t>1-4-1</t>
        </is>
      </c>
      <c r="D16" s="103" t="inlineStr">
        <is>
          <t>Затраты труда рабочих (средний разряд работы 4,1)</t>
        </is>
      </c>
      <c r="E16" s="179" t="inlineStr">
        <is>
          <t>чел.-ч</t>
        </is>
      </c>
      <c r="F16" s="43" t="n">
        <v>18.08</v>
      </c>
      <c r="G16" s="44" t="n">
        <v>9.76</v>
      </c>
      <c r="H16" s="44">
        <f>F16*G16</f>
        <v/>
      </c>
    </row>
    <row r="17" ht="15" customHeight="1">
      <c r="A17" s="148" t="inlineStr">
        <is>
          <t>Затраты труда машинистов</t>
        </is>
      </c>
      <c r="B17" s="185" t="n"/>
      <c r="C17" s="185" t="n"/>
      <c r="D17" s="185" t="n"/>
      <c r="E17" s="186" t="n"/>
      <c r="F17" s="48" t="n"/>
      <c r="G17" s="48" t="n"/>
      <c r="H17" s="47">
        <f>H18</f>
        <v/>
      </c>
    </row>
    <row r="18">
      <c r="A18" s="45" t="n">
        <v>5</v>
      </c>
      <c r="B18" s="74" t="n"/>
      <c r="C18" s="43" t="n">
        <v>2</v>
      </c>
      <c r="D18" s="103" t="inlineStr">
        <is>
          <t>Затраты труда машинистов</t>
        </is>
      </c>
      <c r="E18" s="179" t="inlineStr">
        <is>
          <t>чел.-ч</t>
        </is>
      </c>
      <c r="F18" s="179" t="n">
        <v>1830.85</v>
      </c>
      <c r="G18" s="44" t="n"/>
      <c r="H18" s="41" t="n">
        <v>19504.96</v>
      </c>
    </row>
    <row r="19" ht="15" customHeight="1">
      <c r="A19" s="148" t="inlineStr">
        <is>
          <t>Машины и механизмы</t>
        </is>
      </c>
      <c r="B19" s="185" t="n"/>
      <c r="C19" s="185" t="n"/>
      <c r="D19" s="185" t="n"/>
      <c r="E19" s="186" t="n"/>
      <c r="F19" s="48" t="n"/>
      <c r="G19" s="48" t="n"/>
      <c r="H19" s="47">
        <f>SUM(H20:H27)</f>
        <v/>
      </c>
    </row>
    <row r="20">
      <c r="A20" s="43" t="n">
        <v>6</v>
      </c>
      <c r="B20" s="74" t="n"/>
      <c r="C20" s="43" t="inlineStr">
        <is>
          <t>91.06.06-042</t>
        </is>
      </c>
      <c r="D20" s="103" t="inlineStr">
        <is>
          <t>Подъемники гидравлические, высота подъема 10 м</t>
        </is>
      </c>
      <c r="E20" s="179" t="inlineStr">
        <is>
          <t>маш.-ч</t>
        </is>
      </c>
      <c r="F20" s="179" t="n">
        <v>1418.48</v>
      </c>
      <c r="G20" s="44" t="n">
        <v>29.6</v>
      </c>
      <c r="H20" s="44">
        <f>ROUND(F20*G20,2)</f>
        <v/>
      </c>
    </row>
    <row r="21" ht="25.5" customHeight="1">
      <c r="A21" s="43" t="n">
        <v>7</v>
      </c>
      <c r="B21" s="74" t="n"/>
      <c r="C21" s="43" t="inlineStr">
        <is>
          <t>91.05.05-014</t>
        </is>
      </c>
      <c r="D21" s="103" t="inlineStr">
        <is>
          <t>Краны на автомобильном ходу, грузоподъемность 10 т</t>
        </is>
      </c>
      <c r="E21" s="179" t="inlineStr">
        <is>
          <t>маш.-ч</t>
        </is>
      </c>
      <c r="F21" s="179" t="n">
        <v>190.06</v>
      </c>
      <c r="G21" s="44" t="n">
        <v>111.99</v>
      </c>
      <c r="H21" s="44">
        <f>ROUND(F21*G21,2)</f>
        <v/>
      </c>
    </row>
    <row r="22">
      <c r="A22" s="43" t="n">
        <v>8</v>
      </c>
      <c r="B22" s="74" t="n"/>
      <c r="C22" s="43" t="inlineStr">
        <is>
          <t>91.14.02-001</t>
        </is>
      </c>
      <c r="D22" s="103" t="inlineStr">
        <is>
          <t>Автомобили бортовые, грузоподъемность до 5 т</t>
        </is>
      </c>
      <c r="E22" s="179" t="inlineStr">
        <is>
          <t>маш.-ч</t>
        </is>
      </c>
      <c r="F22" s="179" t="n">
        <v>190.06</v>
      </c>
      <c r="G22" s="44" t="n">
        <v>65.70999999999999</v>
      </c>
      <c r="H22" s="44">
        <f>ROUND(F22*G22,2)</f>
        <v/>
      </c>
    </row>
    <row r="23" ht="25.5" customHeight="1">
      <c r="A23" s="43" t="n">
        <v>9</v>
      </c>
      <c r="B23" s="74" t="n"/>
      <c r="C23" s="43" t="inlineStr">
        <is>
          <t>91.17.04-233</t>
        </is>
      </c>
      <c r="D23" s="103" t="inlineStr">
        <is>
          <t>Установки для сварки ручной дуговой (постоянного тока)</t>
        </is>
      </c>
      <c r="E23" s="179" t="inlineStr">
        <is>
          <t>маш.-ч</t>
        </is>
      </c>
      <c r="F23" s="179" t="n">
        <v>1283.92</v>
      </c>
      <c r="G23" s="44" t="n">
        <v>8.1</v>
      </c>
      <c r="H23" s="44">
        <f>ROUND(F23*G23,2)</f>
        <v/>
      </c>
    </row>
    <row r="24" ht="25.5" customHeight="1">
      <c r="A24" s="43" t="n">
        <v>10</v>
      </c>
      <c r="B24" s="74" t="n"/>
      <c r="C24" s="43" t="inlineStr">
        <is>
          <t>91.05.04-010</t>
        </is>
      </c>
      <c r="D24" s="103" t="inlineStr">
        <is>
          <t>Краны мостовые электрические, грузоподъемность 50 т</t>
        </is>
      </c>
      <c r="E24" s="179" t="inlineStr">
        <is>
          <t>маш.-ч</t>
        </is>
      </c>
      <c r="F24" s="179" t="n">
        <v>32.26</v>
      </c>
      <c r="G24" s="44" t="n">
        <v>197.01</v>
      </c>
      <c r="H24" s="44">
        <f>ROUND(F24*G24,2)</f>
        <v/>
      </c>
    </row>
    <row r="25" ht="25.5" customHeight="1">
      <c r="A25" s="43" t="n">
        <v>11</v>
      </c>
      <c r="B25" s="74" t="n"/>
      <c r="C25" s="43" t="inlineStr">
        <is>
          <t>91.17.04-161</t>
        </is>
      </c>
      <c r="D25" s="103" t="inlineStr">
        <is>
          <t>Полуавтоматы сварочные номинальным сварочным током 40-500 А</t>
        </is>
      </c>
      <c r="E25" s="179" t="inlineStr">
        <is>
          <t>маш.-ч</t>
        </is>
      </c>
      <c r="F25" s="179" t="n">
        <v>10.21</v>
      </c>
      <c r="G25" s="44" t="n">
        <v>16.44</v>
      </c>
      <c r="H25" s="44">
        <f>ROUND(F25*G25,2)</f>
        <v/>
      </c>
    </row>
    <row r="26" ht="25.5" customHeight="1">
      <c r="A26" s="43" t="n">
        <v>12</v>
      </c>
      <c r="B26" s="74" t="n"/>
      <c r="C26" s="43" t="inlineStr">
        <is>
          <t>91.06.03-061</t>
        </is>
      </c>
      <c r="D26" s="103" t="inlineStr">
        <is>
          <t>Лебедки электрические тяговым усилием: до 12,26 кН (1,25 т)</t>
        </is>
      </c>
      <c r="E26" s="179" t="inlineStr">
        <is>
          <t>маш.-ч</t>
        </is>
      </c>
      <c r="F26" s="179" t="n">
        <v>0.02</v>
      </c>
      <c r="G26" s="44" t="n">
        <v>3.28</v>
      </c>
      <c r="H26" s="44">
        <f>ROUND(F26*G26,2)</f>
        <v/>
      </c>
    </row>
    <row r="27">
      <c r="A27" s="43" t="n">
        <v>13</v>
      </c>
      <c r="B27" s="74" t="n"/>
      <c r="C27" s="43" t="inlineStr">
        <is>
          <t>91.06.01-003</t>
        </is>
      </c>
      <c r="D27" s="103" t="inlineStr">
        <is>
          <t>Домкраты гидравлические, грузоподъемность 63-100 т</t>
        </is>
      </c>
      <c r="E27" s="179" t="inlineStr">
        <is>
          <t>маш.-ч</t>
        </is>
      </c>
      <c r="F27" s="179" t="n">
        <v>0.02</v>
      </c>
      <c r="G27" s="44" t="n">
        <v>0.9</v>
      </c>
      <c r="H27" s="44">
        <f>ROUND(F27*G27,2)</f>
        <v/>
      </c>
    </row>
    <row r="28" ht="15" customHeight="1">
      <c r="A28" s="148" t="inlineStr">
        <is>
          <t>Оборудование</t>
        </is>
      </c>
      <c r="B28" s="185" t="n"/>
      <c r="C28" s="185" t="n"/>
      <c r="D28" s="185" t="n"/>
      <c r="E28" s="186" t="n"/>
      <c r="F28" s="48" t="n"/>
      <c r="G28" s="48" t="n"/>
      <c r="H28" s="47">
        <f>SUM(H29:H38)</f>
        <v/>
      </c>
    </row>
    <row r="29">
      <c r="A29" s="45" t="n">
        <v>14</v>
      </c>
      <c r="B29" s="148" t="n"/>
      <c r="C29" s="60" t="inlineStr">
        <is>
          <t>Прайс из СД ОП</t>
        </is>
      </c>
      <c r="D29" s="103" t="inlineStr">
        <is>
          <t>Шкаф управления разъединителем</t>
        </is>
      </c>
      <c r="E29" s="179" t="inlineStr">
        <is>
          <t xml:space="preserve">шт </t>
        </is>
      </c>
      <c r="F29" s="43" t="n">
        <v>72</v>
      </c>
      <c r="G29" s="44" t="n">
        <v>49009.01</v>
      </c>
      <c r="H29" s="44">
        <f>ROUND(F29*G29,2)</f>
        <v/>
      </c>
    </row>
    <row r="30">
      <c r="A30" s="45" t="n">
        <v>15</v>
      </c>
      <c r="B30" s="148" t="n"/>
      <c r="C30" s="60" t="inlineStr">
        <is>
          <t>Прайс из СД ОП</t>
        </is>
      </c>
      <c r="D30" s="103" t="inlineStr">
        <is>
          <t xml:space="preserve">Шкаф организации ЦН </t>
        </is>
      </c>
      <c r="E30" s="179" t="inlineStr">
        <is>
          <t xml:space="preserve">шт </t>
        </is>
      </c>
      <c r="F30" s="43" t="inlineStr">
        <is>
          <t>8</t>
        </is>
      </c>
      <c r="G30" s="44" t="n">
        <v>189147.74</v>
      </c>
      <c r="H30" s="44">
        <f>ROUND(F30*G30,2)</f>
        <v/>
      </c>
    </row>
    <row r="31">
      <c r="A31" s="45" t="n">
        <v>16</v>
      </c>
      <c r="B31" s="148" t="n"/>
      <c r="C31" s="60" t="inlineStr">
        <is>
          <t>Прайс из СД ОП</t>
        </is>
      </c>
      <c r="D31" s="103" t="inlineStr">
        <is>
          <t>Основная защита линий</t>
        </is>
      </c>
      <c r="E31" s="179" t="inlineStr">
        <is>
          <t xml:space="preserve">шт </t>
        </is>
      </c>
      <c r="F31" s="43" t="n">
        <v>12</v>
      </c>
      <c r="G31" s="44" t="n">
        <v>184459.46</v>
      </c>
      <c r="H31" s="44">
        <f>ROUND(F31*G31,2)</f>
        <v/>
      </c>
    </row>
    <row r="32">
      <c r="A32" s="45" t="n">
        <v>17</v>
      </c>
      <c r="B32" s="148" t="n"/>
      <c r="C32" s="60" t="inlineStr">
        <is>
          <t>Прайс из СД ОП</t>
        </is>
      </c>
      <c r="D32" s="103" t="inlineStr">
        <is>
          <t>Автоматика управления выключателем</t>
        </is>
      </c>
      <c r="E32" s="179" t="inlineStr">
        <is>
          <t xml:space="preserve">шт </t>
        </is>
      </c>
      <c r="F32" s="43" t="n">
        <v>9</v>
      </c>
      <c r="G32" s="44" t="n">
        <v>169087.84</v>
      </c>
      <c r="H32" s="44">
        <f>ROUND(F32*G32,2)</f>
        <v/>
      </c>
    </row>
    <row r="33">
      <c r="A33" s="45" t="n">
        <v>18</v>
      </c>
      <c r="B33" s="148" t="n"/>
      <c r="C33" s="60" t="inlineStr">
        <is>
          <t>Прайс из СД ОП</t>
        </is>
      </c>
      <c r="D33" s="103" t="inlineStr">
        <is>
          <t>Дифференциальная защита шин (ошиновки)</t>
        </is>
      </c>
      <c r="E33" s="179" t="inlineStr">
        <is>
          <t xml:space="preserve">шт </t>
        </is>
      </c>
      <c r="F33" s="43" t="n">
        <v>4</v>
      </c>
      <c r="G33" s="44" t="n">
        <v>353547.3</v>
      </c>
      <c r="H33" s="44">
        <f>ROUND(F33*G33,2)</f>
        <v/>
      </c>
    </row>
    <row r="34">
      <c r="A34" s="45" t="n">
        <v>19</v>
      </c>
      <c r="B34" s="148" t="n"/>
      <c r="C34" s="60" t="inlineStr">
        <is>
          <t>Прайс из СД ОП</t>
        </is>
      </c>
      <c r="D34" s="103" t="inlineStr">
        <is>
          <t>Резервная защита линий</t>
        </is>
      </c>
      <c r="E34" s="179" t="inlineStr">
        <is>
          <t xml:space="preserve">шт </t>
        </is>
      </c>
      <c r="F34" s="43" t="n">
        <v>6</v>
      </c>
      <c r="G34" s="44" t="n">
        <v>169087.84</v>
      </c>
      <c r="H34" s="44">
        <f>ROUND(F34*G34,2)</f>
        <v/>
      </c>
    </row>
    <row r="35">
      <c r="A35" s="45" t="n">
        <v>20</v>
      </c>
      <c r="B35" s="148" t="n"/>
      <c r="C35" s="60" t="inlineStr">
        <is>
          <t>Прайс из СД ОП</t>
        </is>
      </c>
      <c r="D35" s="103" t="inlineStr">
        <is>
          <t>Шкаф ШЗН-1А  зажимов ТН</t>
        </is>
      </c>
      <c r="E35" s="179" t="inlineStr">
        <is>
          <t xml:space="preserve">шт </t>
        </is>
      </c>
      <c r="F35" s="43" t="n">
        <v>16</v>
      </c>
      <c r="G35" s="44" t="n">
        <v>6756.76</v>
      </c>
      <c r="H35" s="44">
        <f>ROUND(F35*G35,2)</f>
        <v/>
      </c>
    </row>
    <row r="36">
      <c r="A36" s="45" t="n">
        <v>21</v>
      </c>
      <c r="B36" s="148" t="n"/>
      <c r="C36" s="60" t="inlineStr">
        <is>
          <t>Прайс из СД ОП</t>
        </is>
      </c>
      <c r="D36" s="158" t="inlineStr">
        <is>
          <t>Шкаф ОМП</t>
        </is>
      </c>
      <c r="E36" s="179" t="inlineStr">
        <is>
          <t xml:space="preserve">шт </t>
        </is>
      </c>
      <c r="F36" s="43" t="inlineStr">
        <is>
          <t>6</t>
        </is>
      </c>
      <c r="G36" s="44" t="n">
        <v>530320.95</v>
      </c>
      <c r="H36" s="44">
        <f>ROUND(F36*G36,2)</f>
        <v/>
      </c>
    </row>
    <row r="37">
      <c r="A37" s="45" t="n">
        <v>22</v>
      </c>
      <c r="B37" s="148" t="n"/>
      <c r="C37" s="60" t="inlineStr">
        <is>
          <t>Прайс из СД ОП</t>
        </is>
      </c>
      <c r="D37" s="103" t="inlineStr">
        <is>
          <t xml:space="preserve">Шкаф ШЗВ-200  зажимов </t>
        </is>
      </c>
      <c r="E37" s="179" t="inlineStr">
        <is>
          <t xml:space="preserve">шт </t>
        </is>
      </c>
      <c r="F37" s="43" t="inlineStr">
        <is>
          <t>9</t>
        </is>
      </c>
      <c r="G37" s="44" t="n">
        <v>10585.59</v>
      </c>
      <c r="H37" s="44">
        <f>ROUND(F37*G37,2)</f>
        <v/>
      </c>
    </row>
    <row r="38">
      <c r="A38" s="45" t="n">
        <v>23</v>
      </c>
      <c r="B38" s="148" t="n"/>
      <c r="C38" s="60" t="inlineStr">
        <is>
          <t>Прайс из СД ОП</t>
        </is>
      </c>
      <c r="D38" s="113" t="inlineStr">
        <is>
          <t>Шкаф ШЗВ-60 зажимов ТТ</t>
        </is>
      </c>
      <c r="E38" s="179" t="inlineStr">
        <is>
          <t xml:space="preserve">шт </t>
        </is>
      </c>
      <c r="F38" s="43" t="n">
        <v>15</v>
      </c>
      <c r="G38" s="44" t="n">
        <v>2027.03</v>
      </c>
      <c r="H38" s="44">
        <f>ROUND(F38*G38,2)</f>
        <v/>
      </c>
    </row>
    <row r="39" ht="15" customHeight="1">
      <c r="A39" s="148" t="inlineStr">
        <is>
          <t>Материалы</t>
        </is>
      </c>
      <c r="B39" s="185" t="n"/>
      <c r="C39" s="185" t="n"/>
      <c r="D39" s="185" t="n"/>
      <c r="E39" s="186" t="n"/>
      <c r="F39" s="48" t="n"/>
      <c r="G39" s="48" t="n"/>
      <c r="H39" s="47">
        <f>SUM(H40:H80)</f>
        <v/>
      </c>
    </row>
    <row r="40" ht="38.85" customHeight="1">
      <c r="A40" s="45" t="n">
        <v>24</v>
      </c>
      <c r="B40" s="74" t="n"/>
      <c r="C40" s="43" t="inlineStr">
        <is>
          <t>20.2.04.04-0001</t>
        </is>
      </c>
      <c r="D40" s="103" t="inlineStr">
        <is>
          <t>Короб кабельный прямой из оцинкованный стали толщиной 1,5 мм, размер 2000х150х100 мм, 1-канальный</t>
        </is>
      </c>
      <c r="E40" s="179" t="inlineStr">
        <is>
          <t>шт</t>
        </is>
      </c>
      <c r="F40" s="43" t="n">
        <v>8164.8</v>
      </c>
      <c r="G40" s="44" t="n">
        <v>157.3</v>
      </c>
      <c r="H40" s="44">
        <f>ROUND(F40*G40,2)</f>
        <v/>
      </c>
    </row>
    <row r="41" ht="25.9" customHeight="1">
      <c r="A41" s="45" t="n">
        <v>25</v>
      </c>
      <c r="B41" s="74" t="n"/>
      <c r="C41" s="60" t="inlineStr">
        <is>
          <t>21.1.06.09-0166</t>
        </is>
      </c>
      <c r="D41" s="103" t="inlineStr">
        <is>
          <t>Кабель силовой с медными жилами ВВГнг(A)-LS 4х25-660</t>
        </is>
      </c>
      <c r="E41" s="179" t="inlineStr">
        <is>
          <t>1000 м</t>
        </is>
      </c>
      <c r="F41" s="179" t="n">
        <v>12.755232</v>
      </c>
      <c r="G41" s="44" t="n">
        <v>88071.37</v>
      </c>
      <c r="H41" s="44">
        <f>ROUND(F41*G41,2)</f>
        <v/>
      </c>
    </row>
    <row r="42">
      <c r="A42" s="45" t="n">
        <v>26</v>
      </c>
      <c r="B42" s="74" t="n"/>
      <c r="C42" s="43" t="inlineStr">
        <is>
          <t>21.1.08.03-0587</t>
        </is>
      </c>
      <c r="D42" s="103" t="inlineStr">
        <is>
          <t>Кабель контрольный КВВГЭнг(A)-LS 10х2,5</t>
        </is>
      </c>
      <c r="E42" s="179" t="inlineStr">
        <is>
          <t>1000 м</t>
        </is>
      </c>
      <c r="F42" s="179" t="n">
        <v>10.206</v>
      </c>
      <c r="G42" s="44" t="n">
        <v>67943.28999999999</v>
      </c>
      <c r="H42" s="44">
        <f>ROUND(F42*G42,2)</f>
        <v/>
      </c>
    </row>
    <row r="43" ht="25.9" customHeight="1">
      <c r="A43" s="45" t="n">
        <v>27</v>
      </c>
      <c r="B43" s="74" t="n"/>
      <c r="C43" s="43" t="inlineStr">
        <is>
          <t>07.2.07.04-0007</t>
        </is>
      </c>
      <c r="D43" s="103" t="inlineStr">
        <is>
          <t>Конструкции стальные индивидуальные решетчатые сварные, масса до 0,1 т</t>
        </is>
      </c>
      <c r="E43" s="179" t="inlineStr">
        <is>
          <t>т</t>
        </is>
      </c>
      <c r="F43" s="179" t="n">
        <v>37.221408</v>
      </c>
      <c r="G43" s="44" t="n">
        <v>11500</v>
      </c>
      <c r="H43" s="44">
        <f>ROUND(F43*G43,2)</f>
        <v/>
      </c>
    </row>
    <row r="44">
      <c r="A44" s="45" t="n">
        <v>28</v>
      </c>
      <c r="B44" s="74" t="n"/>
      <c r="C44" s="60" t="inlineStr">
        <is>
          <t>21.1.06.09-0111</t>
        </is>
      </c>
      <c r="D44" s="103" t="inlineStr">
        <is>
          <t>Кабель силовой с медными жилами ВВГнг 4х6-660</t>
        </is>
      </c>
      <c r="E44" s="179" t="inlineStr">
        <is>
          <t>1000 м</t>
        </is>
      </c>
      <c r="F44" s="179" t="n">
        <v>10.206</v>
      </c>
      <c r="G44" s="44" t="n">
        <v>14867.6</v>
      </c>
      <c r="H44" s="44">
        <f>ROUND(F44*G44,2)</f>
        <v/>
      </c>
    </row>
    <row r="45">
      <c r="A45" s="45" t="n">
        <v>29</v>
      </c>
      <c r="B45" s="74" t="n"/>
      <c r="C45" s="43" t="inlineStr">
        <is>
          <t>01.7.11.07-0034</t>
        </is>
      </c>
      <c r="D45" s="103" t="inlineStr">
        <is>
          <t>Электроды диаметром: 4 мм Э42А</t>
        </is>
      </c>
      <c r="E45" s="179" t="inlineStr">
        <is>
          <t>кг</t>
        </is>
      </c>
      <c r="F45" s="43" t="n">
        <v>6901.272</v>
      </c>
      <c r="G45" s="44" t="n">
        <v>10.57</v>
      </c>
      <c r="H45" s="44">
        <f>ROUND(F45*G45,2)</f>
        <v/>
      </c>
    </row>
    <row r="46">
      <c r="A46" s="45" t="n">
        <v>30</v>
      </c>
      <c r="B46" s="74" t="n"/>
      <c r="C46" s="43" t="inlineStr">
        <is>
          <t>20.2.08.07-0033</t>
        </is>
      </c>
      <c r="D46" s="103" t="inlineStr">
        <is>
          <t>Скоба: У1078</t>
        </is>
      </c>
      <c r="E46" s="179" t="inlineStr">
        <is>
          <t>100 шт</t>
        </is>
      </c>
      <c r="F46" s="43" t="n">
        <v>97.3224</v>
      </c>
      <c r="G46" s="44" t="n">
        <v>617</v>
      </c>
      <c r="H46" s="44">
        <f>ROUND(F46*G46,2)</f>
        <v/>
      </c>
    </row>
    <row r="47">
      <c r="A47" s="45" t="n">
        <v>31</v>
      </c>
      <c r="B47" s="74" t="n"/>
      <c r="C47" s="43" t="inlineStr">
        <is>
          <t>01.7.15.03-0042</t>
        </is>
      </c>
      <c r="D47" s="103" t="inlineStr">
        <is>
          <t>Болты с гайками и шайбами строительные</t>
        </is>
      </c>
      <c r="E47" s="179" t="inlineStr">
        <is>
          <t>кг</t>
        </is>
      </c>
      <c r="F47" s="43" t="n">
        <v>5884.44696</v>
      </c>
      <c r="G47" s="44" t="n">
        <v>9.039999999999999</v>
      </c>
      <c r="H47" s="44">
        <f>ROUND(F47*G47,2)</f>
        <v/>
      </c>
    </row>
    <row r="48">
      <c r="A48" s="45" t="n">
        <v>32</v>
      </c>
      <c r="B48" s="74" t="n"/>
      <c r="C48" s="43" t="inlineStr">
        <is>
          <t>01.7.15.07-0014</t>
        </is>
      </c>
      <c r="D48" s="103" t="inlineStr">
        <is>
          <t>Дюбели распорные полипропиленовые</t>
        </is>
      </c>
      <c r="E48" s="179" t="inlineStr">
        <is>
          <t>100 шт</t>
        </is>
      </c>
      <c r="F48" s="43" t="n">
        <v>353.97936</v>
      </c>
      <c r="G48" s="44" t="n">
        <v>86</v>
      </c>
      <c r="H48" s="44">
        <f>F48*G48</f>
        <v/>
      </c>
    </row>
    <row r="49">
      <c r="A49" s="45" t="n">
        <v>33</v>
      </c>
      <c r="B49" s="74" t="n"/>
      <c r="C49" s="43" t="inlineStr">
        <is>
          <t>14.4.02.09-0001</t>
        </is>
      </c>
      <c r="D49" s="103" t="inlineStr">
        <is>
          <t>Краска</t>
        </is>
      </c>
      <c r="E49" s="179" t="inlineStr">
        <is>
          <t>кг</t>
        </is>
      </c>
      <c r="F49" s="43" t="n">
        <v>998.2224</v>
      </c>
      <c r="G49" s="44" t="n">
        <v>28.6</v>
      </c>
      <c r="H49" s="44">
        <f>ROUND(F49*G49,2)</f>
        <v/>
      </c>
    </row>
    <row r="50">
      <c r="A50" s="45" t="n">
        <v>34</v>
      </c>
      <c r="B50" s="74" t="n"/>
      <c r="C50" s="43" t="inlineStr">
        <is>
          <t>01.7.15.07-0031</t>
        </is>
      </c>
      <c r="D50" s="103" t="inlineStr">
        <is>
          <t>Дюбели распорные с гайкой</t>
        </is>
      </c>
      <c r="E50" s="179" t="inlineStr">
        <is>
          <t>100 шт</t>
        </is>
      </c>
      <c r="F50" s="43" t="n">
        <v>141.5736</v>
      </c>
      <c r="G50" s="44" t="n">
        <v>110</v>
      </c>
      <c r="H50" s="44">
        <f>ROUND(F50*G50,2)</f>
        <v/>
      </c>
    </row>
    <row r="51" ht="25.9" customHeight="1">
      <c r="A51" s="45" t="n">
        <v>35</v>
      </c>
      <c r="B51" s="74" t="n"/>
      <c r="C51" s="43" t="inlineStr">
        <is>
          <t>03.2.01.01-0003</t>
        </is>
      </c>
      <c r="D51" s="103" t="inlineStr">
        <is>
          <t>Портландцемент общестроительного назначения бездобавочный, марки: 500</t>
        </is>
      </c>
      <c r="E51" s="179" t="inlineStr">
        <is>
          <t>т</t>
        </is>
      </c>
      <c r="F51" s="43" t="n">
        <v>31.8528</v>
      </c>
      <c r="G51" s="44" t="n">
        <v>480</v>
      </c>
      <c r="H51" s="44">
        <f>ROUND(F51*G51,2)</f>
        <v/>
      </c>
    </row>
    <row r="52" ht="25.9" customHeight="1">
      <c r="A52" s="45" t="n">
        <v>36</v>
      </c>
      <c r="B52" s="74" t="n"/>
      <c r="C52" s="43" t="inlineStr">
        <is>
          <t>20.5.02.02-0001</t>
        </is>
      </c>
      <c r="D52" s="103" t="inlineStr">
        <is>
          <t>Коробка клеммная взрывозащищенная SA141410(1C10-1N-1PE- 1C2-1N-1PE-1FL3(C)-1FL2(C) 2Exel IT6, IP66</t>
        </is>
      </c>
      <c r="E52" s="179" t="inlineStr">
        <is>
          <t>шт.</t>
        </is>
      </c>
      <c r="F52" s="43" t="n">
        <v>5.04</v>
      </c>
      <c r="G52" s="44" t="n">
        <v>2639.24</v>
      </c>
      <c r="H52" s="44">
        <f>ROUND(F52*G52,2)</f>
        <v/>
      </c>
    </row>
    <row r="53" ht="25.9" customHeight="1">
      <c r="A53" s="45" t="n">
        <v>37</v>
      </c>
      <c r="B53" s="74" t="n"/>
      <c r="C53" s="43" t="inlineStr">
        <is>
          <t>999-9950</t>
        </is>
      </c>
      <c r="D53" s="103" t="inlineStr">
        <is>
          <t>Вспомогательные ненормируемые ресурсы (2% от Оплаты труда рабочих)</t>
        </is>
      </c>
      <c r="E53" s="179" t="inlineStr">
        <is>
          <t>руб.</t>
        </is>
      </c>
      <c r="F53" s="43" t="n">
        <v>8313.83784</v>
      </c>
      <c r="G53" s="44" t="n">
        <v>1</v>
      </c>
      <c r="H53" s="44">
        <f>ROUND(F53*G53,2)</f>
        <v/>
      </c>
    </row>
    <row r="54">
      <c r="A54" s="45" t="n">
        <v>38</v>
      </c>
      <c r="B54" s="74" t="n"/>
      <c r="C54" s="43" t="inlineStr">
        <is>
          <t>08.1.02.13-0005</t>
        </is>
      </c>
      <c r="D54" s="103" t="inlineStr">
        <is>
          <t>Рукава металлические диаметром 15 мм РЗ-Ц-Х</t>
        </is>
      </c>
      <c r="E54" s="179" t="inlineStr">
        <is>
          <t>м</t>
        </is>
      </c>
      <c r="F54" s="43" t="n">
        <v>453.6</v>
      </c>
      <c r="G54" s="44" t="n">
        <v>8.279999999999999</v>
      </c>
      <c r="H54" s="44">
        <f>ROUND(F54*G54,2)</f>
        <v/>
      </c>
    </row>
    <row r="55">
      <c r="A55" s="45" t="n">
        <v>39</v>
      </c>
      <c r="B55" s="74" t="n"/>
      <c r="C55" s="43" t="inlineStr">
        <is>
          <t>20.1.02.23-0082</t>
        </is>
      </c>
      <c r="D55" s="103" t="inlineStr">
        <is>
          <t>Перемычки гибкие, тип ПГС-50</t>
        </is>
      </c>
      <c r="E55" s="179" t="inlineStr">
        <is>
          <t>10 шт</t>
        </is>
      </c>
      <c r="F55" s="43" t="n">
        <v>64.5624</v>
      </c>
      <c r="G55" s="44" t="n">
        <v>39</v>
      </c>
      <c r="H55" s="44">
        <f>ROUND(F55*G55,2)</f>
        <v/>
      </c>
    </row>
    <row r="56" ht="25.9" customHeight="1">
      <c r="A56" s="45" t="n">
        <v>40</v>
      </c>
      <c r="B56" s="74" t="n"/>
      <c r="C56" s="43" t="inlineStr">
        <is>
          <t>08.3.07.01-0076</t>
        </is>
      </c>
      <c r="D56" s="103" t="inlineStr">
        <is>
          <t>Сталь полосовая, марка стали: Ст3сп шириной 50-200 мм толщиной 4-5 мм</t>
        </is>
      </c>
      <c r="E56" s="179" t="inlineStr">
        <is>
          <t>т</t>
        </is>
      </c>
      <c r="F56" s="43" t="n">
        <v>0.48132</v>
      </c>
      <c r="G56" s="44" t="n">
        <v>5000</v>
      </c>
      <c r="H56" s="44">
        <f>F56*G56</f>
        <v/>
      </c>
    </row>
    <row r="57" ht="25.9" customHeight="1">
      <c r="A57" s="45" t="n">
        <v>41</v>
      </c>
      <c r="B57" s="74" t="n"/>
      <c r="C57" s="43" t="inlineStr">
        <is>
          <t>02.3.01.02-0020</t>
        </is>
      </c>
      <c r="D57" s="103" t="inlineStr">
        <is>
          <t>Песок природный для строительных: растворов средний</t>
        </is>
      </c>
      <c r="E57" s="179" t="inlineStr">
        <is>
          <t>м3</t>
        </is>
      </c>
      <c r="F57" s="43" t="n">
        <v>26.54568</v>
      </c>
      <c r="G57" s="44" t="n">
        <v>59.99</v>
      </c>
      <c r="H57" s="44">
        <f>ROUND(F57*G57,2)</f>
        <v/>
      </c>
    </row>
    <row r="58" ht="25.9" customHeight="1">
      <c r="A58" s="45" t="n">
        <v>42</v>
      </c>
      <c r="B58" s="74" t="n"/>
      <c r="C58" s="43" t="inlineStr">
        <is>
          <t>21.2.01.02-0141</t>
        </is>
      </c>
      <c r="D58" s="103" t="inlineStr">
        <is>
          <t>Провода неизолированные для воздушных линий электропередачи медные марки: М, сечением 4 мм2</t>
        </is>
      </c>
      <c r="E58" s="179" t="inlineStr">
        <is>
          <t>т</t>
        </is>
      </c>
      <c r="F58" s="43" t="n">
        <v>0.014616</v>
      </c>
      <c r="G58" s="44" t="n">
        <v>96440</v>
      </c>
      <c r="H58" s="44">
        <f>ROUND(F58*G58,2)</f>
        <v/>
      </c>
    </row>
    <row r="59">
      <c r="A59" s="45" t="n">
        <v>43</v>
      </c>
      <c r="B59" s="74" t="n"/>
      <c r="C59" s="43" t="inlineStr">
        <is>
          <t>18.5.08.09-0001</t>
        </is>
      </c>
      <c r="D59" s="103" t="inlineStr">
        <is>
          <t>Патрубки</t>
        </is>
      </c>
      <c r="E59" s="179" t="inlineStr">
        <is>
          <t>10 шт</t>
        </is>
      </c>
      <c r="F59" s="43" t="n">
        <v>4.536</v>
      </c>
      <c r="G59" s="44" t="n">
        <v>277.5</v>
      </c>
      <c r="H59" s="44">
        <f>ROUND(F59*G59,2)</f>
        <v/>
      </c>
    </row>
    <row r="60">
      <c r="A60" s="45" t="n">
        <v>44</v>
      </c>
      <c r="B60" s="74" t="n"/>
      <c r="C60" s="43" t="inlineStr">
        <is>
          <t>14.4.02.09-0301</t>
        </is>
      </c>
      <c r="D60" s="103" t="inlineStr">
        <is>
          <t>Краска "Цинол"</t>
        </is>
      </c>
      <c r="E60" s="179" t="inlineStr">
        <is>
          <t>кг</t>
        </is>
      </c>
      <c r="F60" s="43" t="n">
        <v>5.04</v>
      </c>
      <c r="G60" s="44" t="n">
        <v>238.48</v>
      </c>
      <c r="H60" s="44">
        <f>ROUND(F60*G60,2)</f>
        <v/>
      </c>
    </row>
    <row r="61" ht="25.9" customHeight="1">
      <c r="A61" s="45" t="n">
        <v>45</v>
      </c>
      <c r="B61" s="74" t="n"/>
      <c r="C61" s="43" t="inlineStr">
        <is>
          <t>10.3.02.03-0011</t>
        </is>
      </c>
      <c r="D61" s="103" t="inlineStr">
        <is>
          <t>Припои оловянно-свинцовые бессурьмянистые марки: ПОС30</t>
        </is>
      </c>
      <c r="E61" s="179" t="inlineStr">
        <is>
          <t>кг</t>
        </is>
      </c>
      <c r="F61" s="43" t="n">
        <v>6.565104</v>
      </c>
      <c r="G61" s="44" t="n">
        <v>68.05</v>
      </c>
      <c r="H61" s="44">
        <f>ROUND(F61*G61,2)</f>
        <v/>
      </c>
    </row>
    <row r="62">
      <c r="A62" s="45" t="n">
        <v>46</v>
      </c>
      <c r="B62" s="74" t="n"/>
      <c r="C62" s="43" t="inlineStr">
        <is>
          <t>25.2.01.01-0017</t>
        </is>
      </c>
      <c r="D62" s="103" t="inlineStr">
        <is>
          <t>Бирки маркировочные пластмассовые</t>
        </is>
      </c>
      <c r="E62" s="179" t="inlineStr">
        <is>
          <t>100 шт</t>
        </is>
      </c>
      <c r="F62" s="43" t="n">
        <v>9.827999999999999</v>
      </c>
      <c r="G62" s="44" t="n">
        <v>30.74</v>
      </c>
      <c r="H62" s="44">
        <f>ROUND(F62*G62,2)</f>
        <v/>
      </c>
    </row>
    <row r="63">
      <c r="A63" s="45" t="n">
        <v>47</v>
      </c>
      <c r="B63" s="74" t="n"/>
      <c r="C63" s="43" t="inlineStr">
        <is>
          <t>20.1.02.06-0001</t>
        </is>
      </c>
      <c r="D63" s="103" t="inlineStr">
        <is>
          <t>Жир паяльный</t>
        </is>
      </c>
      <c r="E63" s="179" t="inlineStr">
        <is>
          <t>кг</t>
        </is>
      </c>
      <c r="F63" s="43" t="n">
        <v>2.6208</v>
      </c>
      <c r="G63" s="44" t="n">
        <v>100.8</v>
      </c>
      <c r="H63" s="44">
        <f>ROUND(F63*G63,2)</f>
        <v/>
      </c>
    </row>
    <row r="64">
      <c r="A64" s="45" t="n">
        <v>48</v>
      </c>
      <c r="B64" s="74" t="n"/>
      <c r="C64" s="43" t="inlineStr">
        <is>
          <t>01.3.01.01-0001</t>
        </is>
      </c>
      <c r="D64" s="103" t="inlineStr">
        <is>
          <t>Бензин авиационный Б-70</t>
        </is>
      </c>
      <c r="E64" s="179" t="inlineStr">
        <is>
          <t>т</t>
        </is>
      </c>
      <c r="F64" s="43" t="n">
        <v>0.04032</v>
      </c>
      <c r="G64" s="44" t="n">
        <v>4488.4</v>
      </c>
      <c r="H64" s="44">
        <f>ROUND(F64*G64,2)</f>
        <v/>
      </c>
    </row>
    <row r="65">
      <c r="A65" s="45" t="n">
        <v>49</v>
      </c>
      <c r="B65" s="74" t="n"/>
      <c r="C65" s="43" t="inlineStr">
        <is>
          <t>01.7.15.04-0011</t>
        </is>
      </c>
      <c r="D65" s="103" t="inlineStr">
        <is>
          <t>Винты с полукруглой головкой длиной: 50 мм</t>
        </is>
      </c>
      <c r="E65" s="179" t="inlineStr">
        <is>
          <t>т</t>
        </is>
      </c>
      <c r="F65" s="43" t="n">
        <v>0.01008</v>
      </c>
      <c r="G65" s="44" t="n">
        <v>12430</v>
      </c>
      <c r="H65" s="44">
        <f>ROUND(F65*G65,2)</f>
        <v/>
      </c>
    </row>
    <row r="66" ht="25.9" customHeight="1">
      <c r="A66" s="45" t="n">
        <v>50</v>
      </c>
      <c r="B66" s="74" t="n"/>
      <c r="C66" s="43" t="inlineStr">
        <is>
          <t>10.3.02.03-0013</t>
        </is>
      </c>
      <c r="D66" s="103" t="inlineStr">
        <is>
          <t>Припои оловянно-свинцовые бессурьмянистые марки: ПОС61</t>
        </is>
      </c>
      <c r="E66" s="179" t="inlineStr">
        <is>
          <t>кг</t>
        </is>
      </c>
      <c r="F66" s="43" t="n">
        <v>0.757008</v>
      </c>
      <c r="G66" s="44" t="n">
        <v>114.22</v>
      </c>
      <c r="H66" s="44">
        <f>ROUND(F66*G66,2)</f>
        <v/>
      </c>
    </row>
    <row r="67" ht="25.9" customHeight="1">
      <c r="A67" s="45" t="n">
        <v>51</v>
      </c>
      <c r="B67" s="74" t="n"/>
      <c r="C67" s="43" t="inlineStr">
        <is>
          <t>01.7.06.05-0041</t>
        </is>
      </c>
      <c r="D67" s="103" t="inlineStr">
        <is>
          <t>Лента изоляционная прорезиненная односторонняя ширина 20 мм, толщина 0,25-0,35 мм</t>
        </is>
      </c>
      <c r="E67" s="179" t="inlineStr">
        <is>
          <t>кг</t>
        </is>
      </c>
      <c r="F67" s="43" t="n">
        <v>2.8224</v>
      </c>
      <c r="G67" s="44" t="n">
        <v>30.4</v>
      </c>
      <c r="H67" s="44">
        <f>ROUND(F67*G67,2)</f>
        <v/>
      </c>
    </row>
    <row r="68">
      <c r="A68" s="45" t="n">
        <v>52</v>
      </c>
      <c r="B68" s="74" t="n"/>
      <c r="C68" s="43" t="inlineStr">
        <is>
          <t>08.3.07.01-0037</t>
        </is>
      </c>
      <c r="D68" s="103" t="inlineStr">
        <is>
          <t>Сталь полосовая 30х4 мм, марка Ст3сп</t>
        </is>
      </c>
      <c r="E68" s="179" t="inlineStr">
        <is>
          <t>т</t>
        </is>
      </c>
      <c r="F68" s="43" t="n">
        <v>0.01008</v>
      </c>
      <c r="G68" s="44" t="n">
        <v>6674.64</v>
      </c>
      <c r="H68" s="44">
        <f>ROUND(F68*G68,2)</f>
        <v/>
      </c>
    </row>
    <row r="69">
      <c r="A69" s="45" t="n">
        <v>53</v>
      </c>
      <c r="B69" s="74" t="n"/>
      <c r="C69" s="43" t="inlineStr">
        <is>
          <t>25.2.01.01-0001</t>
        </is>
      </c>
      <c r="D69" s="103" t="inlineStr">
        <is>
          <t>Бирки-оконцеватели</t>
        </is>
      </c>
      <c r="E69" s="179" t="inlineStr">
        <is>
          <t>100 шт</t>
        </is>
      </c>
      <c r="F69" s="43" t="n">
        <v>1.008</v>
      </c>
      <c r="G69" s="44" t="n">
        <v>63</v>
      </c>
      <c r="H69" s="44">
        <f>ROUND(F69*G69,2)</f>
        <v/>
      </c>
    </row>
    <row r="70">
      <c r="A70" s="45" t="n">
        <v>54</v>
      </c>
      <c r="B70" s="74" t="n"/>
      <c r="C70" s="43" t="inlineStr">
        <is>
          <t>01.3.02.09-0022</t>
        </is>
      </c>
      <c r="D70" s="103" t="inlineStr">
        <is>
          <t>Пропан-бутан, смесь техническая</t>
        </is>
      </c>
      <c r="E70" s="179" t="inlineStr">
        <is>
          <t>кг</t>
        </is>
      </c>
      <c r="F70" s="43" t="n">
        <v>7.56</v>
      </c>
      <c r="G70" s="44" t="n">
        <v>6.09</v>
      </c>
      <c r="H70" s="44">
        <f>ROUND(F70*G70,2)</f>
        <v/>
      </c>
    </row>
    <row r="71">
      <c r="A71" s="45" t="n">
        <v>55</v>
      </c>
      <c r="B71" s="74" t="n"/>
      <c r="C71" s="43" t="inlineStr">
        <is>
          <t>01.3.01.05-0009</t>
        </is>
      </c>
      <c r="D71" s="103" t="inlineStr">
        <is>
          <t>Парафины нефтяные твердые марки Т-1</t>
        </is>
      </c>
      <c r="E71" s="179" t="inlineStr">
        <is>
          <t>т</t>
        </is>
      </c>
      <c r="F71" s="43" t="n">
        <v>0.002016</v>
      </c>
      <c r="G71" s="44" t="n">
        <v>8105.71</v>
      </c>
      <c r="H71" s="44">
        <f>ROUND(F71*G71,2)</f>
        <v/>
      </c>
    </row>
    <row r="72">
      <c r="A72" s="45" t="n">
        <v>56</v>
      </c>
      <c r="B72" s="74" t="n"/>
      <c r="C72" s="43" t="inlineStr">
        <is>
          <t>01.7.06.07-0001</t>
        </is>
      </c>
      <c r="D72" s="103" t="inlineStr">
        <is>
          <t>Лента К226</t>
        </is>
      </c>
      <c r="E72" s="179" t="inlineStr">
        <is>
          <t>100 м</t>
        </is>
      </c>
      <c r="F72" s="43" t="n">
        <v>0.121968</v>
      </c>
      <c r="G72" s="44" t="n">
        <v>120</v>
      </c>
      <c r="H72" s="44">
        <f>ROUND(F72*G72,2)</f>
        <v/>
      </c>
    </row>
    <row r="73">
      <c r="A73" s="45" t="n">
        <v>57</v>
      </c>
      <c r="B73" s="74" t="n"/>
      <c r="C73" s="43" t="inlineStr">
        <is>
          <t>24.3.01.01-0002</t>
        </is>
      </c>
      <c r="D73" s="103" t="inlineStr">
        <is>
          <t>Трубка полихлорвиниловая</t>
        </is>
      </c>
      <c r="E73" s="179" t="inlineStr">
        <is>
          <t>кг</t>
        </is>
      </c>
      <c r="F73" s="43" t="n">
        <v>0.39312</v>
      </c>
      <c r="G73" s="44" t="n">
        <v>35.7</v>
      </c>
      <c r="H73" s="44">
        <f>ROUND(F73*G73,2)</f>
        <v/>
      </c>
    </row>
    <row r="74">
      <c r="A74" s="45" t="n">
        <v>58</v>
      </c>
      <c r="B74" s="74" t="n"/>
      <c r="C74" s="43" t="inlineStr">
        <is>
          <t>20.2.02.01-0019</t>
        </is>
      </c>
      <c r="D74" s="103" t="inlineStr">
        <is>
          <t>Втулки изолирующие</t>
        </is>
      </c>
      <c r="E74" s="179" t="inlineStr">
        <is>
          <t>1000 шт</t>
        </is>
      </c>
      <c r="F74" s="43" t="n">
        <v>0.04536</v>
      </c>
      <c r="G74" s="44" t="n">
        <v>270</v>
      </c>
      <c r="H74" s="44">
        <f>ROUND(F74*G74,2)</f>
        <v/>
      </c>
    </row>
    <row r="75">
      <c r="A75" s="43" t="n">
        <v>59</v>
      </c>
      <c r="B75" s="74" t="n"/>
      <c r="C75" s="43" t="inlineStr">
        <is>
          <t>01.3.01.07-0009</t>
        </is>
      </c>
      <c r="D75" s="103" t="inlineStr">
        <is>
          <t>Спирт этиловый ректификованный технический, сорт I</t>
        </is>
      </c>
      <c r="E75" s="179" t="inlineStr">
        <is>
          <t>кг</t>
        </is>
      </c>
      <c r="F75" s="43" t="n">
        <v>0.285264</v>
      </c>
      <c r="G75" s="44" t="n">
        <v>38.89</v>
      </c>
      <c r="H75" s="44">
        <f>ROUND(F75*G75,2)</f>
        <v/>
      </c>
    </row>
    <row r="76">
      <c r="A76" s="43" t="n">
        <v>60</v>
      </c>
      <c r="B76" s="74" t="n"/>
      <c r="C76" s="43" t="inlineStr">
        <is>
          <t>01.3.05.17-0002</t>
        </is>
      </c>
      <c r="D76" s="103" t="inlineStr">
        <is>
          <t>Канифоль сосновая</t>
        </is>
      </c>
      <c r="E76" s="179" t="inlineStr">
        <is>
          <t>кг</t>
        </is>
      </c>
      <c r="F76" s="43" t="n">
        <v>0.186984</v>
      </c>
      <c r="G76" s="44" t="n">
        <v>27.74</v>
      </c>
      <c r="H76" s="44">
        <f>ROUND(F76*G76,2)</f>
        <v/>
      </c>
    </row>
    <row r="77">
      <c r="A77" s="43" t="n">
        <v>61</v>
      </c>
      <c r="B77" s="74" t="n"/>
      <c r="C77" s="43" t="inlineStr">
        <is>
          <t>01.3.01.02-0002</t>
        </is>
      </c>
      <c r="D77" s="103" t="inlineStr">
        <is>
          <t>Вазелин технический</t>
        </is>
      </c>
      <c r="E77" s="179" t="inlineStr">
        <is>
          <t>кг</t>
        </is>
      </c>
      <c r="F77" s="43" t="n">
        <v>0.1008</v>
      </c>
      <c r="G77" s="44" t="n">
        <v>44.97</v>
      </c>
      <c r="H77" s="44">
        <f>ROUND(F77*G77,2)</f>
        <v/>
      </c>
    </row>
    <row r="78">
      <c r="A78" s="43" t="n">
        <v>62</v>
      </c>
      <c r="B78" s="74" t="n"/>
      <c r="C78" s="43" t="inlineStr">
        <is>
          <t>14.4.03.17-0011</t>
        </is>
      </c>
      <c r="D78" s="103" t="inlineStr">
        <is>
          <t>Лак электроизоляционный 318</t>
        </is>
      </c>
      <c r="E78" s="179" t="inlineStr">
        <is>
          <t>кг</t>
        </is>
      </c>
      <c r="F78" s="43" t="n">
        <v>0.1008</v>
      </c>
      <c r="G78" s="44" t="n">
        <v>35.63</v>
      </c>
      <c r="H78" s="44">
        <f>ROUND(F78*G78,2)</f>
        <v/>
      </c>
    </row>
    <row r="79">
      <c r="A79" s="43" t="n">
        <v>63</v>
      </c>
      <c r="B79" s="74" t="n"/>
      <c r="C79" s="43" t="inlineStr">
        <is>
          <t>01.7.20.04-0005</t>
        </is>
      </c>
      <c r="D79" s="103" t="inlineStr">
        <is>
          <t>Нитки швейные</t>
        </is>
      </c>
      <c r="E79" s="179" t="inlineStr">
        <is>
          <t>кг</t>
        </is>
      </c>
      <c r="F79" s="43" t="n">
        <v>0.01008</v>
      </c>
      <c r="G79" s="44" t="n">
        <v>133.05</v>
      </c>
      <c r="H79" s="44">
        <f>ROUND(F79*G79,2)</f>
        <v/>
      </c>
    </row>
    <row r="80">
      <c r="A80" s="43" t="n">
        <v>64</v>
      </c>
      <c r="B80" s="74" t="n"/>
      <c r="C80" s="43" t="inlineStr">
        <is>
          <t>01.7.02.09-0002</t>
        </is>
      </c>
      <c r="D80" s="103" t="inlineStr">
        <is>
          <t>Шпагат бумажный</t>
        </is>
      </c>
      <c r="E80" s="179" t="inlineStr">
        <is>
          <t>кг</t>
        </is>
      </c>
      <c r="F80" s="43" t="n">
        <v>0.02016</v>
      </c>
      <c r="G80" s="44" t="n">
        <v>11.5</v>
      </c>
      <c r="H80" s="44">
        <f>ROUND(F80*G80,2)</f>
        <v/>
      </c>
    </row>
    <row r="84">
      <c r="B84" s="127" t="inlineStr">
        <is>
          <t>Составил ______________________       Р.Р. Шагеева</t>
        </is>
      </c>
      <c r="C84" s="137" t="n"/>
    </row>
    <row r="85">
      <c r="B85" s="138" t="inlineStr">
        <is>
          <t xml:space="preserve">                         (подпись, инициалы, фамилия)</t>
        </is>
      </c>
      <c r="C85" s="137" t="n"/>
    </row>
    <row r="86">
      <c r="B86" s="127" t="n"/>
      <c r="C86" s="137" t="n"/>
    </row>
    <row r="87">
      <c r="B87" s="127" t="inlineStr">
        <is>
          <t>Проверил ______________________        А.В. Костянецкая</t>
        </is>
      </c>
      <c r="C87" s="137" t="n"/>
    </row>
    <row r="88">
      <c r="B88" s="138" t="inlineStr">
        <is>
          <t xml:space="preserve">                        (подпись, инициалы, фамилия)</t>
        </is>
      </c>
      <c r="C88" s="137" t="n"/>
    </row>
  </sheetData>
  <mergeCells count="16">
    <mergeCell ref="A39:E39"/>
    <mergeCell ref="B9:B10"/>
    <mergeCell ref="A3:H3"/>
    <mergeCell ref="E9:E10"/>
    <mergeCell ref="C9:C10"/>
    <mergeCell ref="D9:D10"/>
    <mergeCell ref="F9:F10"/>
    <mergeCell ref="A7:H7"/>
    <mergeCell ref="A9:A10"/>
    <mergeCell ref="A12:E12"/>
    <mergeCell ref="C5:H5"/>
    <mergeCell ref="A2:H2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27" t="n"/>
      <c r="C1" s="127" t="n"/>
      <c r="D1" s="127" t="n"/>
      <c r="E1" s="127" t="n"/>
    </row>
    <row r="2">
      <c r="B2" s="127" t="n"/>
      <c r="C2" s="127" t="n"/>
      <c r="D2" s="127" t="n"/>
      <c r="E2" s="178" t="inlineStr">
        <is>
          <t>Приложение № 4</t>
        </is>
      </c>
    </row>
    <row r="3">
      <c r="B3" s="127" t="n"/>
      <c r="C3" s="127" t="n"/>
      <c r="D3" s="127" t="n"/>
      <c r="E3" s="127" t="n"/>
    </row>
    <row r="4">
      <c r="B4" s="127" t="n"/>
      <c r="C4" s="127" t="n"/>
      <c r="D4" s="127" t="n"/>
      <c r="E4" s="127" t="n"/>
    </row>
    <row r="5">
      <c r="B5" s="155" t="inlineStr">
        <is>
          <t>Ресурсная модель</t>
        </is>
      </c>
    </row>
    <row r="6">
      <c r="B6" s="16" t="n"/>
      <c r="C6" s="127" t="n"/>
      <c r="D6" s="127" t="n"/>
      <c r="E6" s="127" t="n"/>
    </row>
    <row r="7" ht="22.7" customHeight="1">
      <c r="B7" s="156">
        <f>'Прил.1 Сравнит табл'!B7</f>
        <v/>
      </c>
    </row>
    <row r="8">
      <c r="B8" s="157">
        <f>'Прил.1 Сравнит табл'!B9</f>
        <v/>
      </c>
    </row>
    <row r="9">
      <c r="B9" s="16" t="n"/>
      <c r="C9" s="127" t="n"/>
      <c r="D9" s="127" t="n"/>
      <c r="E9" s="127" t="n"/>
    </row>
    <row r="10" ht="51" customHeight="1">
      <c r="B10" s="159" t="inlineStr">
        <is>
          <t>Наименование</t>
        </is>
      </c>
      <c r="C10" s="159" t="inlineStr">
        <is>
          <t>Сметная стоимость в ценах на 01.01.2023
 (руб.)</t>
        </is>
      </c>
      <c r="D10" s="159" t="inlineStr">
        <is>
          <t>Удельный вес, 
(в СМР)</t>
        </is>
      </c>
      <c r="E10" s="15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32">
        <f>'Прил.5 Расчет СМР и ОБ'!J14</f>
        <v/>
      </c>
      <c r="D11" s="51">
        <f>C11/$C$24</f>
        <v/>
      </c>
      <c r="E11" s="51">
        <f>C11/$C$40</f>
        <v/>
      </c>
    </row>
    <row r="12">
      <c r="B12" s="7" t="inlineStr">
        <is>
          <t>Эксплуатация машин основных</t>
        </is>
      </c>
      <c r="C12" s="132">
        <f>'Прил.5 Расчет СМР и ОБ'!J23</f>
        <v/>
      </c>
      <c r="D12" s="51">
        <f>C12/$C$24</f>
        <v/>
      </c>
      <c r="E12" s="51">
        <f>C12/$C$40</f>
        <v/>
      </c>
    </row>
    <row r="13">
      <c r="B13" s="7" t="inlineStr">
        <is>
          <t>Эксплуатация машин прочих</t>
        </is>
      </c>
      <c r="C13" s="132">
        <f>'Прил.5 Расчет СМР и ОБ'!J28</f>
        <v/>
      </c>
      <c r="D13" s="51">
        <f>C13/$C$24</f>
        <v/>
      </c>
      <c r="E13" s="51">
        <f>C13/$C$40</f>
        <v/>
      </c>
    </row>
    <row r="14">
      <c r="B14" s="7" t="inlineStr">
        <is>
          <t>ЭКСПЛУАТАЦИЯ МАШИН, ВСЕГО:</t>
        </is>
      </c>
      <c r="C14" s="132">
        <f>C13+C12</f>
        <v/>
      </c>
      <c r="D14" s="51">
        <f>C14/$C$24</f>
        <v/>
      </c>
      <c r="E14" s="51">
        <f>C14/$C$40</f>
        <v/>
      </c>
    </row>
    <row r="15">
      <c r="B15" s="7" t="inlineStr">
        <is>
          <t>в том числе зарплата машинистов</t>
        </is>
      </c>
      <c r="C15" s="132">
        <f>'Прил.5 Расчет СМР и ОБ'!J16</f>
        <v/>
      </c>
      <c r="D15" s="51">
        <f>C15/$C$24</f>
        <v/>
      </c>
      <c r="E15" s="51">
        <f>C15/$C$40</f>
        <v/>
      </c>
    </row>
    <row r="16">
      <c r="B16" s="7" t="inlineStr">
        <is>
          <t>Материалы основные</t>
        </is>
      </c>
      <c r="C16" s="132">
        <f>'Прил.5 Расчет СМР и ОБ'!J52</f>
        <v/>
      </c>
      <c r="D16" s="51">
        <f>C16/$C$24</f>
        <v/>
      </c>
      <c r="E16" s="51">
        <f>C16/$C$40</f>
        <v/>
      </c>
    </row>
    <row r="17">
      <c r="B17" s="7" t="inlineStr">
        <is>
          <t>Материалы прочие</t>
        </is>
      </c>
      <c r="C17" s="132">
        <f>'Прил.5 Расчет СМР и ОБ'!J90</f>
        <v/>
      </c>
      <c r="D17" s="51">
        <f>C17/$C$24</f>
        <v/>
      </c>
      <c r="E17" s="51">
        <f>C17/$C$40</f>
        <v/>
      </c>
      <c r="G17" s="17" t="n"/>
    </row>
    <row r="18">
      <c r="B18" s="7" t="inlineStr">
        <is>
          <t>МАТЕРИАЛЫ, ВСЕГО:</t>
        </is>
      </c>
      <c r="C18" s="132">
        <f>C17+C16</f>
        <v/>
      </c>
      <c r="D18" s="51">
        <f>C18/$C$24</f>
        <v/>
      </c>
      <c r="E18" s="51">
        <f>C18/$C$40</f>
        <v/>
      </c>
    </row>
    <row r="19">
      <c r="B19" s="7" t="inlineStr">
        <is>
          <t>ИТОГО</t>
        </is>
      </c>
      <c r="C19" s="132">
        <f>C18+C14+C11</f>
        <v/>
      </c>
      <c r="D19" s="51" t="n"/>
      <c r="E19" s="7" t="n"/>
    </row>
    <row r="20">
      <c r="B20" s="7" t="inlineStr">
        <is>
          <t>Сметная прибыль, руб.</t>
        </is>
      </c>
      <c r="C20" s="132">
        <f>ROUND(C21*(C11+C15),2)</f>
        <v/>
      </c>
      <c r="D20" s="51">
        <f>C20/$C$24</f>
        <v/>
      </c>
      <c r="E20" s="51">
        <f>C20/$C$40</f>
        <v/>
      </c>
    </row>
    <row r="21">
      <c r="B21" s="7" t="inlineStr">
        <is>
          <t>Сметная прибыль, %</t>
        </is>
      </c>
      <c r="C21" s="53">
        <f>'Прил.5 Расчет СМР и ОБ'!E94</f>
        <v/>
      </c>
      <c r="D21" s="51" t="n"/>
      <c r="E21" s="7" t="n"/>
    </row>
    <row r="22">
      <c r="B22" s="7" t="inlineStr">
        <is>
          <t>Накладные расходы, руб.</t>
        </is>
      </c>
      <c r="C22" s="132">
        <f>ROUND(C23*(C11+C15),2)</f>
        <v/>
      </c>
      <c r="D22" s="51">
        <f>C22/$C$24</f>
        <v/>
      </c>
      <c r="E22" s="51">
        <f>C22/$C$40</f>
        <v/>
      </c>
    </row>
    <row r="23">
      <c r="B23" s="7" t="inlineStr">
        <is>
          <t>Накладные расходы, %</t>
        </is>
      </c>
      <c r="C23" s="53">
        <f>'Прил.5 Расчет СМР и ОБ'!E93</f>
        <v/>
      </c>
      <c r="D23" s="51" t="n"/>
      <c r="E23" s="7" t="n"/>
    </row>
    <row r="24">
      <c r="B24" s="7" t="inlineStr">
        <is>
          <t>ВСЕГО СМР с НР и СП</t>
        </is>
      </c>
      <c r="C24" s="132">
        <f>C19+C20+C22</f>
        <v/>
      </c>
      <c r="D24" s="51">
        <f>C24/$C$24</f>
        <v/>
      </c>
      <c r="E24" s="5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132">
        <f>'Прил.5 Расчет СМР и ОБ'!J45</f>
        <v/>
      </c>
      <c r="D25" s="51" t="n"/>
      <c r="E25" s="5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132">
        <f>C25</f>
        <v/>
      </c>
      <c r="D26" s="51" t="n"/>
      <c r="E26" s="51">
        <f>C26/$C$40</f>
        <v/>
      </c>
    </row>
    <row r="27">
      <c r="B27" s="7" t="inlineStr">
        <is>
          <t>ИТОГО (СМР + ОБОРУДОВАНИЕ)</t>
        </is>
      </c>
      <c r="C27" s="50">
        <f>C24+C25</f>
        <v/>
      </c>
      <c r="D27" s="51" t="n"/>
      <c r="E27" s="5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50">
        <f>ROUND(C24*3.9%,2)</f>
        <v/>
      </c>
      <c r="D29" s="7" t="n"/>
      <c r="E29" s="51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50">
        <f>ROUND((C24+C29)*2.1%,2)</f>
        <v/>
      </c>
      <c r="D30" s="7" t="n"/>
      <c r="E30" s="51">
        <f>C30/$C$40</f>
        <v/>
      </c>
    </row>
    <row r="31">
      <c r="B31" s="7" t="inlineStr">
        <is>
          <t>Пусконаладочные работы</t>
        </is>
      </c>
      <c r="C31" s="50" t="n">
        <v>2845296.9</v>
      </c>
      <c r="D31" s="7" t="n"/>
      <c r="E31" s="51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50">
        <f>ROUND($C$27*0%,2)</f>
        <v/>
      </c>
      <c r="D32" s="7" t="n"/>
      <c r="E32" s="51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50">
        <f>ROUND($C$27*0%,2)</f>
        <v/>
      </c>
      <c r="D33" s="7" t="n"/>
      <c r="E33" s="51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0">
        <f>ROUND($C$27*0%,2)</f>
        <v/>
      </c>
      <c r="D34" s="7" t="n"/>
      <c r="E34" s="51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0">
        <f>ROUND($C$27*0%,2)</f>
        <v/>
      </c>
      <c r="D35" s="7" t="n"/>
      <c r="E35" s="51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50">
        <f>ROUND((C27+C32+C33+C34+C35+C29+C31+C30)*2.14%,2)</f>
        <v/>
      </c>
      <c r="D36" s="7" t="n"/>
      <c r="E36" s="51">
        <f>C36/$C$40</f>
        <v/>
      </c>
      <c r="G36" s="75" t="n"/>
      <c r="L36" s="18" t="n"/>
    </row>
    <row r="37">
      <c r="B37" s="7" t="inlineStr">
        <is>
          <t>Авторский надзор - 0,2%</t>
        </is>
      </c>
      <c r="C37" s="50">
        <f>ROUND((C27+C32+C33+C34+C35+C29+C31+C30)*0.2%,2)</f>
        <v/>
      </c>
      <c r="D37" s="7" t="n"/>
      <c r="E37" s="51">
        <f>C37/$C$40</f>
        <v/>
      </c>
      <c r="G37" s="75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132">
        <f>C27+C32+C33+C34+C35+C29+C31+C30+C36+C37</f>
        <v/>
      </c>
      <c r="D38" s="7" t="n"/>
      <c r="E38" s="51">
        <f>C38/$C$40</f>
        <v/>
      </c>
    </row>
    <row r="39" ht="13.7" customHeight="1">
      <c r="B39" s="7" t="inlineStr">
        <is>
          <t>Непредвиденные расходы</t>
        </is>
      </c>
      <c r="C39" s="132">
        <f>ROUND(C38*3%,2)</f>
        <v/>
      </c>
      <c r="D39" s="7" t="n"/>
      <c r="E39" s="51">
        <f>C39/$C$38</f>
        <v/>
      </c>
    </row>
    <row r="40">
      <c r="B40" s="7" t="inlineStr">
        <is>
          <t>ВСЕГО:</t>
        </is>
      </c>
      <c r="C40" s="132">
        <f>C39+C38</f>
        <v/>
      </c>
      <c r="D40" s="7" t="n"/>
      <c r="E40" s="51">
        <f>C40/$C$40</f>
        <v/>
      </c>
    </row>
    <row r="41">
      <c r="B41" s="7" t="inlineStr">
        <is>
          <t>ИТОГО ПОКАЗАТЕЛЬ НА ЕД. ИЗМ.</t>
        </is>
      </c>
      <c r="C41" s="132">
        <f>C40/'Прил.5 Расчет СМР и ОБ'!E97</f>
        <v/>
      </c>
      <c r="D41" s="7" t="n"/>
      <c r="E41" s="7" t="n"/>
    </row>
    <row r="42">
      <c r="B42" s="134" t="n"/>
      <c r="C42" s="127" t="n"/>
      <c r="D42" s="127" t="n"/>
      <c r="E42" s="127" t="n"/>
    </row>
    <row r="43">
      <c r="B43" s="127" t="inlineStr">
        <is>
          <t>Составил ______________________       Р.Р. Шагеева</t>
        </is>
      </c>
      <c r="C43" s="137" t="n"/>
      <c r="E43" s="127" t="n"/>
    </row>
    <row r="44">
      <c r="B44" s="138" t="inlineStr">
        <is>
          <t xml:space="preserve">                         (подпись, инициалы, фамилия)</t>
        </is>
      </c>
      <c r="C44" s="137" t="n"/>
      <c r="E44" s="127" t="n"/>
    </row>
    <row r="45">
      <c r="B45" s="127" t="n"/>
      <c r="C45" s="137" t="n"/>
      <c r="D45" s="127" t="n"/>
      <c r="E45" s="127" t="n"/>
    </row>
    <row r="46">
      <c r="B46" s="127" t="inlineStr">
        <is>
          <t>Проверил ______________________        А.В. Костянецкая</t>
        </is>
      </c>
      <c r="C46" s="137" t="n"/>
      <c r="D46" s="127" t="n"/>
      <c r="E46" s="127" t="n"/>
    </row>
    <row r="47">
      <c r="B47" s="138" t="inlineStr">
        <is>
          <t xml:space="preserve">                        (подпись, инициалы, фамилия)</t>
        </is>
      </c>
      <c r="C47" s="137" t="n"/>
      <c r="D47" s="127" t="n"/>
      <c r="E47" s="127" t="n"/>
    </row>
    <row r="49">
      <c r="B49" s="127" t="n"/>
      <c r="C49" s="127" t="n"/>
      <c r="D49" s="127" t="n"/>
      <c r="E49" s="127" t="n"/>
    </row>
    <row r="50">
      <c r="B50" s="127" t="n"/>
      <c r="C50" s="127" t="n"/>
      <c r="D50" s="127" t="n"/>
      <c r="E50" s="12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4"/>
  <sheetViews>
    <sheetView view="pageBreakPreview" topLeftCell="A95" workbookViewId="0">
      <selection activeCell="C109" sqref="C109"/>
    </sheetView>
  </sheetViews>
  <sheetFormatPr baseColWidth="8" defaultColWidth="9.140625" defaultRowHeight="15" outlineLevelRow="1"/>
  <cols>
    <col width="5.7109375" customWidth="1" style="137" min="1" max="1"/>
    <col width="22.5703125" customWidth="1" style="137" min="2" max="2"/>
    <col width="39.140625" customWidth="1" style="137" min="3" max="3"/>
    <col width="10.7109375" customWidth="1" style="137" min="4" max="4"/>
    <col width="12.7109375" customWidth="1" style="137" min="5" max="5"/>
    <col width="14.5703125" customWidth="1" style="137" min="6" max="6"/>
    <col width="18" customWidth="1" style="137" min="7" max="7"/>
    <col width="12.7109375" customWidth="1" style="137" min="8" max="8"/>
    <col width="14.5703125" customWidth="1" style="137" min="9" max="9"/>
    <col width="15.140625" customWidth="1" style="137" min="10" max="10"/>
    <col width="3.7109375" customWidth="1" style="137" min="11" max="11"/>
    <col width="15.7109375" customWidth="1" style="137" min="12" max="12"/>
    <col width="10.85546875" customWidth="1" style="137" min="13" max="13"/>
    <col width="9.140625" customWidth="1" style="137" min="14" max="14"/>
  </cols>
  <sheetData>
    <row r="2" ht="15.75" customHeight="1">
      <c r="I2" s="94" t="n"/>
      <c r="J2" s="77" t="inlineStr">
        <is>
          <t>Приложение №5</t>
        </is>
      </c>
    </row>
    <row r="4" ht="12.75" customFormat="1" customHeight="1" s="127">
      <c r="A4" s="155" t="inlineStr">
        <is>
          <t>Расчет стоимости СМР и оборудования</t>
        </is>
      </c>
      <c r="I4" s="155" t="n"/>
      <c r="J4" s="155" t="n"/>
    </row>
    <row r="5" ht="12.75" customFormat="1" customHeight="1" s="127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12.75" customFormat="1" customHeight="1" s="127">
      <c r="A6" s="170" t="inlineStr">
        <is>
          <t>Наименование разрабатываемого показателя УНЦ</t>
        </is>
      </c>
      <c r="D6" s="112" t="inlineStr">
        <is>
          <t>РЗиА ячейки выключателя 330 кВ</t>
        </is>
      </c>
      <c r="E6" s="111" t="n"/>
      <c r="F6" s="111" t="n"/>
      <c r="G6" s="111" t="n"/>
      <c r="H6" s="111" t="n"/>
      <c r="I6" s="111" t="n"/>
      <c r="J6" s="111" t="n"/>
    </row>
    <row r="7" ht="12.75" customFormat="1" customHeight="1" s="127">
      <c r="A7" s="170" t="inlineStr">
        <is>
          <t>Единица измерения  — 1 ячейка</t>
        </is>
      </c>
      <c r="I7" s="156" t="n"/>
      <c r="J7" s="156" t="n"/>
    </row>
    <row r="8" ht="12.75" customFormat="1" customHeight="1" s="127"/>
    <row r="9" ht="27" customHeight="1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86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86" t="n"/>
    </row>
    <row r="10" ht="28.5" customHeight="1">
      <c r="A10" s="188" t="n"/>
      <c r="B10" s="188" t="n"/>
      <c r="C10" s="188" t="n"/>
      <c r="D10" s="188" t="n"/>
      <c r="E10" s="188" t="n"/>
      <c r="F10" s="159" t="inlineStr">
        <is>
          <t>на ед. изм.</t>
        </is>
      </c>
      <c r="G10" s="159" t="inlineStr">
        <is>
          <t>общая</t>
        </is>
      </c>
      <c r="H10" s="188" t="n"/>
      <c r="I10" s="159" t="inlineStr">
        <is>
          <t>на ед. изм.</t>
        </is>
      </c>
      <c r="J10" s="159" t="inlineStr">
        <is>
          <t>общая</t>
        </is>
      </c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9" t="n">
        <v>9</v>
      </c>
      <c r="J11" s="159" t="n">
        <v>10</v>
      </c>
    </row>
    <row r="12">
      <c r="A12" s="159" t="n"/>
      <c r="B12" s="148" t="inlineStr">
        <is>
          <t>Затраты труда рабочих-строителей</t>
        </is>
      </c>
      <c r="C12" s="185" t="n"/>
      <c r="D12" s="185" t="n"/>
      <c r="E12" s="185" t="n"/>
      <c r="F12" s="185" t="n"/>
      <c r="G12" s="185" t="n"/>
      <c r="H12" s="186" t="n"/>
      <c r="I12" s="56" t="n"/>
      <c r="J12" s="56" t="n"/>
    </row>
    <row r="13" ht="25.5" customHeight="1">
      <c r="A13" s="159" t="n">
        <v>1</v>
      </c>
      <c r="B13" s="60" t="inlineStr">
        <is>
          <t>1-3-9</t>
        </is>
      </c>
      <c r="C13" s="105" t="inlineStr">
        <is>
          <t>Затраты труда рабочих (средний разряд работы 3,9)</t>
        </is>
      </c>
      <c r="D13" s="159" t="inlineStr">
        <is>
          <t>чел.-ч.</t>
        </is>
      </c>
      <c r="E13" s="107" t="n">
        <v>8781.4963196635</v>
      </c>
      <c r="F13" s="14">
        <f>G13/E13</f>
        <v/>
      </c>
      <c r="G13" s="108" t="n">
        <v>83512.03</v>
      </c>
      <c r="H13" s="163">
        <f>G13/G14</f>
        <v/>
      </c>
      <c r="I13" s="14">
        <f>ФОТр.тек.!E13</f>
        <v/>
      </c>
      <c r="J13" s="14">
        <f>ROUND(I13*E13,2)</f>
        <v/>
      </c>
      <c r="L13" s="58" t="n"/>
    </row>
    <row r="14" ht="25.5" customFormat="1" customHeight="1" s="137">
      <c r="A14" s="159" t="n"/>
      <c r="B14" s="159" t="n"/>
      <c r="C14" s="148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72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K14" s="58" t="n"/>
      <c r="L14" s="102" t="n"/>
    </row>
    <row r="15" ht="14.25" customFormat="1" customHeight="1" s="137">
      <c r="A15" s="159" t="n"/>
      <c r="B15" s="158" t="inlineStr">
        <is>
          <t>Затраты труда машинистов</t>
        </is>
      </c>
      <c r="C15" s="185" t="n"/>
      <c r="D15" s="185" t="n"/>
      <c r="E15" s="185" t="n"/>
      <c r="F15" s="185" t="n"/>
      <c r="G15" s="185" t="n"/>
      <c r="H15" s="186" t="n"/>
      <c r="I15" s="56" t="n"/>
      <c r="J15" s="56" t="n"/>
    </row>
    <row r="16" ht="14.25" customFormat="1" customHeight="1" s="137">
      <c r="A16" s="159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59" t="n">
        <v>1830.85</v>
      </c>
      <c r="F16" s="14">
        <f>G16/E16</f>
        <v/>
      </c>
      <c r="G16" s="14" t="n">
        <v>19504.96</v>
      </c>
      <c r="H16" s="163" t="n">
        <v>1</v>
      </c>
      <c r="I16" s="14">
        <f>ROUND(F16*Прил.10!D10,2)</f>
        <v/>
      </c>
      <c r="J16" s="14">
        <f>ROUND(I16*E16,2)</f>
        <v/>
      </c>
      <c r="L16" s="102" t="n"/>
    </row>
    <row r="17" ht="14.25" customFormat="1" customHeight="1" s="137">
      <c r="A17" s="159" t="n"/>
      <c r="B17" s="148" t="inlineStr">
        <is>
          <t>Машины и механизмы</t>
        </is>
      </c>
      <c r="C17" s="185" t="n"/>
      <c r="D17" s="185" t="n"/>
      <c r="E17" s="185" t="n"/>
      <c r="F17" s="185" t="n"/>
      <c r="G17" s="185" t="n"/>
      <c r="H17" s="186" t="n"/>
      <c r="I17" s="163" t="n"/>
      <c r="J17" s="163" t="n"/>
    </row>
    <row r="18" ht="14.25" customFormat="1" customHeight="1" s="137">
      <c r="A18" s="159" t="n"/>
      <c r="B18" s="158" t="inlineStr">
        <is>
          <t>Основные машины и механизмы</t>
        </is>
      </c>
      <c r="C18" s="185" t="n"/>
      <c r="D18" s="185" t="n"/>
      <c r="E18" s="185" t="n"/>
      <c r="F18" s="185" t="n"/>
      <c r="G18" s="185" t="n"/>
      <c r="H18" s="186" t="n"/>
      <c r="I18" s="56" t="n"/>
      <c r="J18" s="56" t="n"/>
    </row>
    <row r="19" ht="25.5" customFormat="1" customHeight="1" s="137">
      <c r="A19" s="159" t="n">
        <v>3</v>
      </c>
      <c r="B19" s="60" t="inlineStr">
        <is>
          <t>91.06.06-042</t>
        </is>
      </c>
      <c r="C19" s="105" t="inlineStr">
        <is>
          <t>Подъемники гидравлические, высота подъема 10 м</t>
        </is>
      </c>
      <c r="D19" s="60" t="inlineStr">
        <is>
          <t>маш.-ч</t>
        </is>
      </c>
      <c r="E19" s="107" t="n">
        <v>1418.48</v>
      </c>
      <c r="F19" s="108" t="n">
        <v>29.6</v>
      </c>
      <c r="G19" s="108">
        <f>E19*F19</f>
        <v/>
      </c>
      <c r="H19" s="163">
        <f>G19/$G$29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37">
      <c r="A20" s="159" t="n">
        <v>4</v>
      </c>
      <c r="B20" s="60" t="inlineStr">
        <is>
          <t>91.05.05-014</t>
        </is>
      </c>
      <c r="C20" s="105" t="inlineStr">
        <is>
          <t>Краны на автомобильном ходу, грузоподъемность 10 т</t>
        </is>
      </c>
      <c r="D20" s="60" t="inlineStr">
        <is>
          <t>маш.-ч</t>
        </is>
      </c>
      <c r="E20" s="107" t="n">
        <v>190.06</v>
      </c>
      <c r="F20" s="108" t="n">
        <v>111.99</v>
      </c>
      <c r="G20" s="108">
        <f>E20*F20</f>
        <v/>
      </c>
      <c r="H20" s="163">
        <f>G20/$G$29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37">
      <c r="A21" s="159" t="n">
        <v>5</v>
      </c>
      <c r="B21" s="60" t="inlineStr">
        <is>
          <t>91.14.02-001</t>
        </is>
      </c>
      <c r="C21" s="105" t="inlineStr">
        <is>
          <t>Автомобили бортовые, грузоподъемность до 5 т</t>
        </is>
      </c>
      <c r="D21" s="60" t="inlineStr">
        <is>
          <t>маш.-ч</t>
        </is>
      </c>
      <c r="E21" s="107" t="n">
        <v>190.06</v>
      </c>
      <c r="F21" s="108" t="n">
        <v>65.70999999999999</v>
      </c>
      <c r="G21" s="108">
        <f>E21*F21</f>
        <v/>
      </c>
      <c r="H21" s="163">
        <f>G21/$G$29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37">
      <c r="A22" s="159" t="n">
        <v>6</v>
      </c>
      <c r="B22" s="60" t="inlineStr">
        <is>
          <t>91.17.04-233</t>
        </is>
      </c>
      <c r="C22" s="105" t="inlineStr">
        <is>
          <t>Установки для сварки ручной дуговой (постоянного тока)</t>
        </is>
      </c>
      <c r="D22" s="60" t="inlineStr">
        <is>
          <t>маш.-ч</t>
        </is>
      </c>
      <c r="E22" s="107" t="n">
        <v>1283.92</v>
      </c>
      <c r="F22" s="108" t="n">
        <v>8.1</v>
      </c>
      <c r="G22" s="108">
        <f>E22*F22</f>
        <v/>
      </c>
      <c r="H22" s="163">
        <f>G22/$G$29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37">
      <c r="A23" s="159" t="n"/>
      <c r="B23" s="159" t="n"/>
      <c r="C23" s="158" t="inlineStr">
        <is>
          <t>Итого основные машины и механизмы</t>
        </is>
      </c>
      <c r="D23" s="159" t="n"/>
      <c r="E23" s="61" t="n"/>
      <c r="F23" s="14" t="n"/>
      <c r="G23" s="14">
        <f>SUM(G19:G22)</f>
        <v/>
      </c>
      <c r="H23" s="163">
        <f>G23/G29</f>
        <v/>
      </c>
      <c r="I23" s="14" t="n"/>
      <c r="J23" s="14">
        <f>SUM(J19:J22)</f>
        <v/>
      </c>
      <c r="L23" s="58" t="n"/>
    </row>
    <row r="24" outlineLevel="1" ht="25.5" customFormat="1" customHeight="1" s="137">
      <c r="A24" s="159" t="n">
        <v>7</v>
      </c>
      <c r="B24" s="60" t="inlineStr">
        <is>
          <t>91.05.04-010</t>
        </is>
      </c>
      <c r="C24" s="105" t="inlineStr">
        <is>
          <t>Краны мостовые электрические, грузоподъемность 50 т</t>
        </is>
      </c>
      <c r="D24" s="60" t="inlineStr">
        <is>
          <t>маш.-ч</t>
        </is>
      </c>
      <c r="E24" s="107" t="n">
        <v>32.26</v>
      </c>
      <c r="F24" s="108" t="n">
        <v>197.01</v>
      </c>
      <c r="G24" s="108">
        <f>E24*F24</f>
        <v/>
      </c>
      <c r="H24" s="163">
        <f>G24/$G$29</f>
        <v/>
      </c>
      <c r="I24" s="14">
        <f>ROUND(F24*Прил.10!$D$11,2)</f>
        <v/>
      </c>
      <c r="J24" s="14">
        <f>ROUND(I24*E24,2)</f>
        <v/>
      </c>
      <c r="L24" s="58" t="n"/>
    </row>
    <row r="25" outlineLevel="1" ht="25.5" customFormat="1" customHeight="1" s="137">
      <c r="A25" s="159" t="n">
        <v>8</v>
      </c>
      <c r="B25" s="60" t="inlineStr">
        <is>
          <t>91.17.04-161</t>
        </is>
      </c>
      <c r="C25" s="105" t="inlineStr">
        <is>
          <t>Полуавтоматы сварочные номинальным сварочным током 40-500 А</t>
        </is>
      </c>
      <c r="D25" s="60" t="inlineStr">
        <is>
          <t>маш.-ч</t>
        </is>
      </c>
      <c r="E25" s="107" t="n">
        <v>10.21</v>
      </c>
      <c r="F25" s="108" t="n">
        <v>16.44</v>
      </c>
      <c r="G25" s="108">
        <f>E25*F25</f>
        <v/>
      </c>
      <c r="H25" s="163">
        <f>G25/$G$29</f>
        <v/>
      </c>
      <c r="I25" s="14">
        <f>ROUND(F25*Прил.10!$D$11,2)</f>
        <v/>
      </c>
      <c r="J25" s="14">
        <f>ROUND(I25*E25,2)</f>
        <v/>
      </c>
      <c r="L25" s="58" t="n"/>
    </row>
    <row r="26" outlineLevel="1" ht="25.5" customFormat="1" customHeight="1" s="137">
      <c r="A26" s="159" t="n">
        <v>9</v>
      </c>
      <c r="B26" s="60" t="inlineStr">
        <is>
          <t>91.06.03-061</t>
        </is>
      </c>
      <c r="C26" s="105" t="inlineStr">
        <is>
          <t>Лебедки электрические тяговым усилием: до 12,26 кН (1,25 т)</t>
        </is>
      </c>
      <c r="D26" s="60" t="inlineStr">
        <is>
          <t>маш.-ч</t>
        </is>
      </c>
      <c r="E26" s="107" t="n">
        <v>0.02</v>
      </c>
      <c r="F26" s="108" t="n">
        <v>3.28</v>
      </c>
      <c r="G26" s="108">
        <f>E26*F26</f>
        <v/>
      </c>
      <c r="H26" s="163">
        <f>G26/$G$29</f>
        <v/>
      </c>
      <c r="I26" s="14">
        <f>ROUND(F26*Прил.10!$D$11,2)</f>
        <v/>
      </c>
      <c r="J26" s="14">
        <f>ROUND(I26*E26,2)</f>
        <v/>
      </c>
      <c r="L26" s="58" t="n"/>
    </row>
    <row r="27" outlineLevel="1" ht="25.5" customFormat="1" customHeight="1" s="137">
      <c r="A27" s="159" t="n">
        <v>10</v>
      </c>
      <c r="B27" s="60" t="inlineStr">
        <is>
          <t>91.06.01-003</t>
        </is>
      </c>
      <c r="C27" s="105" t="inlineStr">
        <is>
          <t>Домкраты гидравлические, грузоподъемность 63-100 т</t>
        </is>
      </c>
      <c r="D27" s="60" t="inlineStr">
        <is>
          <t>маш.-ч</t>
        </is>
      </c>
      <c r="E27" s="107" t="n">
        <v>0.02</v>
      </c>
      <c r="F27" s="108" t="n">
        <v>0.9</v>
      </c>
      <c r="G27" s="108">
        <f>E27*F27</f>
        <v/>
      </c>
      <c r="H27" s="163">
        <f>G27/$G$29</f>
        <v/>
      </c>
      <c r="I27" s="14">
        <f>ROUND(F27*Прил.10!$D$11,2)</f>
        <v/>
      </c>
      <c r="J27" s="14">
        <f>ROUND(I27*E27,2)</f>
        <v/>
      </c>
      <c r="L27" s="58" t="n"/>
    </row>
    <row r="28" ht="14.25" customFormat="1" customHeight="1" s="137">
      <c r="A28" s="159" t="n"/>
      <c r="B28" s="159" t="n"/>
      <c r="C28" s="158" t="inlineStr">
        <is>
          <t>Итого прочие машины и механизмы</t>
        </is>
      </c>
      <c r="D28" s="159" t="n"/>
      <c r="E28" s="160" t="n"/>
      <c r="F28" s="14" t="n"/>
      <c r="G28" s="14">
        <f>SUM(G24:G27)</f>
        <v/>
      </c>
      <c r="H28" s="163">
        <f>G28/G29</f>
        <v/>
      </c>
      <c r="I28" s="14" t="n"/>
      <c r="J28" s="14">
        <f>SUM(J24:J27)</f>
        <v/>
      </c>
      <c r="K28" s="58" t="n"/>
      <c r="L28" s="58" t="n"/>
    </row>
    <row r="29" ht="25.5" customFormat="1" customHeight="1" s="137">
      <c r="A29" s="159" t="n"/>
      <c r="B29" s="171" t="n"/>
      <c r="C29" s="64" t="inlineStr">
        <is>
          <t>Итого по разделу «Машины и механизмы»</t>
        </is>
      </c>
      <c r="D29" s="171" t="n"/>
      <c r="E29" s="65" t="n"/>
      <c r="F29" s="66" t="n"/>
      <c r="G29" s="66">
        <f>G23+G28</f>
        <v/>
      </c>
      <c r="H29" s="67" t="n">
        <v>1</v>
      </c>
      <c r="I29" s="66" t="n"/>
      <c r="J29" s="66">
        <f>J23+J28</f>
        <v/>
      </c>
      <c r="L29" s="102" t="n"/>
    </row>
    <row r="30">
      <c r="A30" s="168" t="n"/>
      <c r="B30" s="148" t="inlineStr">
        <is>
          <t xml:space="preserve">Оборудование </t>
        </is>
      </c>
      <c r="C30" s="185" t="n"/>
      <c r="D30" s="185" t="n"/>
      <c r="E30" s="185" t="n"/>
      <c r="F30" s="185" t="n"/>
      <c r="G30" s="185" t="n"/>
      <c r="H30" s="185" t="n"/>
      <c r="I30" s="185" t="n"/>
      <c r="J30" s="186" t="n"/>
    </row>
    <row r="31">
      <c r="A31" s="159" t="n"/>
      <c r="B31" s="164" t="inlineStr">
        <is>
          <t>Основное оборудование</t>
        </is>
      </c>
    </row>
    <row r="32" ht="51.6" customHeight="1">
      <c r="A32" s="159" t="n">
        <v>11</v>
      </c>
      <c r="B32" s="60" t="inlineStr">
        <is>
          <t>БЦ.30_1.161</t>
        </is>
      </c>
      <c r="C32" s="7" t="inlineStr">
        <is>
          <t>Шкаф группового управления тремя одпополюсными разъединителями без ЗН, или группового управления тремя одпополюсными ЗН</t>
        </is>
      </c>
      <c r="D32" s="159" t="inlineStr">
        <is>
          <t>шт</t>
        </is>
      </c>
      <c r="E32" s="159" t="n">
        <v>72</v>
      </c>
      <c r="F32" s="176">
        <f>ROUND(I32/Прил.10!$D$13,2)</f>
        <v/>
      </c>
      <c r="G32" s="109">
        <f>E32*F32</f>
        <v/>
      </c>
      <c r="H32" s="163">
        <f>G32/$G$44</f>
        <v/>
      </c>
      <c r="I32" s="14" t="n">
        <v>345000</v>
      </c>
      <c r="J32" s="14">
        <f>ROUND(I32*E32,2)</f>
        <v/>
      </c>
    </row>
    <row r="33" ht="51.6" customHeight="1">
      <c r="A33" s="159" t="n">
        <v>12</v>
      </c>
      <c r="B33" s="60" t="inlineStr">
        <is>
          <t>БЦ.30_1.32</t>
        </is>
      </c>
      <c r="C33" s="158" t="inlineStr">
        <is>
          <t>Дифференциально-фазная защита ЛЭП  330 – 750 кВ с комплектом ступенчатых защит и обменом разрешающими сигналами типа ШЭТ 320.01-0</t>
        </is>
      </c>
      <c r="D33" s="159" t="inlineStr">
        <is>
          <t>шт</t>
        </is>
      </c>
      <c r="E33" s="159" t="n">
        <v>12</v>
      </c>
      <c r="F33" s="176">
        <f>ROUND(I33/Прил.10!$D$13,2)</f>
        <v/>
      </c>
      <c r="G33" s="108">
        <f>E33*F33</f>
        <v/>
      </c>
      <c r="H33" s="163">
        <f>G33/$G$44</f>
        <v/>
      </c>
      <c r="I33" s="14" t="n">
        <v>1817460</v>
      </c>
      <c r="J33" s="14">
        <f>ROUND(I33*E33,2)</f>
        <v/>
      </c>
    </row>
    <row r="34" ht="25.9" customHeight="1">
      <c r="A34" s="159" t="n">
        <v>13</v>
      </c>
      <c r="B34" s="60" t="inlineStr">
        <is>
          <t>БЦ.30_1.66</t>
        </is>
      </c>
      <c r="C34" s="158" t="inlineStr">
        <is>
          <t>Шкаф организации ЦН двух ТН с резервированием от одного источника</t>
        </is>
      </c>
      <c r="D34" s="159" t="inlineStr">
        <is>
          <t>шт</t>
        </is>
      </c>
      <c r="E34" s="159" t="n">
        <v>8</v>
      </c>
      <c r="F34" s="176">
        <f>ROUND(I34/Прил.10!$D$13,2)</f>
        <v/>
      </c>
      <c r="G34" s="108">
        <f>E34*F34</f>
        <v/>
      </c>
      <c r="H34" s="163">
        <f>G34/$G$44</f>
        <v/>
      </c>
      <c r="I34" s="14" t="n">
        <v>2086560</v>
      </c>
      <c r="J34" s="14">
        <f>ROUND(I34*E34,2)</f>
        <v/>
      </c>
    </row>
    <row r="35" ht="25.9" customHeight="1">
      <c r="A35" s="159" t="n">
        <v>14</v>
      </c>
      <c r="B35" s="60" t="inlineStr">
        <is>
          <t>БЦ.30_1.21</t>
        </is>
      </c>
      <c r="C35" s="7" t="inlineStr">
        <is>
          <t>Автоматика управления выключателем 330 – 750 кВ, УРОВ</t>
        </is>
      </c>
      <c r="D35" s="159" t="inlineStr">
        <is>
          <t>шт</t>
        </is>
      </c>
      <c r="E35" s="159" t="n">
        <v>9</v>
      </c>
      <c r="F35" s="176">
        <f>ROUND(I35/Прил.10!$D$13,2)</f>
        <v/>
      </c>
      <c r="G35" s="108">
        <f>E35*F35</f>
        <v/>
      </c>
      <c r="H35" s="163">
        <f>G35/$G$44</f>
        <v/>
      </c>
      <c r="I35" s="14" t="n">
        <v>1666005</v>
      </c>
      <c r="J35" s="14">
        <f>ROUND(I35*E35,2)</f>
        <v/>
      </c>
    </row>
    <row r="36" ht="38.85" customHeight="1">
      <c r="A36" s="159" t="n">
        <v>15</v>
      </c>
      <c r="B36" s="60" t="inlineStr">
        <is>
          <t>БЦ.30_1.34</t>
        </is>
      </c>
      <c r="C36" s="7" t="inlineStr">
        <is>
          <t>Комплект ступенчатых защит ЛЭП  330 – 750 кВ с обменом разрешающими сигналами</t>
        </is>
      </c>
      <c r="D36" s="159" t="inlineStr">
        <is>
          <t>шт</t>
        </is>
      </c>
      <c r="E36" s="159" t="n">
        <v>6</v>
      </c>
      <c r="F36" s="176">
        <f>ROUND(I36/Прил.10!$D$13,2)</f>
        <v/>
      </c>
      <c r="G36" s="108">
        <f>E36*F36</f>
        <v/>
      </c>
      <c r="H36" s="163">
        <f>G36/$G$44</f>
        <v/>
      </c>
      <c r="I36" s="14" t="n">
        <v>1666005</v>
      </c>
      <c r="J36" s="14">
        <f>ROUND(I36*E36,2)</f>
        <v/>
      </c>
    </row>
    <row r="37" ht="25.9" customHeight="1">
      <c r="A37" s="159" t="n">
        <v>16</v>
      </c>
      <c r="B37" s="60" t="inlineStr">
        <is>
          <t>БЦ.30_1.15</t>
        </is>
      </c>
      <c r="C37" s="158" t="inlineStr">
        <is>
          <t>Дифференциальная защита сборных шин  330 – 750 кВ</t>
        </is>
      </c>
      <c r="D37" s="159" t="inlineStr">
        <is>
          <t>шт</t>
        </is>
      </c>
      <c r="E37" s="159" t="n">
        <v>4</v>
      </c>
      <c r="F37" s="176">
        <f>ROUND(I37/Прил.10!$D$13,2)</f>
        <v/>
      </c>
      <c r="G37" s="109">
        <f>E37*F37</f>
        <v/>
      </c>
      <c r="H37" s="163">
        <f>G37/$G$44</f>
        <v/>
      </c>
      <c r="I37" s="14" t="n">
        <v>2241120</v>
      </c>
      <c r="J37" s="14">
        <f>ROUND(I37*E37,2)</f>
        <v/>
      </c>
    </row>
    <row r="38">
      <c r="A38" s="159" t="n"/>
      <c r="B38" s="159" t="n"/>
      <c r="C38" s="158" t="inlineStr">
        <is>
          <t>Итого основное оборудование</t>
        </is>
      </c>
      <c r="D38" s="159" t="n"/>
      <c r="E38" s="59" t="n"/>
      <c r="F38" s="176" t="n"/>
      <c r="G38" s="14">
        <f>SUM(G32:G37)</f>
        <v/>
      </c>
      <c r="H38" s="163">
        <f>G38/$G$44</f>
        <v/>
      </c>
      <c r="I38" s="14" t="n"/>
      <c r="J38" s="14">
        <f>SUM(J32:J37)</f>
        <v/>
      </c>
      <c r="K38" s="58" t="n"/>
    </row>
    <row r="39" outlineLevel="1">
      <c r="A39" s="159" t="n">
        <v>17</v>
      </c>
      <c r="B39" s="60" t="inlineStr">
        <is>
          <t>БЦ.30_1.144</t>
        </is>
      </c>
      <c r="C39" s="7" t="inlineStr">
        <is>
          <t>Шкаф зажимов ТН типа ШЗН-1А</t>
        </is>
      </c>
      <c r="D39" s="159" t="inlineStr">
        <is>
          <t>шт</t>
        </is>
      </c>
      <c r="E39" s="159" t="n">
        <v>16</v>
      </c>
      <c r="F39" s="176">
        <f>ROUND(I39/Прил.10!$D$13,2)</f>
        <v/>
      </c>
      <c r="G39" s="109">
        <f>E39*F39</f>
        <v/>
      </c>
      <c r="H39" s="163">
        <f>G39/$G$44</f>
        <v/>
      </c>
      <c r="I39" s="14" t="n">
        <v>345000</v>
      </c>
      <c r="J39" s="14">
        <f>ROUND(I39*E39,2)</f>
        <v/>
      </c>
      <c r="K39" s="58" t="n"/>
    </row>
    <row r="40" outlineLevel="1" ht="25.9" customHeight="1">
      <c r="A40" s="159" t="n">
        <v>18</v>
      </c>
      <c r="B40" s="60" t="inlineStr">
        <is>
          <t>БЦ.30_1.122</t>
        </is>
      </c>
      <c r="C40" s="158" t="inlineStr">
        <is>
          <t>Шкаф определения места повреждения по волновому методу для 1 присоединения</t>
        </is>
      </c>
      <c r="D40" s="159" t="inlineStr">
        <is>
          <t>шт</t>
        </is>
      </c>
      <c r="E40" s="159" t="n">
        <v>6</v>
      </c>
      <c r="F40" s="176">
        <f>ROUND(I40/Прил.10!$D$13,2)</f>
        <v/>
      </c>
      <c r="G40" s="109">
        <f>E40*F40</f>
        <v/>
      </c>
      <c r="H40" s="163">
        <f>G40/$G$44</f>
        <v/>
      </c>
      <c r="I40" s="14" t="n">
        <v>2887400</v>
      </c>
      <c r="J40" s="14">
        <f>ROUND(I40*E40,2)</f>
        <v/>
      </c>
      <c r="K40" s="58" t="n"/>
    </row>
    <row r="41" outlineLevel="1">
      <c r="A41" s="159" t="n">
        <v>19</v>
      </c>
      <c r="B41" s="60" t="inlineStr">
        <is>
          <t>БЦ.30_1.152</t>
        </is>
      </c>
      <c r="C41" s="158" t="inlineStr">
        <is>
          <t>Шкаф зажимов выключателя типа ШЗВ-200</t>
        </is>
      </c>
      <c r="D41" s="159" t="inlineStr">
        <is>
          <t>шт</t>
        </is>
      </c>
      <c r="E41" s="159" t="n">
        <v>9</v>
      </c>
      <c r="F41" s="176">
        <f>ROUND(I41/Прил.10!$D$13,2)</f>
        <v/>
      </c>
      <c r="G41" s="109">
        <f>E41*F41</f>
        <v/>
      </c>
      <c r="H41" s="163">
        <f>G41/$G$44</f>
        <v/>
      </c>
      <c r="I41" s="14" t="n">
        <v>310500</v>
      </c>
      <c r="J41" s="14">
        <f>ROUND(I41*E41,2)</f>
        <v/>
      </c>
      <c r="K41" s="58" t="n"/>
    </row>
    <row r="42" outlineLevel="1" ht="25.5" customHeight="1">
      <c r="A42" s="159" t="n">
        <v>20</v>
      </c>
      <c r="B42" s="60" t="inlineStr">
        <is>
          <t>БЦ.30_1.149</t>
        </is>
      </c>
      <c r="C42" s="158" t="inlineStr">
        <is>
          <t>Ящик зажимов ТТ типа ЯЗ-60 (или ШЗВ-60)</t>
        </is>
      </c>
      <c r="D42" s="159" t="inlineStr">
        <is>
          <t>шт</t>
        </is>
      </c>
      <c r="E42" s="159" t="n">
        <v>15</v>
      </c>
      <c r="F42" s="176">
        <f>ROUND(I42/Прил.10!$D$13,2)</f>
        <v/>
      </c>
      <c r="G42" s="109">
        <f>E42*F42</f>
        <v/>
      </c>
      <c r="H42" s="163">
        <f>G42/$G$44</f>
        <v/>
      </c>
      <c r="I42" s="14" t="n">
        <v>138000</v>
      </c>
      <c r="J42" s="14">
        <f>ROUND(I42*E42,2)</f>
        <v/>
      </c>
      <c r="K42" s="58" t="n"/>
    </row>
    <row r="43">
      <c r="A43" s="159" t="n"/>
      <c r="B43" s="159" t="n"/>
      <c r="C43" s="158" t="inlineStr">
        <is>
          <t>Итого прочее оборудование</t>
        </is>
      </c>
      <c r="D43" s="159" t="n"/>
      <c r="E43" s="160" t="n"/>
      <c r="F43" s="161" t="n"/>
      <c r="G43" s="14">
        <f>SUM(G39:G42)</f>
        <v/>
      </c>
      <c r="H43" s="163">
        <f>G43/$G$44</f>
        <v/>
      </c>
      <c r="I43" s="14" t="n"/>
      <c r="J43" s="14">
        <f>SUM(J39:J42)</f>
        <v/>
      </c>
      <c r="K43" s="58" t="n"/>
      <c r="L43" s="58" t="n"/>
    </row>
    <row r="44">
      <c r="A44" s="159" t="n"/>
      <c r="B44" s="159" t="n"/>
      <c r="C44" s="148" t="inlineStr">
        <is>
          <t>Итого по разделу «Оборудование»</t>
        </is>
      </c>
      <c r="D44" s="159" t="n"/>
      <c r="E44" s="160" t="n"/>
      <c r="F44" s="161" t="n"/>
      <c r="G44" s="14">
        <f>G43+G38</f>
        <v/>
      </c>
      <c r="H44" s="163">
        <f>(G38+G43)/G44</f>
        <v/>
      </c>
      <c r="I44" s="14" t="n"/>
      <c r="J44" s="14">
        <f>J38+J43</f>
        <v/>
      </c>
      <c r="K44" s="58" t="n"/>
      <c r="L44" s="102" t="n"/>
    </row>
    <row r="45" ht="25.5" customHeight="1">
      <c r="A45" s="159" t="n"/>
      <c r="B45" s="159" t="n"/>
      <c r="C45" s="158" t="inlineStr">
        <is>
          <t>в том числе технологическое оборудование</t>
        </is>
      </c>
      <c r="D45" s="159" t="n"/>
      <c r="E45" s="160" t="n"/>
      <c r="F45" s="161" t="n"/>
      <c r="G45" s="14">
        <f>'Прил.6 Расчет ОБ'!G22</f>
        <v/>
      </c>
      <c r="H45" s="163">
        <f>G45/$G$44</f>
        <v/>
      </c>
      <c r="I45" s="14" t="n"/>
      <c r="J45" s="14">
        <f>ROUND(G45*Прил.10!$D$13,2)</f>
        <v/>
      </c>
      <c r="K45" s="58" t="n"/>
    </row>
    <row r="46" ht="14.25" customFormat="1" customHeight="1" s="137">
      <c r="A46" s="159" t="n"/>
      <c r="B46" s="189" t="inlineStr">
        <is>
          <t>Материалы</t>
        </is>
      </c>
      <c r="J46" s="190" t="n"/>
      <c r="K46" s="58" t="n"/>
    </row>
    <row r="47" ht="14.25" customFormat="1" customHeight="1" s="137">
      <c r="A47" s="159" t="n"/>
      <c r="B47" s="158" t="inlineStr">
        <is>
          <t>Основные материалы</t>
        </is>
      </c>
      <c r="C47" s="185" t="n"/>
      <c r="D47" s="185" t="n"/>
      <c r="E47" s="185" t="n"/>
      <c r="F47" s="185" t="n"/>
      <c r="G47" s="185" t="n"/>
      <c r="H47" s="186" t="n"/>
      <c r="I47" s="163" t="n"/>
      <c r="J47" s="163" t="n"/>
    </row>
    <row r="48" ht="38.25" customFormat="1" customHeight="1" s="137">
      <c r="A48" s="159" t="n">
        <v>21</v>
      </c>
      <c r="B48" s="60" t="inlineStr">
        <is>
          <t>20.2.04.04-0001</t>
        </is>
      </c>
      <c r="C48" s="105" t="inlineStr">
        <is>
          <t>Короб кабельный прямой из оцинкованный стали толщиной 1,5 мм, размер 2000х150х100 мм, 1-канальный</t>
        </is>
      </c>
      <c r="D48" s="60" t="inlineStr">
        <is>
          <t>шт</t>
        </is>
      </c>
      <c r="E48" s="106" t="n">
        <v>8164.8</v>
      </c>
      <c r="F48" s="106" t="n">
        <v>157.3</v>
      </c>
      <c r="G48" s="108">
        <f>E48*F48</f>
        <v/>
      </c>
      <c r="H48" s="163">
        <f>G48/$G$91</f>
        <v/>
      </c>
      <c r="I48" s="14">
        <f>ROUND(F48*Прил.10!$D$12,2)</f>
        <v/>
      </c>
      <c r="J48" s="14">
        <f>ROUND(I48*E48,2)</f>
        <v/>
      </c>
    </row>
    <row r="49" ht="32.25" customFormat="1" customHeight="1" s="137">
      <c r="A49" s="159" t="n">
        <v>22</v>
      </c>
      <c r="B49" s="60" t="inlineStr">
        <is>
          <t>21.1.06.09-0166</t>
        </is>
      </c>
      <c r="C49" s="105" t="inlineStr">
        <is>
          <t>Кабель силовой с медными жилами ВВГнг(A)-LS 4х25-660</t>
        </is>
      </c>
      <c r="D49" s="60" t="inlineStr">
        <is>
          <t>1000 м</t>
        </is>
      </c>
      <c r="E49" s="106" t="n">
        <v>12.755232</v>
      </c>
      <c r="F49" s="106" t="n">
        <v>88071.37</v>
      </c>
      <c r="G49" s="108">
        <f>E49*F49</f>
        <v/>
      </c>
      <c r="H49" s="163">
        <f>G49/$G$91</f>
        <v/>
      </c>
      <c r="I49" s="14">
        <f>ROUND(F49*Прил.10!$D$12,2)</f>
        <v/>
      </c>
      <c r="J49" s="14">
        <f>ROUND(I49*E49,2)</f>
        <v/>
      </c>
    </row>
    <row r="50" ht="25.5" customFormat="1" customHeight="1" s="137">
      <c r="A50" s="159" t="n">
        <v>23</v>
      </c>
      <c r="B50" s="60" t="inlineStr">
        <is>
          <t>21.1.08.03-0587</t>
        </is>
      </c>
      <c r="C50" s="105" t="inlineStr">
        <is>
          <t>Кабель контрольный КВВГЭнг(A)-LS 10х2,5</t>
        </is>
      </c>
      <c r="D50" s="60" t="inlineStr">
        <is>
          <t>1000 м</t>
        </is>
      </c>
      <c r="E50" s="106" t="n">
        <v>10.206</v>
      </c>
      <c r="F50" s="106" t="n">
        <v>67943.28999999999</v>
      </c>
      <c r="G50" s="108">
        <f>E50*F50</f>
        <v/>
      </c>
      <c r="H50" s="163">
        <f>G50/$G$91</f>
        <v/>
      </c>
      <c r="I50" s="14">
        <f>ROUND(F50*Прил.10!$D$12,2)</f>
        <v/>
      </c>
      <c r="J50" s="14">
        <f>ROUND(I50*E50,2)</f>
        <v/>
      </c>
    </row>
    <row r="51" ht="25.5" customFormat="1" customHeight="1" s="137">
      <c r="A51" s="159" t="n">
        <v>24</v>
      </c>
      <c r="B51" s="60" t="inlineStr">
        <is>
          <t>07.2.07.04-0007</t>
        </is>
      </c>
      <c r="C51" s="105" t="inlineStr">
        <is>
          <t>Конструкции стальные индивидуальные решетчатые сварные, масса до 0,1 т</t>
        </is>
      </c>
      <c r="D51" s="60" t="inlineStr">
        <is>
          <t>т</t>
        </is>
      </c>
      <c r="E51" s="106" t="n">
        <v>37.221408</v>
      </c>
      <c r="F51" s="106" t="n">
        <v>11500</v>
      </c>
      <c r="G51" s="108">
        <f>E51*F51</f>
        <v/>
      </c>
      <c r="H51" s="163">
        <f>G51/$G$91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37">
      <c r="A52" s="159" t="n"/>
      <c r="B52" s="159" t="n"/>
      <c r="C52" s="158" t="inlineStr">
        <is>
          <t>Итого основные материалы</t>
        </is>
      </c>
      <c r="D52" s="159" t="n"/>
      <c r="E52" s="106" t="n"/>
      <c r="F52" s="161" t="n"/>
      <c r="G52" s="14">
        <f>SUM(G48:G51)</f>
        <v/>
      </c>
      <c r="H52" s="163">
        <f>G52/$G$91</f>
        <v/>
      </c>
      <c r="I52" s="14" t="n"/>
      <c r="J52" s="14">
        <f>SUM(J48:J51)</f>
        <v/>
      </c>
      <c r="K52" s="58" t="n"/>
    </row>
    <row r="53" outlineLevel="1" ht="25.5" customFormat="1" customHeight="1" s="137">
      <c r="A53" s="159" t="n">
        <v>25</v>
      </c>
      <c r="B53" s="60" t="inlineStr">
        <is>
          <t>21.1.06.09-0111</t>
        </is>
      </c>
      <c r="C53" s="105" t="inlineStr">
        <is>
          <t>Кабель силовой с медными жилами ВВГнг 4х6-660</t>
        </is>
      </c>
      <c r="D53" s="60" t="inlineStr">
        <is>
          <t>1000 м</t>
        </is>
      </c>
      <c r="E53" s="106" t="n">
        <v>10.206</v>
      </c>
      <c r="F53" s="106" t="n">
        <v>14867.6</v>
      </c>
      <c r="G53" s="108">
        <f>E53*F53</f>
        <v/>
      </c>
      <c r="H53" s="163">
        <f>G53/$G$91</f>
        <v/>
      </c>
      <c r="I53" s="14">
        <f>ROUND(F53*Прил.10!$D$12,2)</f>
        <v/>
      </c>
      <c r="J53" s="14">
        <f>ROUND(I53*E53,2)</f>
        <v/>
      </c>
    </row>
    <row r="54" outlineLevel="1" ht="14.25" customFormat="1" customHeight="1" s="137">
      <c r="A54" s="159" t="n">
        <v>26</v>
      </c>
      <c r="B54" s="60" t="inlineStr">
        <is>
          <t>01.7.11.07-0034</t>
        </is>
      </c>
      <c r="C54" s="105" t="inlineStr">
        <is>
          <t>Электроды диаметром: 4 мм Э42А</t>
        </is>
      </c>
      <c r="D54" s="60" t="inlineStr">
        <is>
          <t>кг</t>
        </is>
      </c>
      <c r="E54" s="106" t="n">
        <v>6901.272</v>
      </c>
      <c r="F54" s="106" t="n">
        <v>10.57</v>
      </c>
      <c r="G54" s="108">
        <f>E54*F54</f>
        <v/>
      </c>
      <c r="H54" s="163">
        <f>G54/$G$91</f>
        <v/>
      </c>
      <c r="I54" s="14">
        <f>ROUND(F54*Прил.10!$D$12,2)</f>
        <v/>
      </c>
      <c r="J54" s="14">
        <f>ROUND(I54*E54,2)</f>
        <v/>
      </c>
    </row>
    <row r="55" outlineLevel="1" ht="14.25" customFormat="1" customHeight="1" s="137">
      <c r="A55" s="159" t="n">
        <v>26</v>
      </c>
      <c r="B55" s="60" t="inlineStr">
        <is>
          <t>20.2.08.07-0033</t>
        </is>
      </c>
      <c r="C55" s="105" t="inlineStr">
        <is>
          <t>Скоба: У1078</t>
        </is>
      </c>
      <c r="D55" s="60" t="inlineStr">
        <is>
          <t>100 шт</t>
        </is>
      </c>
      <c r="E55" s="106" t="n">
        <v>97.3224</v>
      </c>
      <c r="F55" s="106" t="n">
        <v>617</v>
      </c>
      <c r="G55" s="108">
        <f>E55*F55</f>
        <v/>
      </c>
      <c r="H55" s="163">
        <f>G55/$G$91</f>
        <v/>
      </c>
      <c r="I55" s="14">
        <f>ROUND(F55*Прил.10!$D$12,2)</f>
        <v/>
      </c>
      <c r="J55" s="14">
        <f>ROUND(I55*E55,2)</f>
        <v/>
      </c>
    </row>
    <row r="56" outlineLevel="1" ht="14.25" customFormat="1" customHeight="1" s="137">
      <c r="A56" s="159" t="n">
        <v>27</v>
      </c>
      <c r="B56" s="60" t="inlineStr">
        <is>
          <t>01.7.15.03-0042</t>
        </is>
      </c>
      <c r="C56" s="105" t="inlineStr">
        <is>
          <t>Болты с гайками и шайбами строительные</t>
        </is>
      </c>
      <c r="D56" s="60" t="inlineStr">
        <is>
          <t>кг</t>
        </is>
      </c>
      <c r="E56" s="106" t="n">
        <v>5884.44696</v>
      </c>
      <c r="F56" s="106" t="n">
        <v>9.039999999999999</v>
      </c>
      <c r="G56" s="108">
        <f>E56*F56</f>
        <v/>
      </c>
      <c r="H56" s="163">
        <f>G56/$G$91</f>
        <v/>
      </c>
      <c r="I56" s="14">
        <f>ROUND(F56*Прил.10!$D$12,2)</f>
        <v/>
      </c>
      <c r="J56" s="14">
        <f>ROUND(I56*E56,2)</f>
        <v/>
      </c>
    </row>
    <row r="57" outlineLevel="1" ht="14.25" customFormat="1" customHeight="1" s="137">
      <c r="A57" s="159" t="n">
        <v>27</v>
      </c>
      <c r="B57" s="60" t="inlineStr">
        <is>
          <t>01.7.15.07-0014</t>
        </is>
      </c>
      <c r="C57" s="105" t="inlineStr">
        <is>
          <t>Дюбели распорные полипропиленовые</t>
        </is>
      </c>
      <c r="D57" s="60" t="inlineStr">
        <is>
          <t>100 шт</t>
        </is>
      </c>
      <c r="E57" s="106" t="n">
        <v>353.97936</v>
      </c>
      <c r="F57" s="106" t="n">
        <v>86</v>
      </c>
      <c r="G57" s="108">
        <f>E57*F57</f>
        <v/>
      </c>
      <c r="H57" s="163">
        <f>G57/$G$91</f>
        <v/>
      </c>
      <c r="I57" s="14">
        <f>ROUND(F57*Прил.10!$D$12,2)</f>
        <v/>
      </c>
      <c r="J57" s="14">
        <f>ROUND(I57*E57,2)</f>
        <v/>
      </c>
    </row>
    <row r="58" outlineLevel="1" ht="14.25" customFormat="1" customHeight="1" s="137">
      <c r="A58" s="159" t="n">
        <v>28</v>
      </c>
      <c r="B58" s="60" t="inlineStr">
        <is>
          <t>14.4.02.09-0001</t>
        </is>
      </c>
      <c r="C58" s="105" t="inlineStr">
        <is>
          <t>Краска</t>
        </is>
      </c>
      <c r="D58" s="60" t="inlineStr">
        <is>
          <t>кг</t>
        </is>
      </c>
      <c r="E58" s="106" t="n">
        <v>998.2224</v>
      </c>
      <c r="F58" s="106" t="n">
        <v>28.6</v>
      </c>
      <c r="G58" s="108">
        <f>E58*F58</f>
        <v/>
      </c>
      <c r="H58" s="163">
        <f>G58/$G$91</f>
        <v/>
      </c>
      <c r="I58" s="14">
        <f>ROUND(F58*Прил.10!$D$12,2)</f>
        <v/>
      </c>
      <c r="J58" s="14">
        <f>ROUND(I58*E58,2)</f>
        <v/>
      </c>
    </row>
    <row r="59" outlineLevel="1" ht="14.25" customFormat="1" customHeight="1" s="137">
      <c r="A59" s="159" t="n">
        <v>28</v>
      </c>
      <c r="B59" s="60" t="inlineStr">
        <is>
          <t>01.7.15.07-0031</t>
        </is>
      </c>
      <c r="C59" s="105" t="inlineStr">
        <is>
          <t>Дюбели распорные с гайкой</t>
        </is>
      </c>
      <c r="D59" s="60" t="inlineStr">
        <is>
          <t>100 шт</t>
        </is>
      </c>
      <c r="E59" s="106" t="n">
        <v>141.5736</v>
      </c>
      <c r="F59" s="106" t="n">
        <v>110</v>
      </c>
      <c r="G59" s="108">
        <f>E59*F59</f>
        <v/>
      </c>
      <c r="H59" s="163">
        <f>G59/$G$91</f>
        <v/>
      </c>
      <c r="I59" s="14">
        <f>ROUND(F59*Прил.10!$D$12,2)</f>
        <v/>
      </c>
      <c r="J59" s="14">
        <f>ROUND(I59*E59,2)</f>
        <v/>
      </c>
    </row>
    <row r="60" outlineLevel="1" ht="25.5" customFormat="1" customHeight="1" s="137">
      <c r="A60" s="159" t="n">
        <v>29</v>
      </c>
      <c r="B60" s="60" t="inlineStr">
        <is>
          <t>03.2.01.01-0003</t>
        </is>
      </c>
      <c r="C60" s="105" t="inlineStr">
        <is>
          <t>Портландцемент общестроительного назначения бездобавочный, марки: 500</t>
        </is>
      </c>
      <c r="D60" s="60" t="inlineStr">
        <is>
          <t>т</t>
        </is>
      </c>
      <c r="E60" s="106" t="n">
        <v>31.8528</v>
      </c>
      <c r="F60" s="106" t="n">
        <v>480</v>
      </c>
      <c r="G60" s="108">
        <f>E60*F60</f>
        <v/>
      </c>
      <c r="H60" s="163">
        <f>G60/$G$91</f>
        <v/>
      </c>
      <c r="I60" s="14">
        <f>ROUND(F60*Прил.10!$D$12,2)</f>
        <v/>
      </c>
      <c r="J60" s="14">
        <f>ROUND(I60*E60,2)</f>
        <v/>
      </c>
    </row>
    <row r="61" outlineLevel="1" ht="38.25" customFormat="1" customHeight="1" s="137">
      <c r="A61" s="159" t="n">
        <v>30</v>
      </c>
      <c r="B61" s="60" t="inlineStr">
        <is>
          <t>20.5.02.02-0001</t>
        </is>
      </c>
      <c r="C61" s="105" t="inlineStr">
        <is>
          <t>Коробка клеммная взрывозащищенная SA141410(1C10-1N-1PE- 1C2-1N-1PE-1FL3(C)-1FL2(C) 2Exel IT6, IP66</t>
        </is>
      </c>
      <c r="D61" s="60" t="inlineStr">
        <is>
          <t>шт.</t>
        </is>
      </c>
      <c r="E61" s="106" t="n">
        <v>5.04</v>
      </c>
      <c r="F61" s="106" t="n">
        <v>2639.24</v>
      </c>
      <c r="G61" s="108">
        <f>E61*F61</f>
        <v/>
      </c>
      <c r="H61" s="163">
        <f>G61/$G$91</f>
        <v/>
      </c>
      <c r="I61" s="14">
        <f>ROUND(F61*Прил.10!$D$12,2)</f>
        <v/>
      </c>
      <c r="J61" s="14">
        <f>ROUND(I61*E61,2)</f>
        <v/>
      </c>
    </row>
    <row r="62" outlineLevel="1" ht="25.5" customFormat="1" customHeight="1" s="137">
      <c r="A62" s="159" t="n">
        <v>31</v>
      </c>
      <c r="B62" s="60" t="inlineStr">
        <is>
          <t>999-9950</t>
        </is>
      </c>
      <c r="C62" s="105" t="inlineStr">
        <is>
          <t>Вспомогательные ненормируемые ресурсы (2% от Оплаты труда рабочих)</t>
        </is>
      </c>
      <c r="D62" s="60" t="inlineStr">
        <is>
          <t>руб.</t>
        </is>
      </c>
      <c r="E62" s="106" t="n">
        <v>8313.83784</v>
      </c>
      <c r="F62" s="106" t="n">
        <v>1</v>
      </c>
      <c r="G62" s="108">
        <f>E62*F62</f>
        <v/>
      </c>
      <c r="H62" s="163">
        <f>G62/$G$91</f>
        <v/>
      </c>
      <c r="I62" s="14">
        <f>ROUND(F62*Прил.10!$D$12,2)</f>
        <v/>
      </c>
      <c r="J62" s="14">
        <f>ROUND(I62*E62,2)</f>
        <v/>
      </c>
    </row>
    <row r="63" outlineLevel="1" ht="25.5" customFormat="1" customHeight="1" s="137">
      <c r="A63" s="159" t="n">
        <v>32</v>
      </c>
      <c r="B63" s="60" t="inlineStr">
        <is>
          <t>08.1.02.13-0005</t>
        </is>
      </c>
      <c r="C63" s="105" t="inlineStr">
        <is>
          <t>Рукава металлические диаметром 15 мм РЗ-Ц-Х</t>
        </is>
      </c>
      <c r="D63" s="60" t="inlineStr">
        <is>
          <t>м</t>
        </is>
      </c>
      <c r="E63" s="106" t="n">
        <v>453.6</v>
      </c>
      <c r="F63" s="106" t="n">
        <v>8.279999999999999</v>
      </c>
      <c r="G63" s="108">
        <f>E63*F63</f>
        <v/>
      </c>
      <c r="H63" s="163">
        <f>G63/$G$91</f>
        <v/>
      </c>
      <c r="I63" s="14">
        <f>ROUND(F63*Прил.10!$D$12,2)</f>
        <v/>
      </c>
      <c r="J63" s="14">
        <f>ROUND(I63*E63,2)</f>
        <v/>
      </c>
    </row>
    <row r="64" outlineLevel="1" ht="14.25" customFormat="1" customHeight="1" s="137">
      <c r="A64" s="159" t="n">
        <v>33</v>
      </c>
      <c r="B64" s="60" t="inlineStr">
        <is>
          <t>20.1.02.23-0082</t>
        </is>
      </c>
      <c r="C64" s="105" t="inlineStr">
        <is>
          <t>Перемычки гибкие, тип ПГС-50</t>
        </is>
      </c>
      <c r="D64" s="60" t="inlineStr">
        <is>
          <t>10 шт</t>
        </is>
      </c>
      <c r="E64" s="106" t="n">
        <v>64.5624</v>
      </c>
      <c r="F64" s="106" t="n">
        <v>39</v>
      </c>
      <c r="G64" s="108">
        <f>E64*F64</f>
        <v/>
      </c>
      <c r="H64" s="163">
        <f>G64/$G$91</f>
        <v/>
      </c>
      <c r="I64" s="14">
        <f>ROUND(F64*Прил.10!$D$12,2)</f>
        <v/>
      </c>
      <c r="J64" s="14">
        <f>ROUND(I64*E64,2)</f>
        <v/>
      </c>
    </row>
    <row r="65" outlineLevel="1" ht="25.5" customFormat="1" customHeight="1" s="137">
      <c r="A65" s="159" t="n">
        <v>34</v>
      </c>
      <c r="B65" s="60" t="inlineStr">
        <is>
          <t>08.3.07.01-0076</t>
        </is>
      </c>
      <c r="C65" s="105" t="inlineStr">
        <is>
          <t>Сталь полосовая, марка стали: Ст3сп шириной 50-200 мм толщиной 4-5 мм</t>
        </is>
      </c>
      <c r="D65" s="60" t="inlineStr">
        <is>
          <t>т</t>
        </is>
      </c>
      <c r="E65" s="106" t="n">
        <v>0.48132</v>
      </c>
      <c r="F65" s="106" t="n">
        <v>5000</v>
      </c>
      <c r="G65" s="108">
        <f>E65*F65</f>
        <v/>
      </c>
      <c r="H65" s="163">
        <f>G65/$G$91</f>
        <v/>
      </c>
      <c r="I65" s="14">
        <f>ROUND(F65*Прил.10!$D$12,2)</f>
        <v/>
      </c>
      <c r="J65" s="14">
        <f>ROUND(I65*E65,2)</f>
        <v/>
      </c>
    </row>
    <row r="66" outlineLevel="1" ht="25.5" customFormat="1" customHeight="1" s="137">
      <c r="A66" s="159" t="n">
        <v>35</v>
      </c>
      <c r="B66" s="60" t="inlineStr">
        <is>
          <t>02.3.01.02-0020</t>
        </is>
      </c>
      <c r="C66" s="105" t="inlineStr">
        <is>
          <t>Песок природный для строительных: растворов средний</t>
        </is>
      </c>
      <c r="D66" s="60" t="inlineStr">
        <is>
          <t>м3</t>
        </is>
      </c>
      <c r="E66" s="106" t="n">
        <v>26.54568</v>
      </c>
      <c r="F66" s="106" t="n">
        <v>59.99</v>
      </c>
      <c r="G66" s="108">
        <f>E66*F66</f>
        <v/>
      </c>
      <c r="H66" s="163">
        <f>G66/$G$91</f>
        <v/>
      </c>
      <c r="I66" s="14">
        <f>ROUND(F66*Прил.10!$D$12,2)</f>
        <v/>
      </c>
      <c r="J66" s="14">
        <f>ROUND(I66*E66,2)</f>
        <v/>
      </c>
    </row>
    <row r="67" outlineLevel="1" ht="38.25" customFormat="1" customHeight="1" s="137">
      <c r="A67" s="159" t="n">
        <v>36</v>
      </c>
      <c r="B67" s="60" t="inlineStr">
        <is>
          <t>21.2.01.02-0141</t>
        </is>
      </c>
      <c r="C67" s="105" t="inlineStr">
        <is>
          <t>Провода неизолированные для воздушных линий электропередачи медные марки: М, сечением 4 мм2</t>
        </is>
      </c>
      <c r="D67" s="60" t="inlineStr">
        <is>
          <t>т</t>
        </is>
      </c>
      <c r="E67" s="106" t="n">
        <v>0.014616</v>
      </c>
      <c r="F67" s="106" t="n">
        <v>96440</v>
      </c>
      <c r="G67" s="108">
        <f>E67*F67</f>
        <v/>
      </c>
      <c r="H67" s="163">
        <f>G67/$G$91</f>
        <v/>
      </c>
      <c r="I67" s="14">
        <f>ROUND(F67*Прил.10!$D$12,2)</f>
        <v/>
      </c>
      <c r="J67" s="14">
        <f>ROUND(I67*E67,2)</f>
        <v/>
      </c>
    </row>
    <row r="68" outlineLevel="1" ht="14.25" customFormat="1" customHeight="1" s="137">
      <c r="A68" s="159" t="n">
        <v>37</v>
      </c>
      <c r="B68" s="60" t="inlineStr">
        <is>
          <t>18.5.08.09-0001</t>
        </is>
      </c>
      <c r="C68" s="105" t="inlineStr">
        <is>
          <t>Патрубки</t>
        </is>
      </c>
      <c r="D68" s="60" t="inlineStr">
        <is>
          <t>10 шт</t>
        </is>
      </c>
      <c r="E68" s="106" t="n">
        <v>4.536</v>
      </c>
      <c r="F68" s="106" t="n">
        <v>277.5</v>
      </c>
      <c r="G68" s="108">
        <f>E68*F68</f>
        <v/>
      </c>
      <c r="H68" s="163">
        <f>G68/$G$91</f>
        <v/>
      </c>
      <c r="I68" s="14">
        <f>ROUND(F68*Прил.10!$D$12,2)</f>
        <v/>
      </c>
      <c r="J68" s="14">
        <f>ROUND(I68*E68,2)</f>
        <v/>
      </c>
    </row>
    <row r="69" outlineLevel="1" ht="14.25" customFormat="1" customHeight="1" s="137">
      <c r="A69" s="159" t="n">
        <v>38</v>
      </c>
      <c r="B69" s="60" t="inlineStr">
        <is>
          <t>14.4.02.09-0301</t>
        </is>
      </c>
      <c r="C69" s="105" t="inlineStr">
        <is>
          <t>Краска "Цинол"</t>
        </is>
      </c>
      <c r="D69" s="60" t="inlineStr">
        <is>
          <t>кг</t>
        </is>
      </c>
      <c r="E69" s="106" t="n">
        <v>5.04</v>
      </c>
      <c r="F69" s="106" t="n">
        <v>238.48</v>
      </c>
      <c r="G69" s="108">
        <f>E69*F69</f>
        <v/>
      </c>
      <c r="H69" s="163">
        <f>G69/$G$91</f>
        <v/>
      </c>
      <c r="I69" s="14">
        <f>ROUND(F69*Прил.10!$D$12,2)</f>
        <v/>
      </c>
      <c r="J69" s="14">
        <f>ROUND(I69*E69,2)</f>
        <v/>
      </c>
    </row>
    <row r="70" outlineLevel="1" ht="25.5" customFormat="1" customHeight="1" s="137">
      <c r="A70" s="159" t="n">
        <v>39</v>
      </c>
      <c r="B70" s="60" t="inlineStr">
        <is>
          <t>10.3.02.03-0011</t>
        </is>
      </c>
      <c r="C70" s="105" t="inlineStr">
        <is>
          <t>Припои оловянно-свинцовые бессурьмянистые марки: ПОС30</t>
        </is>
      </c>
      <c r="D70" s="60" t="inlineStr">
        <is>
          <t>кг</t>
        </is>
      </c>
      <c r="E70" s="106" t="n">
        <v>6.565104</v>
      </c>
      <c r="F70" s="106" t="n">
        <v>68.05</v>
      </c>
      <c r="G70" s="108">
        <f>E70*F70</f>
        <v/>
      </c>
      <c r="H70" s="163">
        <f>G70/$G$91</f>
        <v/>
      </c>
      <c r="I70" s="14">
        <f>ROUND(F70*Прил.10!$D$12,2)</f>
        <v/>
      </c>
      <c r="J70" s="14">
        <f>ROUND(I70*E70,2)</f>
        <v/>
      </c>
    </row>
    <row r="71" outlineLevel="1" ht="14.25" customFormat="1" customHeight="1" s="137">
      <c r="A71" s="159" t="n">
        <v>40</v>
      </c>
      <c r="B71" s="60" t="inlineStr">
        <is>
          <t>25.2.01.01-0017</t>
        </is>
      </c>
      <c r="C71" s="105" t="inlineStr">
        <is>
          <t>Бирки маркировочные пластмассовые</t>
        </is>
      </c>
      <c r="D71" s="60" t="inlineStr">
        <is>
          <t>100 шт</t>
        </is>
      </c>
      <c r="E71" s="106" t="n">
        <v>9.827999999999999</v>
      </c>
      <c r="F71" s="106" t="n">
        <v>30.74</v>
      </c>
      <c r="G71" s="108">
        <f>E71*F71</f>
        <v/>
      </c>
      <c r="H71" s="163">
        <f>G71/$G$91</f>
        <v/>
      </c>
      <c r="I71" s="14">
        <f>ROUND(F71*Прил.10!$D$12,2)</f>
        <v/>
      </c>
      <c r="J71" s="14">
        <f>ROUND(I71*E71,2)</f>
        <v/>
      </c>
    </row>
    <row r="72" outlineLevel="1" ht="14.25" customFormat="1" customHeight="1" s="137">
      <c r="A72" s="159" t="n">
        <v>41</v>
      </c>
      <c r="B72" s="60" t="inlineStr">
        <is>
          <t>20.1.02.06-0001</t>
        </is>
      </c>
      <c r="C72" s="105" t="inlineStr">
        <is>
          <t>Жир паяльный</t>
        </is>
      </c>
      <c r="D72" s="60" t="inlineStr">
        <is>
          <t>кг</t>
        </is>
      </c>
      <c r="E72" s="106" t="n">
        <v>2.6208</v>
      </c>
      <c r="F72" s="106" t="n">
        <v>100.8</v>
      </c>
      <c r="G72" s="108">
        <f>E72*F72</f>
        <v/>
      </c>
      <c r="H72" s="163">
        <f>G72/$G$91</f>
        <v/>
      </c>
      <c r="I72" s="14">
        <f>ROUND(F72*Прил.10!$D$12,2)</f>
        <v/>
      </c>
      <c r="J72" s="14">
        <f>ROUND(I72*E72,2)</f>
        <v/>
      </c>
    </row>
    <row r="73" outlineLevel="1" ht="14.25" customFormat="1" customHeight="1" s="137">
      <c r="A73" s="159" t="n">
        <v>42</v>
      </c>
      <c r="B73" s="60" t="inlineStr">
        <is>
          <t>01.3.01.01-0001</t>
        </is>
      </c>
      <c r="C73" s="105" t="inlineStr">
        <is>
          <t>Бензин авиационный Б-70</t>
        </is>
      </c>
      <c r="D73" s="60" t="inlineStr">
        <is>
          <t>т</t>
        </is>
      </c>
      <c r="E73" s="106" t="n">
        <v>0.04032</v>
      </c>
      <c r="F73" s="106" t="n">
        <v>4488.4</v>
      </c>
      <c r="G73" s="108">
        <f>E73*F73</f>
        <v/>
      </c>
      <c r="H73" s="163">
        <f>G73/$G$91</f>
        <v/>
      </c>
      <c r="I73" s="14">
        <f>ROUND(F73*Прил.10!$D$12,2)</f>
        <v/>
      </c>
      <c r="J73" s="14">
        <f>ROUND(I73*E73,2)</f>
        <v/>
      </c>
    </row>
    <row r="74" outlineLevel="1" ht="25.5" customFormat="1" customHeight="1" s="137">
      <c r="A74" s="159" t="n">
        <v>43</v>
      </c>
      <c r="B74" s="60" t="inlineStr">
        <is>
          <t>01.7.15.04-0011</t>
        </is>
      </c>
      <c r="C74" s="105" t="inlineStr">
        <is>
          <t>Винты с полукруглой головкой длиной: 50 мм</t>
        </is>
      </c>
      <c r="D74" s="60" t="inlineStr">
        <is>
          <t>т</t>
        </is>
      </c>
      <c r="E74" s="106" t="n">
        <v>0.01008</v>
      </c>
      <c r="F74" s="106" t="n">
        <v>12430</v>
      </c>
      <c r="G74" s="108">
        <f>E74*F74</f>
        <v/>
      </c>
      <c r="H74" s="163">
        <f>G74/$G$91</f>
        <v/>
      </c>
      <c r="I74" s="14">
        <f>ROUND(F74*Прил.10!$D$12,2)</f>
        <v/>
      </c>
      <c r="J74" s="14">
        <f>ROUND(I74*E74,2)</f>
        <v/>
      </c>
    </row>
    <row r="75" outlineLevel="1" ht="25.5" customFormat="1" customHeight="1" s="137">
      <c r="A75" s="159" t="n">
        <v>44</v>
      </c>
      <c r="B75" s="60" t="inlineStr">
        <is>
          <t>10.3.02.03-0013</t>
        </is>
      </c>
      <c r="C75" s="105" t="inlineStr">
        <is>
          <t>Припои оловянно-свинцовые бессурьмянистые марки: ПОС61</t>
        </is>
      </c>
      <c r="D75" s="60" t="inlineStr">
        <is>
          <t>кг</t>
        </is>
      </c>
      <c r="E75" s="106" t="n">
        <v>0.757008</v>
      </c>
      <c r="F75" s="106" t="n">
        <v>114.22</v>
      </c>
      <c r="G75" s="108">
        <f>E75*F75</f>
        <v/>
      </c>
      <c r="H75" s="163">
        <f>G75/$G$91</f>
        <v/>
      </c>
      <c r="I75" s="14">
        <f>ROUND(F75*Прил.10!$D$12,2)</f>
        <v/>
      </c>
      <c r="J75" s="14">
        <f>ROUND(I75*E75,2)</f>
        <v/>
      </c>
    </row>
    <row r="76" outlineLevel="1" ht="38.25" customFormat="1" customHeight="1" s="137">
      <c r="A76" s="159" t="n">
        <v>45</v>
      </c>
      <c r="B76" s="60" t="inlineStr">
        <is>
          <t>01.7.06.05-0041</t>
        </is>
      </c>
      <c r="C76" s="105" t="inlineStr">
        <is>
          <t>Лента изоляционная прорезиненная односторонняя ширина 20 мм, толщина 0,25-0,35 мм</t>
        </is>
      </c>
      <c r="D76" s="60" t="inlineStr">
        <is>
          <t>кг</t>
        </is>
      </c>
      <c r="E76" s="106" t="n">
        <v>2.8224</v>
      </c>
      <c r="F76" s="106" t="n">
        <v>30.4</v>
      </c>
      <c r="G76" s="108">
        <f>E76*F76</f>
        <v/>
      </c>
      <c r="H76" s="163">
        <f>G76/$G$91</f>
        <v/>
      </c>
      <c r="I76" s="14">
        <f>ROUND(F76*Прил.10!$D$12,2)</f>
        <v/>
      </c>
      <c r="J76" s="14">
        <f>ROUND(I76*E76,2)</f>
        <v/>
      </c>
    </row>
    <row r="77" outlineLevel="1" ht="14.25" customFormat="1" customHeight="1" s="137">
      <c r="A77" s="159" t="n">
        <v>46</v>
      </c>
      <c r="B77" s="60" t="inlineStr">
        <is>
          <t>08.3.07.01-0037</t>
        </is>
      </c>
      <c r="C77" s="105" t="inlineStr">
        <is>
          <t>Сталь полосовая 30х4 мм, марка Ст3сп</t>
        </is>
      </c>
      <c r="D77" s="60" t="inlineStr">
        <is>
          <t>т</t>
        </is>
      </c>
      <c r="E77" s="106" t="n">
        <v>0.01008</v>
      </c>
      <c r="F77" s="106" t="n">
        <v>6674.64</v>
      </c>
      <c r="G77" s="108">
        <f>E77*F77</f>
        <v/>
      </c>
      <c r="H77" s="163">
        <f>G77/$G$91</f>
        <v/>
      </c>
      <c r="I77" s="14">
        <f>ROUND(F77*Прил.10!$D$12,2)</f>
        <v/>
      </c>
      <c r="J77" s="14">
        <f>ROUND(I77*E77,2)</f>
        <v/>
      </c>
    </row>
    <row r="78" outlineLevel="1" ht="14.25" customFormat="1" customHeight="1" s="137">
      <c r="A78" s="159" t="n">
        <v>47</v>
      </c>
      <c r="B78" s="60" t="inlineStr">
        <is>
          <t>25.2.01.01-0001</t>
        </is>
      </c>
      <c r="C78" s="105" t="inlineStr">
        <is>
          <t>Бирки-оконцеватели</t>
        </is>
      </c>
      <c r="D78" s="60" t="inlineStr">
        <is>
          <t>100 шт</t>
        </is>
      </c>
      <c r="E78" s="106" t="n">
        <v>1.008</v>
      </c>
      <c r="F78" s="106" t="n">
        <v>63</v>
      </c>
      <c r="G78" s="108">
        <f>E78*F78</f>
        <v/>
      </c>
      <c r="H78" s="163">
        <f>G78/$G$91</f>
        <v/>
      </c>
      <c r="I78" s="14">
        <f>ROUND(F78*Прил.10!$D$12,2)</f>
        <v/>
      </c>
      <c r="J78" s="14">
        <f>ROUND(I78*E78,2)</f>
        <v/>
      </c>
    </row>
    <row r="79" outlineLevel="1" ht="14.25" customFormat="1" customHeight="1" s="137">
      <c r="A79" s="159" t="n">
        <v>48</v>
      </c>
      <c r="B79" s="60" t="inlineStr">
        <is>
          <t>01.3.02.09-0022</t>
        </is>
      </c>
      <c r="C79" s="105" t="inlineStr">
        <is>
          <t>Пропан-бутан, смесь техническая</t>
        </is>
      </c>
      <c r="D79" s="60" t="inlineStr">
        <is>
          <t>кг</t>
        </is>
      </c>
      <c r="E79" s="106" t="n">
        <v>7.56</v>
      </c>
      <c r="F79" s="106" t="n">
        <v>6.09</v>
      </c>
      <c r="G79" s="108">
        <f>E79*F79</f>
        <v/>
      </c>
      <c r="H79" s="163">
        <f>G79/$G$91</f>
        <v/>
      </c>
      <c r="I79" s="14">
        <f>ROUND(F79*Прил.10!$D$12,2)</f>
        <v/>
      </c>
      <c r="J79" s="14">
        <f>ROUND(I79*E79,2)</f>
        <v/>
      </c>
    </row>
    <row r="80" outlineLevel="1" ht="14.25" customFormat="1" customHeight="1" s="137">
      <c r="A80" s="159" t="n">
        <v>49</v>
      </c>
      <c r="B80" s="60" t="inlineStr">
        <is>
          <t>01.3.01.05-0009</t>
        </is>
      </c>
      <c r="C80" s="105" t="inlineStr">
        <is>
          <t>Парафины нефтяные твердые марки Т-1</t>
        </is>
      </c>
      <c r="D80" s="60" t="inlineStr">
        <is>
          <t>т</t>
        </is>
      </c>
      <c r="E80" s="106" t="n">
        <v>0.002016</v>
      </c>
      <c r="F80" s="106" t="n">
        <v>8105.71</v>
      </c>
      <c r="G80" s="108">
        <f>E80*F80</f>
        <v/>
      </c>
      <c r="H80" s="163">
        <f>G80/$G$91</f>
        <v/>
      </c>
      <c r="I80" s="14">
        <f>ROUND(F80*Прил.10!$D$12,2)</f>
        <v/>
      </c>
      <c r="J80" s="14">
        <f>ROUND(I80*E80,2)</f>
        <v/>
      </c>
    </row>
    <row r="81" outlineLevel="1" ht="14.25" customFormat="1" customHeight="1" s="137">
      <c r="A81" s="159" t="n">
        <v>50</v>
      </c>
      <c r="B81" s="60" t="inlineStr">
        <is>
          <t>01.7.06.07-0001</t>
        </is>
      </c>
      <c r="C81" s="105" t="inlineStr">
        <is>
          <t>Лента К226</t>
        </is>
      </c>
      <c r="D81" s="60" t="inlineStr">
        <is>
          <t>100 м</t>
        </is>
      </c>
      <c r="E81" s="106" t="n">
        <v>0.121968</v>
      </c>
      <c r="F81" s="106" t="n">
        <v>120</v>
      </c>
      <c r="G81" s="108">
        <f>E81*F81</f>
        <v/>
      </c>
      <c r="H81" s="163">
        <f>G81/$G$91</f>
        <v/>
      </c>
      <c r="I81" s="14">
        <f>ROUND(F81*Прил.10!$D$12,2)</f>
        <v/>
      </c>
      <c r="J81" s="14">
        <f>ROUND(I81*E81,2)</f>
        <v/>
      </c>
    </row>
    <row r="82" outlineLevel="1" ht="14.25" customFormat="1" customHeight="1" s="137">
      <c r="A82" s="159" t="n">
        <v>51</v>
      </c>
      <c r="B82" s="60" t="inlineStr">
        <is>
          <t>24.3.01.01-0002</t>
        </is>
      </c>
      <c r="C82" s="105" t="inlineStr">
        <is>
          <t>Трубка полихлорвиниловая</t>
        </is>
      </c>
      <c r="D82" s="60" t="inlineStr">
        <is>
          <t>кг</t>
        </is>
      </c>
      <c r="E82" s="106" t="n">
        <v>0.39312</v>
      </c>
      <c r="F82" s="106" t="n">
        <v>35.7</v>
      </c>
      <c r="G82" s="108">
        <f>E82*F82</f>
        <v/>
      </c>
      <c r="H82" s="163">
        <f>G82/$G$91</f>
        <v/>
      </c>
      <c r="I82" s="14">
        <f>ROUND(F82*Прил.10!$D$12,2)</f>
        <v/>
      </c>
      <c r="J82" s="14">
        <f>ROUND(I82*E82,2)</f>
        <v/>
      </c>
    </row>
    <row r="83" outlineLevel="1" ht="14.25" customFormat="1" customHeight="1" s="137">
      <c r="A83" s="159" t="n">
        <v>52</v>
      </c>
      <c r="B83" s="60" t="inlineStr">
        <is>
          <t>20.2.02.01-0019</t>
        </is>
      </c>
      <c r="C83" s="105" t="inlineStr">
        <is>
          <t>Втулки изолирующие</t>
        </is>
      </c>
      <c r="D83" s="60" t="inlineStr">
        <is>
          <t>1000 шт</t>
        </is>
      </c>
      <c r="E83" s="106" t="n">
        <v>0.04536</v>
      </c>
      <c r="F83" s="106" t="n">
        <v>270</v>
      </c>
      <c r="G83" s="108">
        <f>E83*F83</f>
        <v/>
      </c>
      <c r="H83" s="163">
        <f>G83/$G$91</f>
        <v/>
      </c>
      <c r="I83" s="14">
        <f>ROUND(F83*Прил.10!$D$12,2)</f>
        <v/>
      </c>
      <c r="J83" s="14">
        <f>ROUND(I83*E83,2)</f>
        <v/>
      </c>
    </row>
    <row r="84" outlineLevel="1" ht="25.5" customFormat="1" customHeight="1" s="137">
      <c r="A84" s="159" t="n">
        <v>53</v>
      </c>
      <c r="B84" s="60" t="inlineStr">
        <is>
          <t>01.3.01.07-0009</t>
        </is>
      </c>
      <c r="C84" s="105" t="inlineStr">
        <is>
          <t>Спирт этиловый ректификованный технический, сорт I</t>
        </is>
      </c>
      <c r="D84" s="60" t="inlineStr">
        <is>
          <t>кг</t>
        </is>
      </c>
      <c r="E84" s="106" t="n">
        <v>0.285264</v>
      </c>
      <c r="F84" s="106" t="n">
        <v>38.89</v>
      </c>
      <c r="G84" s="108">
        <f>E84*F84</f>
        <v/>
      </c>
      <c r="H84" s="163">
        <f>G84/$G$91</f>
        <v/>
      </c>
      <c r="I84" s="14">
        <f>ROUND(F84*Прил.10!$D$12,2)</f>
        <v/>
      </c>
      <c r="J84" s="14">
        <f>ROUND(I84*E84,2)</f>
        <v/>
      </c>
    </row>
    <row r="85" outlineLevel="1" ht="14.25" customFormat="1" customHeight="1" s="137">
      <c r="A85" s="159" t="n">
        <v>54</v>
      </c>
      <c r="B85" s="60" t="inlineStr">
        <is>
          <t>01.3.05.17-0002</t>
        </is>
      </c>
      <c r="C85" s="105" t="inlineStr">
        <is>
          <t>Канифоль сосновая</t>
        </is>
      </c>
      <c r="D85" s="60" t="inlineStr">
        <is>
          <t>кг</t>
        </is>
      </c>
      <c r="E85" s="106" t="n">
        <v>0.186984</v>
      </c>
      <c r="F85" s="106" t="n">
        <v>27.74</v>
      </c>
      <c r="G85" s="108">
        <f>E85*F85</f>
        <v/>
      </c>
      <c r="H85" s="163">
        <f>G85/$G$91</f>
        <v/>
      </c>
      <c r="I85" s="14">
        <f>ROUND(F85*Прил.10!$D$12,2)</f>
        <v/>
      </c>
      <c r="J85" s="14">
        <f>ROUND(I85*E85,2)</f>
        <v/>
      </c>
    </row>
    <row r="86" outlineLevel="1" ht="14.25" customFormat="1" customHeight="1" s="137">
      <c r="A86" s="159" t="n">
        <v>55</v>
      </c>
      <c r="B86" s="60" t="inlineStr">
        <is>
          <t>01.3.01.02-0002</t>
        </is>
      </c>
      <c r="C86" s="105" t="inlineStr">
        <is>
          <t>Вазелин технический</t>
        </is>
      </c>
      <c r="D86" s="60" t="inlineStr">
        <is>
          <t>кг</t>
        </is>
      </c>
      <c r="E86" s="106" t="n">
        <v>0.1008</v>
      </c>
      <c r="F86" s="106" t="n">
        <v>44.97</v>
      </c>
      <c r="G86" s="108">
        <f>E86*F86</f>
        <v/>
      </c>
      <c r="H86" s="163">
        <f>G86/$G$91</f>
        <v/>
      </c>
      <c r="I86" s="14">
        <f>ROUND(F86*Прил.10!$D$12,2)</f>
        <v/>
      </c>
      <c r="J86" s="14">
        <f>ROUND(I86*E86,2)</f>
        <v/>
      </c>
    </row>
    <row r="87" outlineLevel="1" ht="14.25" customFormat="1" customHeight="1" s="137">
      <c r="A87" s="159" t="n">
        <v>56</v>
      </c>
      <c r="B87" s="60" t="inlineStr">
        <is>
          <t>14.4.03.17-0011</t>
        </is>
      </c>
      <c r="C87" s="105" t="inlineStr">
        <is>
          <t>Лак электроизоляционный 318</t>
        </is>
      </c>
      <c r="D87" s="60" t="inlineStr">
        <is>
          <t>кг</t>
        </is>
      </c>
      <c r="E87" s="106" t="n">
        <v>0.1008</v>
      </c>
      <c r="F87" s="106" t="n">
        <v>35.63</v>
      </c>
      <c r="G87" s="108">
        <f>E87*F87</f>
        <v/>
      </c>
      <c r="H87" s="163">
        <f>G87/$G$91</f>
        <v/>
      </c>
      <c r="I87" s="14">
        <f>ROUND(F87*Прил.10!$D$12,2)</f>
        <v/>
      </c>
      <c r="J87" s="14">
        <f>ROUND(I87*E87,2)</f>
        <v/>
      </c>
    </row>
    <row r="88" outlineLevel="1" ht="14.25" customFormat="1" customHeight="1" s="137">
      <c r="A88" s="159" t="n">
        <v>57</v>
      </c>
      <c r="B88" s="60" t="inlineStr">
        <is>
          <t>01.7.20.04-0005</t>
        </is>
      </c>
      <c r="C88" s="105" t="inlineStr">
        <is>
          <t>Нитки швейные</t>
        </is>
      </c>
      <c r="D88" s="60" t="inlineStr">
        <is>
          <t>кг</t>
        </is>
      </c>
      <c r="E88" s="106" t="n">
        <v>0.01008</v>
      </c>
      <c r="F88" s="106" t="n">
        <v>133.05</v>
      </c>
      <c r="G88" s="108">
        <f>E88*F88</f>
        <v/>
      </c>
      <c r="H88" s="163">
        <f>G88/$G$91</f>
        <v/>
      </c>
      <c r="I88" s="14">
        <f>ROUND(F88*Прил.10!$D$12,2)</f>
        <v/>
      </c>
      <c r="J88" s="14">
        <f>ROUND(I88*E88,2)</f>
        <v/>
      </c>
    </row>
    <row r="89" outlineLevel="1" ht="14.25" customFormat="1" customHeight="1" s="137">
      <c r="A89" s="159" t="n">
        <v>58</v>
      </c>
      <c r="B89" s="60" t="inlineStr">
        <is>
          <t>01.7.02.09-0002</t>
        </is>
      </c>
      <c r="C89" s="105" t="inlineStr">
        <is>
          <t>Шпагат бумажный</t>
        </is>
      </c>
      <c r="D89" s="60" t="inlineStr">
        <is>
          <t>кг</t>
        </is>
      </c>
      <c r="E89" s="106" t="n">
        <v>0.02016</v>
      </c>
      <c r="F89" s="106" t="n">
        <v>11.5</v>
      </c>
      <c r="G89" s="108">
        <f>E89*F89</f>
        <v/>
      </c>
      <c r="H89" s="163">
        <f>G89/$G$91</f>
        <v/>
      </c>
      <c r="I89" s="14">
        <f>ROUND(F89*Прил.10!$D$12,2)</f>
        <v/>
      </c>
      <c r="J89" s="14">
        <f>ROUND(I89*E89,2)</f>
        <v/>
      </c>
    </row>
    <row r="90" ht="14.25" customFormat="1" customHeight="1" s="137">
      <c r="A90" s="159" t="n"/>
      <c r="B90" s="159" t="n"/>
      <c r="C90" s="158" t="inlineStr">
        <is>
          <t>Итого прочие материалы</t>
        </is>
      </c>
      <c r="D90" s="159" t="n"/>
      <c r="E90" s="160" t="n"/>
      <c r="F90" s="161" t="n"/>
      <c r="G90" s="14">
        <f>SUM(G53:G89)</f>
        <v/>
      </c>
      <c r="H90" s="163">
        <f>G90/G91</f>
        <v/>
      </c>
      <c r="I90" s="14" t="n"/>
      <c r="J90" s="14">
        <f>SUM(J53:J89)</f>
        <v/>
      </c>
      <c r="L90" s="58" t="n"/>
    </row>
    <row r="91" ht="14.25" customFormat="1" customHeight="1" s="137">
      <c r="A91" s="159" t="n"/>
      <c r="B91" s="159" t="n"/>
      <c r="C91" s="148" t="inlineStr">
        <is>
          <t>Итого по разделу «Материалы»</t>
        </is>
      </c>
      <c r="D91" s="159" t="n"/>
      <c r="E91" s="160" t="n"/>
      <c r="F91" s="161" t="n"/>
      <c r="G91" s="14">
        <f>G52+G90</f>
        <v/>
      </c>
      <c r="H91" s="163" t="n">
        <v>1</v>
      </c>
      <c r="I91" s="161" t="n"/>
      <c r="J91" s="14">
        <f>J52+J90</f>
        <v/>
      </c>
      <c r="K91" s="58" t="n"/>
      <c r="L91" s="102" t="n"/>
    </row>
    <row r="92" ht="14.25" customFormat="1" customHeight="1" s="137">
      <c r="A92" s="159" t="n"/>
      <c r="B92" s="159" t="n"/>
      <c r="C92" s="158" t="inlineStr">
        <is>
          <t>ИТОГО ПО РМ</t>
        </is>
      </c>
      <c r="D92" s="159" t="n"/>
      <c r="E92" s="160" t="n"/>
      <c r="F92" s="161" t="n"/>
      <c r="G92" s="14">
        <f>G14+G29+G91</f>
        <v/>
      </c>
      <c r="H92" s="163" t="n"/>
      <c r="I92" s="161" t="n"/>
      <c r="J92" s="14">
        <f>J14+J29+J91</f>
        <v/>
      </c>
    </row>
    <row r="93" ht="14.25" customFormat="1" customHeight="1" s="137">
      <c r="A93" s="159" t="n"/>
      <c r="B93" s="159" t="n"/>
      <c r="C93" s="158" t="inlineStr">
        <is>
          <t>Накладные расходы</t>
        </is>
      </c>
      <c r="D93" s="159" t="inlineStr">
        <is>
          <t>%</t>
        </is>
      </c>
      <c r="E93" s="69" t="n">
        <v>0.95</v>
      </c>
      <c r="F93" s="161" t="n"/>
      <c r="G93" s="14">
        <f>ROUND(E93*(G14+G16),2)</f>
        <v/>
      </c>
      <c r="H93" s="163" t="n"/>
      <c r="I93" s="161" t="n"/>
      <c r="J93" s="14">
        <f>ROUND(E93*(J14+J16),2)</f>
        <v/>
      </c>
      <c r="K93" s="70" t="n"/>
    </row>
    <row r="94" ht="14.25" customFormat="1" customHeight="1" s="137">
      <c r="A94" s="159" t="n"/>
      <c r="B94" s="159" t="n"/>
      <c r="C94" s="158" t="inlineStr">
        <is>
          <t>Сметная прибыль</t>
        </is>
      </c>
      <c r="D94" s="159" t="inlineStr">
        <is>
          <t>%</t>
        </is>
      </c>
      <c r="E94" s="69" t="n">
        <v>0.65</v>
      </c>
      <c r="F94" s="161" t="n"/>
      <c r="G94" s="14">
        <f>ROUND(E94*(G14+G16),2)</f>
        <v/>
      </c>
      <c r="H94" s="163" t="n"/>
      <c r="I94" s="161" t="n"/>
      <c r="J94" s="14">
        <f>ROUND(E94*(J14+J16),2)</f>
        <v/>
      </c>
      <c r="K94" s="70" t="n"/>
    </row>
    <row r="95" ht="14.25" customFormat="1" customHeight="1" s="137">
      <c r="A95" s="159" t="n"/>
      <c r="B95" s="159" t="n"/>
      <c r="C95" s="158" t="inlineStr">
        <is>
          <t>Итого СМР (с НР и СП)</t>
        </is>
      </c>
      <c r="D95" s="159" t="n"/>
      <c r="E95" s="160" t="n"/>
      <c r="F95" s="161" t="n"/>
      <c r="G95" s="14">
        <f>G14+G29+G91+G93+G94</f>
        <v/>
      </c>
      <c r="H95" s="163" t="n"/>
      <c r="I95" s="161" t="n"/>
      <c r="J95" s="14">
        <f>J14+J29+J91+J93+J94</f>
        <v/>
      </c>
      <c r="L95" s="71" t="n"/>
    </row>
    <row r="96" ht="14.25" customFormat="1" customHeight="1" s="137">
      <c r="A96" s="159" t="n"/>
      <c r="B96" s="159" t="n"/>
      <c r="C96" s="158" t="inlineStr">
        <is>
          <t>ВСЕГО СМР + ОБОРУДОВАНИЕ</t>
        </is>
      </c>
      <c r="D96" s="159" t="n"/>
      <c r="E96" s="160" t="n"/>
      <c r="F96" s="161" t="n"/>
      <c r="G96" s="14">
        <f>G95+G44</f>
        <v/>
      </c>
      <c r="H96" s="163" t="n"/>
      <c r="I96" s="161" t="n"/>
      <c r="J96" s="14">
        <f>J95+J44</f>
        <v/>
      </c>
      <c r="L96" s="70" t="n"/>
    </row>
    <row r="97" ht="14.25" customFormat="1" customHeight="1" s="137">
      <c r="A97" s="159" t="n"/>
      <c r="B97" s="159" t="n"/>
      <c r="C97" s="158" t="inlineStr">
        <is>
          <t>ИТОГО ПОКАЗАТЕЛЬ НА ЕД. ИЗМ.</t>
        </is>
      </c>
      <c r="D97" s="159" t="inlineStr">
        <is>
          <t>ед.</t>
        </is>
      </c>
      <c r="E97" s="72" t="n">
        <v>9</v>
      </c>
      <c r="F97" s="161" t="n"/>
      <c r="G97" s="14">
        <f>G96/E97</f>
        <v/>
      </c>
      <c r="H97" s="163" t="n"/>
      <c r="I97" s="161" t="n"/>
      <c r="J97" s="14">
        <f>J96/E97</f>
        <v/>
      </c>
      <c r="L97" s="102" t="n"/>
    </row>
    <row r="99" ht="14.25" customFormat="1" customHeight="1" s="137">
      <c r="A99" s="135" t="n"/>
    </row>
    <row r="100" ht="14.25" customFormat="1" customHeight="1" s="137">
      <c r="A100" s="127" t="inlineStr">
        <is>
          <t>Составил ______________________       Р.Р. Шагеева</t>
        </is>
      </c>
    </row>
    <row r="101" ht="14.25" customFormat="1" customHeight="1" s="137">
      <c r="A101" s="138" t="inlineStr">
        <is>
          <t xml:space="preserve">                         (подпись, инициалы, фамилия)</t>
        </is>
      </c>
    </row>
    <row r="102" ht="14.25" customFormat="1" customHeight="1" s="137">
      <c r="A102" s="127" t="n"/>
    </row>
    <row r="103" ht="14.25" customFormat="1" customHeight="1" s="137">
      <c r="A103" s="127" t="inlineStr">
        <is>
          <t>Проверил ______________________        А.В. Костянецкая</t>
        </is>
      </c>
    </row>
    <row r="104" ht="14.25" customFormat="1" customHeight="1" s="137">
      <c r="A104" s="138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47:H47"/>
    <mergeCell ref="B30:J30"/>
    <mergeCell ref="B9:B10"/>
    <mergeCell ref="D9:D10"/>
    <mergeCell ref="B18:H18"/>
    <mergeCell ref="B12:H12"/>
    <mergeCell ref="F9:G9"/>
    <mergeCell ref="A4:H4"/>
    <mergeCell ref="B17:H17"/>
    <mergeCell ref="A9:A10"/>
    <mergeCell ref="B46:J46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9"/>
  <sheetViews>
    <sheetView view="pageBreakPreview" topLeftCell="A17" workbookViewId="0">
      <selection activeCell="D25" sqref="D25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8" t="inlineStr">
        <is>
          <t>Приложение №6</t>
        </is>
      </c>
    </row>
    <row r="2" ht="21.75" customHeight="1">
      <c r="A2" s="178" t="n"/>
      <c r="B2" s="178" t="n"/>
      <c r="C2" s="178" t="n"/>
      <c r="D2" s="178" t="n"/>
      <c r="E2" s="178" t="n"/>
      <c r="F2" s="178" t="n"/>
      <c r="G2" s="178" t="n"/>
    </row>
    <row r="3">
      <c r="A3" s="155" t="inlineStr">
        <is>
          <t>Расчет стоимости оборудования</t>
        </is>
      </c>
    </row>
    <row r="4" ht="25.5" customHeight="1">
      <c r="A4" s="177">
        <f>'Прил.1 Сравнит табл'!B7</f>
        <v/>
      </c>
    </row>
    <row r="5">
      <c r="A5" s="127" t="n"/>
      <c r="B5" s="127" t="n"/>
      <c r="C5" s="127" t="n"/>
      <c r="D5" s="127" t="n"/>
      <c r="E5" s="127" t="n"/>
      <c r="F5" s="127" t="n"/>
      <c r="G5" s="127" t="n"/>
    </row>
    <row r="6" ht="30.2" customHeight="1">
      <c r="A6" s="179" t="inlineStr">
        <is>
          <t>№ пп.</t>
        </is>
      </c>
      <c r="B6" s="179" t="inlineStr">
        <is>
          <t>Код ресурса</t>
        </is>
      </c>
      <c r="C6" s="179" t="inlineStr">
        <is>
          <t>Наименование</t>
        </is>
      </c>
      <c r="D6" s="179" t="inlineStr">
        <is>
          <t>Ед. изм.</t>
        </is>
      </c>
      <c r="E6" s="159" t="inlineStr">
        <is>
          <t>Кол-во единиц по проектным данным</t>
        </is>
      </c>
      <c r="F6" s="179" t="inlineStr">
        <is>
          <t>Сметная стоимость в ценах на 01.01.2000 (руб.)</t>
        </is>
      </c>
      <c r="G6" s="186" t="n"/>
    </row>
    <row r="7">
      <c r="A7" s="188" t="n"/>
      <c r="B7" s="188" t="n"/>
      <c r="C7" s="188" t="n"/>
      <c r="D7" s="188" t="n"/>
      <c r="E7" s="188" t="n"/>
      <c r="F7" s="159" t="inlineStr">
        <is>
          <t>на ед. изм.</t>
        </is>
      </c>
      <c r="G7" s="159" t="inlineStr">
        <is>
          <t>общая</t>
        </is>
      </c>
    </row>
    <row r="8">
      <c r="A8" s="159" t="n">
        <v>1</v>
      </c>
      <c r="B8" s="159" t="n">
        <v>2</v>
      </c>
      <c r="C8" s="159" t="n">
        <v>3</v>
      </c>
      <c r="D8" s="159" t="n">
        <v>4</v>
      </c>
      <c r="E8" s="159" t="n">
        <v>5</v>
      </c>
      <c r="F8" s="159" t="n">
        <v>6</v>
      </c>
      <c r="G8" s="159" t="n">
        <v>7</v>
      </c>
    </row>
    <row r="9" ht="15" customHeight="1">
      <c r="A9" s="7" t="n"/>
      <c r="B9" s="158" t="inlineStr">
        <is>
          <t>ИНЖЕНЕРНОЕ ОБОРУДОВАНИЕ</t>
        </is>
      </c>
      <c r="C9" s="185" t="n"/>
      <c r="D9" s="185" t="n"/>
      <c r="E9" s="185" t="n"/>
      <c r="F9" s="185" t="n"/>
      <c r="G9" s="186" t="n"/>
    </row>
    <row r="10" ht="27" customHeight="1">
      <c r="A10" s="159" t="n"/>
      <c r="B10" s="148" t="n"/>
      <c r="C10" s="158" t="inlineStr">
        <is>
          <t>ИТОГО ИНЖЕНЕРНОЕ ОБОРУДОВАНИЕ</t>
        </is>
      </c>
      <c r="D10" s="148" t="n"/>
      <c r="E10" s="8" t="n"/>
      <c r="F10" s="161" t="n"/>
      <c r="G10" s="161" t="n">
        <v>0</v>
      </c>
    </row>
    <row r="11">
      <c r="A11" s="159" t="n"/>
      <c r="B11" s="158" t="inlineStr">
        <is>
          <t>ТЕХНОЛОГИЧЕСКОЕ ОБОРУДОВАНИЕ</t>
        </is>
      </c>
      <c r="C11" s="185" t="n"/>
      <c r="D11" s="185" t="n"/>
      <c r="E11" s="185" t="n"/>
      <c r="F11" s="185" t="n"/>
      <c r="G11" s="186" t="n"/>
    </row>
    <row r="12" ht="38.25" customHeight="1">
      <c r="A12" s="159" t="n">
        <v>1</v>
      </c>
      <c r="B12" s="60">
        <f>'Прил.5 Расчет СМР и ОБ'!B32</f>
        <v/>
      </c>
      <c r="C12" s="105">
        <f>'Прил.5 Расчет СМР и ОБ'!C32</f>
        <v/>
      </c>
      <c r="D12" s="60">
        <f>'Прил.5 Расчет СМР и ОБ'!D32</f>
        <v/>
      </c>
      <c r="E12" s="60">
        <f>'Прил.5 Расчет СМР и ОБ'!E32</f>
        <v/>
      </c>
      <c r="F12" s="60">
        <f>'Прил.5 Расчет СМР и ОБ'!F32</f>
        <v/>
      </c>
      <c r="G12" s="60">
        <f>'Прил.5 Расчет СМР и ОБ'!G32</f>
        <v/>
      </c>
    </row>
    <row r="13" ht="63.75" customHeight="1">
      <c r="A13" s="159">
        <f>A12+1</f>
        <v/>
      </c>
      <c r="B13" s="60">
        <f>'Прил.5 Расчет СМР и ОБ'!B34</f>
        <v/>
      </c>
      <c r="C13" s="105">
        <f>'Прил.5 Расчет СМР и ОБ'!C34</f>
        <v/>
      </c>
      <c r="D13" s="60">
        <f>'Прил.5 Расчет СМР и ОБ'!D34</f>
        <v/>
      </c>
      <c r="E13" s="60">
        <f>'Прил.5 Расчет СМР и ОБ'!E34</f>
        <v/>
      </c>
      <c r="F13" s="60">
        <f>'Прил.5 Расчет СМР и ОБ'!F34</f>
        <v/>
      </c>
      <c r="G13" s="60">
        <f>'Прил.5 Расчет СМР и ОБ'!G34</f>
        <v/>
      </c>
    </row>
    <row r="14" ht="38.25" customHeight="1">
      <c r="A14" s="159">
        <f>A13+1</f>
        <v/>
      </c>
      <c r="B14" s="60">
        <f>'Прил.5 Расчет СМР и ОБ'!B35</f>
        <v/>
      </c>
      <c r="C14" s="105">
        <f>'Прил.5 Расчет СМР и ОБ'!C35</f>
        <v/>
      </c>
      <c r="D14" s="60">
        <f>'Прил.5 Расчет СМР и ОБ'!D35</f>
        <v/>
      </c>
      <c r="E14" s="60">
        <f>'Прил.5 Расчет СМР и ОБ'!E35</f>
        <v/>
      </c>
      <c r="F14" s="60">
        <f>'Прил.5 Расчет СМР и ОБ'!F35</f>
        <v/>
      </c>
      <c r="G14" s="60">
        <f>'Прил.5 Расчет СМР и ОБ'!G35</f>
        <v/>
      </c>
    </row>
    <row r="15" ht="51" customHeight="1">
      <c r="A15" s="159">
        <f>A14+1</f>
        <v/>
      </c>
      <c r="B15" s="60">
        <f>'Прил.5 Расчет СМР и ОБ'!B37</f>
        <v/>
      </c>
      <c r="C15" s="105">
        <f>'Прил.5 Расчет СМР и ОБ'!C37</f>
        <v/>
      </c>
      <c r="D15" s="60">
        <f>'Прил.5 Расчет СМР и ОБ'!D37</f>
        <v/>
      </c>
      <c r="E15" s="60">
        <f>'Прил.5 Расчет СМР и ОБ'!E37</f>
        <v/>
      </c>
      <c r="F15" s="60">
        <f>'Прил.5 Расчет СМР и ОБ'!F37</f>
        <v/>
      </c>
      <c r="G15" s="60">
        <f>'Прил.5 Расчет СМР и ОБ'!G37</f>
        <v/>
      </c>
    </row>
    <row r="16" ht="25.5" customHeight="1">
      <c r="A16" s="159">
        <f>A15+1</f>
        <v/>
      </c>
      <c r="B16" s="60">
        <f>'Прил.5 Расчет СМР и ОБ'!B33</f>
        <v/>
      </c>
      <c r="C16" s="158">
        <f>'Прил.5 Расчет СМР и ОБ'!C33</f>
        <v/>
      </c>
      <c r="D16" s="159">
        <f>'Прил.5 Расчет СМР и ОБ'!D33</f>
        <v/>
      </c>
      <c r="E16" s="159">
        <f>'Прил.5 Расчет СМР и ОБ'!E33</f>
        <v/>
      </c>
      <c r="F16" s="159">
        <f>'Прил.5 Расчет СМР и ОБ'!F33</f>
        <v/>
      </c>
      <c r="G16" s="159">
        <f>'Прил.5 Расчет СМР и ОБ'!G33</f>
        <v/>
      </c>
    </row>
    <row r="17" ht="25.5" customHeight="1">
      <c r="A17" s="159">
        <f>A16+1</f>
        <v/>
      </c>
      <c r="B17" s="60">
        <f>'Прил.5 Расчет СМР и ОБ'!B39</f>
        <v/>
      </c>
      <c r="C17" s="158">
        <f>'Прил.5 Расчет СМР и ОБ'!C39</f>
        <v/>
      </c>
      <c r="D17" s="159">
        <f>'Прил.5 Расчет СМР и ОБ'!D39</f>
        <v/>
      </c>
      <c r="E17" s="159">
        <f>'Прил.5 Расчет СМР и ОБ'!E39</f>
        <v/>
      </c>
      <c r="F17" s="159">
        <f>'Прил.5 Расчет СМР и ОБ'!F39</f>
        <v/>
      </c>
      <c r="G17" s="159">
        <f>'Прил.5 Расчет СМР и ОБ'!G39</f>
        <v/>
      </c>
    </row>
    <row r="18" ht="38.25" customHeight="1">
      <c r="A18" s="159">
        <f>A17+1</f>
        <v/>
      </c>
      <c r="B18" s="60">
        <f>'Прил.5 Расчет СМР и ОБ'!B36</f>
        <v/>
      </c>
      <c r="C18" s="158">
        <f>'Прил.5 Расчет СМР и ОБ'!C36</f>
        <v/>
      </c>
      <c r="D18" s="159">
        <f>'Прил.5 Расчет СМР и ОБ'!D36</f>
        <v/>
      </c>
      <c r="E18" s="159">
        <f>'Прил.5 Расчет СМР и ОБ'!E36</f>
        <v/>
      </c>
      <c r="F18" s="159">
        <f>'Прил.5 Расчет СМР и ОБ'!F36</f>
        <v/>
      </c>
      <c r="G18" s="159">
        <f>'Прил.5 Расчет СМР и ОБ'!G36</f>
        <v/>
      </c>
    </row>
    <row r="19" ht="25.5" customHeight="1">
      <c r="A19" s="159">
        <f>A18+1</f>
        <v/>
      </c>
      <c r="B19" s="60">
        <f>'Прил.5 Расчет СМР и ОБ'!B40</f>
        <v/>
      </c>
      <c r="C19" s="158">
        <f>'Прил.5 Расчет СМР и ОБ'!C40</f>
        <v/>
      </c>
      <c r="D19" s="159">
        <f>'Прил.5 Расчет СМР и ОБ'!D40</f>
        <v/>
      </c>
      <c r="E19" s="159">
        <f>'Прил.5 Расчет СМР и ОБ'!E40</f>
        <v/>
      </c>
      <c r="F19" s="159">
        <f>'Прил.5 Расчет СМР и ОБ'!F40</f>
        <v/>
      </c>
      <c r="G19" s="159">
        <f>'Прил.5 Расчет СМР и ОБ'!G40</f>
        <v/>
      </c>
    </row>
    <row r="20" ht="25.5" customHeight="1">
      <c r="A20" s="159">
        <f>A19+1</f>
        <v/>
      </c>
      <c r="B20" s="60">
        <f>'Прил.5 Расчет СМР и ОБ'!B41</f>
        <v/>
      </c>
      <c r="C20" s="158">
        <f>'Прил.5 Расчет СМР и ОБ'!C41</f>
        <v/>
      </c>
      <c r="D20" s="159">
        <f>'Прил.5 Расчет СМР и ОБ'!D41</f>
        <v/>
      </c>
      <c r="E20" s="159">
        <f>'Прил.5 Расчет СМР и ОБ'!E41</f>
        <v/>
      </c>
      <c r="F20" s="159">
        <f>'Прил.5 Расчет СМР и ОБ'!F41</f>
        <v/>
      </c>
      <c r="G20" s="159">
        <f>'Прил.5 Расчет СМР и ОБ'!G41</f>
        <v/>
      </c>
    </row>
    <row r="21" ht="25.5" customHeight="1">
      <c r="A21" s="159">
        <f>A20+1</f>
        <v/>
      </c>
      <c r="B21" s="60">
        <f>'Прил.5 Расчет СМР и ОБ'!B42</f>
        <v/>
      </c>
      <c r="C21" s="158">
        <f>'Прил.5 Расчет СМР и ОБ'!C42</f>
        <v/>
      </c>
      <c r="D21" s="159">
        <f>'Прил.5 Расчет СМР и ОБ'!D42</f>
        <v/>
      </c>
      <c r="E21" s="159">
        <f>'Прил.5 Расчет СМР и ОБ'!E42</f>
        <v/>
      </c>
      <c r="F21" s="159">
        <f>'Прил.5 Расчет СМР и ОБ'!F42</f>
        <v/>
      </c>
      <c r="G21" s="159">
        <f>'Прил.5 Расчет СМР и ОБ'!G42</f>
        <v/>
      </c>
    </row>
    <row r="22" ht="25.5" customHeight="1">
      <c r="A22" s="159">
        <f>A21+1</f>
        <v/>
      </c>
      <c r="B22" s="12" t="n"/>
      <c r="C22" s="12" t="inlineStr">
        <is>
          <t>ИТОГО ТЕХНОЛОГИЧЕСКОЕ ОБОРУДОВАНИЕ</t>
        </is>
      </c>
      <c r="D22" s="12" t="n"/>
      <c r="E22" s="13" t="n"/>
      <c r="F22" s="161" t="n"/>
      <c r="G22" s="14">
        <f>SUM(G12:G21)</f>
        <v/>
      </c>
    </row>
    <row r="23" ht="19.5" customHeight="1">
      <c r="A23" s="159">
        <f>A22+1</f>
        <v/>
      </c>
      <c r="B23" s="158" t="n"/>
      <c r="C23" s="158" t="inlineStr">
        <is>
          <t>Всего по разделу «Оборудование»</t>
        </is>
      </c>
      <c r="D23" s="158" t="n"/>
      <c r="E23" s="176" t="n"/>
      <c r="F23" s="161" t="n"/>
      <c r="G23" s="14">
        <f>G10+G22</f>
        <v/>
      </c>
    </row>
    <row r="24">
      <c r="A24" s="135" t="n"/>
      <c r="B24" s="136" t="n"/>
      <c r="C24" s="135" t="n"/>
      <c r="D24" s="135" t="n"/>
      <c r="E24" s="135" t="n"/>
      <c r="F24" s="135" t="n"/>
      <c r="G24" s="135" t="n"/>
    </row>
    <row r="25">
      <c r="A25" s="127" t="inlineStr">
        <is>
          <t>Составил ______________________       Р.Р. Шагеева</t>
        </is>
      </c>
      <c r="B25" s="137" t="n"/>
      <c r="D25" s="135" t="n"/>
      <c r="E25" s="135" t="n"/>
      <c r="F25" s="135" t="n"/>
      <c r="G25" s="135" t="n"/>
    </row>
    <row r="26">
      <c r="A26" s="138" t="inlineStr">
        <is>
          <t xml:space="preserve">                         (подпись, инициалы, фамилия)</t>
        </is>
      </c>
      <c r="B26" s="137" t="n"/>
      <c r="D26" s="135" t="n"/>
      <c r="E26" s="135" t="n"/>
      <c r="F26" s="135" t="n"/>
      <c r="G26" s="135" t="n"/>
    </row>
    <row r="27">
      <c r="A27" s="127" t="n"/>
      <c r="B27" s="137" t="n"/>
      <c r="C27" s="137" t="n"/>
      <c r="D27" s="135" t="n"/>
      <c r="E27" s="135" t="n"/>
      <c r="F27" s="135" t="n"/>
      <c r="G27" s="135" t="n"/>
    </row>
    <row r="28">
      <c r="A28" s="127" t="inlineStr">
        <is>
          <t>Проверил ______________________        А.В. Костянецкая</t>
        </is>
      </c>
      <c r="B28" s="137" t="n"/>
      <c r="C28" s="137" t="n"/>
      <c r="D28" s="135" t="n"/>
      <c r="E28" s="135" t="n"/>
      <c r="F28" s="135" t="n"/>
      <c r="G28" s="135" t="n"/>
    </row>
    <row r="29">
      <c r="A29" s="138" t="inlineStr">
        <is>
          <t xml:space="preserve">                        (подпись, инициалы, фамилия)</t>
        </is>
      </c>
      <c r="B29" s="137" t="n"/>
      <c r="C29" s="137" t="n"/>
      <c r="D29" s="135" t="n"/>
      <c r="E29" s="135" t="n"/>
      <c r="F29" s="135" t="n"/>
      <c r="G29" s="1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1.85546875" customWidth="1" min="1" max="1"/>
    <col width="29.7109375" customWidth="1" min="2" max="2"/>
    <col width="35" customWidth="1" min="3" max="3"/>
    <col width="27.5703125" customWidth="1" min="4" max="4"/>
    <col width="24.85546875" customWidth="1" min="5" max="5"/>
  </cols>
  <sheetData>
    <row r="1">
      <c r="B1" s="127" t="n"/>
      <c r="C1" s="127" t="n"/>
      <c r="D1" s="178" t="inlineStr">
        <is>
          <t>Приложение №7</t>
        </is>
      </c>
    </row>
    <row r="2">
      <c r="A2" s="178" t="n"/>
      <c r="B2" s="178" t="n"/>
      <c r="C2" s="178" t="n"/>
      <c r="D2" s="178" t="n"/>
    </row>
    <row r="3" ht="24.75" customHeight="1">
      <c r="A3" s="155" t="inlineStr">
        <is>
          <t>Расчет показателя УНЦ</t>
        </is>
      </c>
    </row>
    <row r="4" ht="24.75" customHeight="1">
      <c r="A4" s="155" t="n"/>
      <c r="B4" s="155" t="n"/>
      <c r="C4" s="155" t="n"/>
      <c r="D4" s="155" t="n"/>
    </row>
    <row r="5" ht="36" customHeight="1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</f>
        <v/>
      </c>
    </row>
    <row r="6" ht="19.9" customHeight="1">
      <c r="A6" s="170">
        <f>'Прил.1 Сравнит табл'!B9</f>
        <v/>
      </c>
      <c r="D6" s="170" t="n"/>
    </row>
    <row r="7">
      <c r="A7" s="127" t="n"/>
      <c r="B7" s="127" t="n"/>
      <c r="C7" s="127" t="n"/>
      <c r="D7" s="127" t="n"/>
    </row>
    <row r="8" ht="14.45" customHeight="1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>
      <c r="A9" s="188" t="n"/>
      <c r="B9" s="188" t="n"/>
      <c r="C9" s="188" t="n"/>
      <c r="D9" s="188" t="n"/>
    </row>
    <row r="10">
      <c r="A10" s="159" t="n">
        <v>1</v>
      </c>
      <c r="B10" s="159" t="n">
        <v>2</v>
      </c>
      <c r="C10" s="159" t="n">
        <v>3</v>
      </c>
      <c r="D10" s="159" t="n">
        <v>4</v>
      </c>
    </row>
    <row r="11" ht="41.45" customHeight="1">
      <c r="A11" s="159" t="inlineStr">
        <is>
          <t>В1-В4-В5 330кВ РЗА</t>
        </is>
      </c>
      <c r="B11" s="159" t="inlineStr">
        <is>
          <t>УНЦ ячейки выключателя</t>
        </is>
      </c>
      <c r="C11" s="132">
        <f>D5</f>
        <v/>
      </c>
      <c r="D11" s="133">
        <f>'Прил.4 РМ'!C41/1000</f>
        <v/>
      </c>
      <c r="E11" s="134" t="n"/>
    </row>
    <row r="12">
      <c r="A12" s="135" t="n"/>
      <c r="B12" s="136" t="n"/>
      <c r="C12" s="135" t="n"/>
      <c r="D12" s="135" t="n"/>
    </row>
    <row r="13">
      <c r="A13" s="127">
        <f>'Прил.1 Сравнит табл'!B30</f>
        <v/>
      </c>
      <c r="B13" s="137" t="n"/>
      <c r="C13" s="137" t="n"/>
      <c r="D13" s="135" t="n"/>
    </row>
    <row r="14">
      <c r="A14" s="138" t="inlineStr">
        <is>
          <t xml:space="preserve">                         (подпись, инициалы, фамилия)</t>
        </is>
      </c>
      <c r="B14" s="137" t="n"/>
      <c r="C14" s="137" t="n"/>
      <c r="D14" s="135" t="n"/>
    </row>
    <row r="15">
      <c r="A15" s="127" t="n"/>
      <c r="B15" s="137" t="n"/>
      <c r="C15" s="137" t="n"/>
      <c r="D15" s="135" t="n"/>
    </row>
    <row r="16">
      <c r="A16" s="127" t="inlineStr">
        <is>
          <t>Проверил ______________________        А.В. Костянецкая</t>
        </is>
      </c>
      <c r="B16" s="137" t="n"/>
      <c r="C16" s="137" t="n"/>
      <c r="D16" s="135" t="n"/>
    </row>
    <row r="17">
      <c r="A17" s="138" t="inlineStr">
        <is>
          <t xml:space="preserve">                        (подпись, инициалы, фамилия)</t>
        </is>
      </c>
      <c r="B17" s="137" t="n"/>
      <c r="C17" s="137" t="n"/>
      <c r="D17" s="13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D23" sqref="D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35" t="n"/>
    </row>
    <row r="6" ht="15.75" customHeight="1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6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29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29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0.75" customHeight="1">
      <c r="B13" s="147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47" t="n">
        <v>6.26</v>
      </c>
    </row>
    <row r="14" ht="89.4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0.039</v>
      </c>
    </row>
    <row r="15" ht="78.7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0.021</v>
      </c>
    </row>
    <row r="16" ht="34.5" customHeight="1">
      <c r="B16" s="147" t="inlineStr">
        <is>
          <t>Пусконаладочные работы</t>
        </is>
      </c>
      <c r="C16" s="147" t="n"/>
      <c r="D16" s="147" t="inlineStr">
        <is>
          <t>Расчёт</t>
        </is>
      </c>
    </row>
    <row r="17" ht="31.7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42" t="n">
        <v>0.0214</v>
      </c>
    </row>
    <row r="18" ht="31.7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42" t="n">
        <v>0.002</v>
      </c>
    </row>
    <row r="19" ht="24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42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127" t="inlineStr">
        <is>
          <t>Составил ______________________       Р.Р. Шагеева</t>
        </is>
      </c>
      <c r="C26" s="137" t="n"/>
    </row>
    <row r="27">
      <c r="B27" s="138" t="inlineStr">
        <is>
          <t xml:space="preserve">                         (подпись, инициалы, фамилия)</t>
        </is>
      </c>
      <c r="C27" s="137" t="n"/>
    </row>
    <row r="28">
      <c r="B28" s="127" t="n"/>
      <c r="C28" s="137" t="n"/>
    </row>
    <row r="29">
      <c r="B29" s="127" t="inlineStr">
        <is>
          <t>Проверил ______________________        А.В. Костянецкая</t>
        </is>
      </c>
      <c r="C29" s="137" t="n"/>
    </row>
    <row r="30">
      <c r="B30" s="138" t="inlineStr">
        <is>
          <t xml:space="preserve">                        (подпись, инициалы, фамилия)</t>
        </is>
      </c>
      <c r="C30" s="13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workbookViewId="0">
      <selection activeCell="D24" sqref="D2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3.9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1.324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2025-01-24T11:54:31Z</dcterms:modified>
  <cp:lastModifiedBy>Danil</cp:lastModifiedBy>
  <cp:lastPrinted>2023-11-24T07:42:37Z</cp:lastPrinted>
</cp:coreProperties>
</file>