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'Прил.3'!$A$1:$H$108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_-* #,##0.00\ _₽_-;\-* #,##0.00\ _₽_-;_-* &quot;-&quot;??\ _₽_-;_-@_-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Times New Roman"/>
      <color rgb="FF000000"/>
      <sz val="11"/>
    </font>
    <font>
      <name val="Times New Roman"/>
      <color rgb="FF000000"/>
      <sz val="10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70" fontId="11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71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 vertical="center" wrapText="1"/>
    </xf>
    <xf numFmtId="167" fontId="1" fillId="0" borderId="0" pivotButton="0" quotePrefix="0" xfId="0"/>
    <xf numFmtId="0" fontId="16" fillId="0" borderId="0" applyAlignment="1" pivotButton="0" quotePrefix="0" xfId="0">
      <alignment horizontal="left"/>
    </xf>
    <xf numFmtId="0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/>
    </xf>
    <xf numFmtId="2" fontId="2" fillId="0" borderId="3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68" fontId="2" fillId="0" borderId="1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top" wrapText="1"/>
    </xf>
    <xf numFmtId="4" fontId="2" fillId="0" borderId="12" applyAlignment="1" pivotButton="0" quotePrefix="0" xfId="0">
      <alignment horizontal="right" vertical="top" wrapText="1"/>
    </xf>
    <xf numFmtId="164" fontId="3" fillId="0" borderId="3" applyAlignment="1" pivotButton="0" quotePrefix="0" xfId="0">
      <alignment vertical="center" wrapText="1"/>
    </xf>
    <xf numFmtId="0" fontId="3" fillId="0" borderId="2" applyAlignment="1" pivotButton="0" quotePrefix="0" xfId="0">
      <alignment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pivotButton="0" quotePrefix="0" xfId="0"/>
    <xf numFmtId="0" fontId="9" fillId="0" borderId="1" applyAlignment="1" pivotButton="0" quotePrefix="1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vertical="center" wrapText="1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2" fontId="18" fillId="0" borderId="1" applyAlignment="1" pivotButton="0" quotePrefix="0" xfId="0">
      <alignment horizontal="center" vertical="center" wrapText="1"/>
    </xf>
    <xf numFmtId="14" fontId="18" fillId="0" borderId="1" applyAlignment="1" pivotButton="0" quotePrefix="0" xfId="0">
      <alignment horizontal="center" vertical="center" wrapText="1"/>
    </xf>
    <xf numFmtId="0" fontId="19" fillId="0" borderId="3" applyAlignment="1" pivotButton="0" quotePrefix="0" xfId="0">
      <alignment horizontal="center" vertical="center" wrapText="1"/>
    </xf>
    <xf numFmtId="172" fontId="0" fillId="0" borderId="0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5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6" applyAlignment="1" pivotButton="0" quotePrefix="0" xfId="0">
      <alignment horizontal="left" vertical="center" wrapText="1"/>
    </xf>
    <xf numFmtId="4" fontId="9" fillId="0" borderId="0" applyAlignment="1" pivotButton="0" quotePrefix="0" xfId="0">
      <alignment horizontal="left" vertical="center"/>
    </xf>
    <xf numFmtId="10" fontId="2" fillId="0" borderId="1" applyAlignment="1" pivotButton="0" quotePrefix="0" xfId="0">
      <alignment horizontal="righ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9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7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8" applyAlignment="1" pivotButton="0" quotePrefix="0" xfId="0">
      <alignment horizontal="center"/>
    </xf>
    <xf numFmtId="0" fontId="0" fillId="0" borderId="14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16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6" zoomScale="60" zoomScaleNormal="85" workbookViewId="0">
      <selection activeCell="C30" sqref="C30"/>
    </sheetView>
  </sheetViews>
  <sheetFormatPr baseColWidth="8" defaultRowHeight="15"/>
  <cols>
    <col width="36.85546875" customWidth="1" style="128" min="3" max="3"/>
    <col width="39.42578125" customWidth="1" style="128" min="4" max="4"/>
    <col width="14.28515625" customWidth="1" style="128" min="7" max="7"/>
    <col width="15" customWidth="1" style="128" min="10" max="10"/>
  </cols>
  <sheetData>
    <row r="2" ht="15.75" customHeight="1" s="128">
      <c r="B2" s="160" t="inlineStr">
        <is>
          <t>Приложение № 1</t>
        </is>
      </c>
    </row>
    <row r="3" ht="18.75" customHeight="1" s="128">
      <c r="B3" s="161" t="inlineStr">
        <is>
          <t>Сравнительная таблица отбора объекта-представителя</t>
        </is>
      </c>
    </row>
    <row r="4" ht="84.2" customHeight="1" s="128">
      <c r="B4" s="1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128">
      <c r="B5" s="99" t="n"/>
      <c r="C5" s="99" t="n"/>
      <c r="D5" s="99" t="n"/>
    </row>
    <row r="6" ht="63" customHeight="1" s="128">
      <c r="B6" s="163" t="inlineStr">
        <is>
          <t>Наименование разрабатываемого 
показателя УНЦ</t>
        </is>
      </c>
      <c r="D6" s="179" t="inlineStr">
        <is>
          <t>РЗиА ячейки выключателя 750 кВ</t>
        </is>
      </c>
    </row>
    <row r="7" ht="31.7" customHeight="1" s="128">
      <c r="B7" s="159" t="inlineStr">
        <is>
          <t>Сопоставимый уровень цен: 2 кв. 2017г</t>
        </is>
      </c>
    </row>
    <row r="8" ht="15.75" customHeight="1" s="128">
      <c r="B8" s="159" t="inlineStr">
        <is>
          <t>Единица измерения  — 1 ячейка</t>
        </is>
      </c>
    </row>
    <row r="9" ht="18.75" customHeight="1" s="128">
      <c r="B9" s="36" t="n"/>
    </row>
    <row r="10" ht="15.75" customHeight="1" s="128">
      <c r="B10" s="173" t="inlineStr">
        <is>
          <t>№ п/п</t>
        </is>
      </c>
      <c r="C10" s="173" t="inlineStr">
        <is>
          <t>Параметр</t>
        </is>
      </c>
      <c r="D10" s="173" t="inlineStr">
        <is>
          <t xml:space="preserve">Объект-представитель </t>
        </is>
      </c>
    </row>
    <row r="11" ht="31.7" customHeight="1" s="128">
      <c r="B11" s="173" t="n">
        <v>1</v>
      </c>
      <c r="C11" s="145" t="inlineStr">
        <is>
          <t>Наименование объекта-представителя</t>
        </is>
      </c>
      <c r="D11" s="153" t="inlineStr">
        <is>
          <t>ВЛ 750 кВ Белозерская-Ленинградская (Расширение ПС 750 Ленинградская, 1 этап)</t>
        </is>
      </c>
    </row>
    <row r="12" ht="31.7" customHeight="1" s="128">
      <c r="B12" s="173" t="n">
        <v>2</v>
      </c>
      <c r="C12" s="145" t="inlineStr">
        <is>
          <t>Наименование субъекта Российской Федерации</t>
        </is>
      </c>
      <c r="D12" s="153" t="inlineStr">
        <is>
          <t>Ленинградская область</t>
        </is>
      </c>
    </row>
    <row r="13" ht="15.75" customHeight="1" s="128">
      <c r="B13" s="173" t="n">
        <v>3</v>
      </c>
      <c r="C13" s="145" t="inlineStr">
        <is>
          <t>Климатический район и подрайон</t>
        </is>
      </c>
      <c r="D13" s="154" t="inlineStr">
        <is>
          <t>IIВ</t>
        </is>
      </c>
    </row>
    <row r="14" ht="15.75" customHeight="1" s="128">
      <c r="B14" s="173" t="n">
        <v>4</v>
      </c>
      <c r="C14" s="145" t="inlineStr">
        <is>
          <t>Мощность объекта</t>
        </is>
      </c>
      <c r="D14" s="153" t="n">
        <v>6</v>
      </c>
    </row>
    <row r="15" ht="328.15" customHeight="1" s="128">
      <c r="B15" s="173" t="n">
        <v>5</v>
      </c>
      <c r="C15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153" t="inlineStr">
        <is>
          <t>Шкаф управления разъединителем 1 шкаф на 3 полюса (главный нож или ЗН) - 52шт,
Дифференциально-фазная защита ЛЭП  330 – 750 кВ с комплектом ступенчатых защит и обменом разрешающими сигналами типа ШЭТ 320.01-0 - 8шт,
Шкаф организации ЦН двух ТН с резервированием от одного источника типа ШЭТ ЦН.1 - 6шт,
Автоматика управления выключателем 330 – 750 кВ, УРОВ типа ШЭТ 351.01-0 - 6шт,
Дифференциальная защита сборных шин  330 – 750 кВ типа ШЭТ 340.01-0  - 4шт,
Комплект ступенчатых защит ЛЭП  330 – 750 кВ с обменом разрешающими сигналами типа ШЭТ 320.03-0 - 4шт,
Шкаф ТН с тремя вторичными обмотками типа ШЭТ ТН.2 - 12шт,
Шкаф ОМП волнового типа с одним устройством - 4шт,
Шкаф ШЗВ-200 зажимов - 6шт,
Шкаф ТТ наружной установки с цепями АИИС КУЭ типа ШЭТ ТТ.2 - 10шт</t>
        </is>
      </c>
    </row>
    <row r="16" ht="78.75" customHeight="1" s="128">
      <c r="B16" s="173" t="n">
        <v>6</v>
      </c>
      <c r="C16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55">
        <f>SUM(D17:D20)</f>
        <v/>
      </c>
    </row>
    <row r="17" ht="15.75" customHeight="1" s="128">
      <c r="B17" s="100" t="inlineStr">
        <is>
          <t>6.1</t>
        </is>
      </c>
      <c r="C17" s="145" t="inlineStr">
        <is>
          <t>строительно-монтажные работы</t>
        </is>
      </c>
      <c r="D17" s="155">
        <f>'Прил.2 Расч стоим'!G13</f>
        <v/>
      </c>
    </row>
    <row r="18" ht="15.75" customHeight="1" s="128">
      <c r="B18" s="100" t="inlineStr">
        <is>
          <t>6.2</t>
        </is>
      </c>
      <c r="C18" s="145" t="inlineStr">
        <is>
          <t>оборудование и инвентарь</t>
        </is>
      </c>
      <c r="D18" s="155">
        <f>'Прил.2 Расч стоим'!H13</f>
        <v/>
      </c>
    </row>
    <row r="19" ht="15.75" customHeight="1" s="128">
      <c r="B19" s="100" t="inlineStr">
        <is>
          <t>6.3</t>
        </is>
      </c>
      <c r="C19" s="145" t="inlineStr">
        <is>
          <t>пусконаладочные работы</t>
        </is>
      </c>
      <c r="D19" s="155" t="n"/>
    </row>
    <row r="20" ht="15.75" customHeight="1" s="128">
      <c r="B20" s="100" t="inlineStr">
        <is>
          <t>6.4</t>
        </is>
      </c>
      <c r="C20" s="145" t="inlineStr">
        <is>
          <t>прочие и лимитированные затраты</t>
        </is>
      </c>
      <c r="D20" s="155">
        <f>'Прил.2 Расч стоим'!I13</f>
        <v/>
      </c>
    </row>
    <row r="21" ht="15.75" customHeight="1" s="128">
      <c r="B21" s="173" t="n">
        <v>7</v>
      </c>
      <c r="C21" s="145" t="inlineStr">
        <is>
          <t>Сопоставимый уровень цен</t>
        </is>
      </c>
      <c r="D21" s="156" t="inlineStr">
        <is>
          <t>2 кв. 2017г</t>
        </is>
      </c>
      <c r="G21" s="106" t="n"/>
    </row>
    <row r="22" ht="110.25" customHeight="1" s="128">
      <c r="B22" s="173" t="n">
        <v>8</v>
      </c>
      <c r="C22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55">
        <f>D16</f>
        <v/>
      </c>
    </row>
    <row r="23" ht="47.25" customHeight="1" s="128">
      <c r="B23" s="173" t="n">
        <v>9</v>
      </c>
      <c r="C23" s="38" t="inlineStr">
        <is>
          <t>Приведенная сметная стоимость на единицу мощности, тыс. руб. (строка 8/строку 4)</t>
        </is>
      </c>
      <c r="D23" s="155">
        <f>D22/D14</f>
        <v/>
      </c>
      <c r="G23" s="106" t="n"/>
    </row>
    <row r="24" hidden="1" ht="110.25" customHeight="1" s="128">
      <c r="B24" s="173" t="n">
        <v>10</v>
      </c>
      <c r="C24" s="145" t="inlineStr">
        <is>
          <t>Примечание</t>
        </is>
      </c>
      <c r="D24" s="14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128">
      <c r="B25" s="101" t="n"/>
      <c r="C25" s="102" t="n"/>
      <c r="D25" s="102" t="n"/>
    </row>
    <row r="26">
      <c r="B26" s="114" t="inlineStr">
        <is>
          <t>Составил ______________________        Е.А. Князева</t>
        </is>
      </c>
      <c r="C26" s="151" t="n"/>
    </row>
    <row r="27">
      <c r="B27" s="152" t="inlineStr">
        <is>
          <t xml:space="preserve">                         (подпись, инициалы, фамилия)</t>
        </is>
      </c>
      <c r="C27" s="151" t="n"/>
    </row>
    <row r="28">
      <c r="B28" s="150" t="n"/>
      <c r="C28" s="151" t="n"/>
    </row>
    <row r="29">
      <c r="B29" s="150" t="inlineStr">
        <is>
          <t>Проверил ______________________        А.В. Костянецкая</t>
        </is>
      </c>
      <c r="C29" s="151" t="n"/>
    </row>
    <row r="30">
      <c r="B30" s="152" t="inlineStr">
        <is>
          <t xml:space="preserve">                        (подпись, инициалы, фамилия)</t>
        </is>
      </c>
      <c r="C30" s="151" t="n"/>
    </row>
    <row r="31" ht="15.75" customHeight="1" s="128">
      <c r="B31" s="102" t="n"/>
      <c r="C31" s="102" t="n"/>
      <c r="D31" s="102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6"/>
  <sheetViews>
    <sheetView view="pageBreakPreview" topLeftCell="A7" zoomScale="60" zoomScaleNormal="100" workbookViewId="0">
      <selection activeCell="E17" sqref="E17"/>
    </sheetView>
  </sheetViews>
  <sheetFormatPr baseColWidth="8" defaultRowHeight="15"/>
  <cols>
    <col width="5.5703125" customWidth="1" style="128" min="1" max="1"/>
    <col width="35.28515625" customWidth="1" style="128" min="3" max="3"/>
    <col width="13.85546875" customWidth="1" style="128" min="4" max="4"/>
    <col width="17.42578125" customWidth="1" style="128" min="5" max="5"/>
    <col width="12.7109375" customWidth="1" style="128" min="6" max="6"/>
    <col width="14.85546875" customWidth="1" style="128" min="7" max="7"/>
    <col width="16.7109375" customWidth="1" style="128" min="8" max="8"/>
    <col width="13" customWidth="1" style="128" min="9" max="10"/>
    <col width="18" customWidth="1" style="128" min="11" max="11"/>
  </cols>
  <sheetData>
    <row r="3" ht="15.75" customHeight="1" s="128">
      <c r="C3" s="101" t="n"/>
      <c r="D3" s="101" t="n"/>
      <c r="E3" s="101" t="n"/>
      <c r="F3" s="101" t="n"/>
      <c r="G3" s="101" t="n"/>
      <c r="H3" s="101" t="n"/>
      <c r="I3" s="101" t="n"/>
      <c r="J3" s="160" t="inlineStr">
        <is>
          <t>Приложение № 2</t>
        </is>
      </c>
      <c r="K3" s="101" t="n"/>
    </row>
    <row r="4" ht="15.75" customHeight="1" s="128">
      <c r="B4" s="165" t="inlineStr">
        <is>
          <t>Расчет стоимости основных видов работ для выбора объекта-представителя</t>
        </is>
      </c>
    </row>
    <row r="5" ht="15.75" customHeight="1" s="128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39.75" customHeight="1" s="128">
      <c r="B6" s="163">
        <f>'Прил.1 Сравнит табл'!B6</f>
        <v/>
      </c>
      <c r="D6" s="166">
        <f>'Прил.1 Сравнит табл'!D6</f>
        <v/>
      </c>
      <c r="K6" s="101" t="n"/>
    </row>
    <row r="7" ht="15.75" customHeight="1" s="128">
      <c r="B7" s="101">
        <f>'Прил.1 Сравнит табл'!B8</f>
        <v/>
      </c>
      <c r="C7" s="101" t="n"/>
      <c r="D7" s="101" t="n"/>
      <c r="E7" s="101" t="n"/>
      <c r="F7" s="101" t="n"/>
      <c r="G7" s="101" t="n"/>
      <c r="H7" s="101" t="n"/>
      <c r="I7" s="101" t="n"/>
      <c r="J7" s="101" t="n"/>
      <c r="K7" s="101" t="n"/>
    </row>
    <row r="8" ht="18.75" customHeight="1" s="128">
      <c r="B8" s="36" t="n"/>
    </row>
    <row r="9" ht="15.75" customHeight="1" s="128">
      <c r="B9" s="173" t="inlineStr">
        <is>
          <t>№ п/п</t>
        </is>
      </c>
      <c r="C9" s="1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3" t="inlineStr">
        <is>
          <t>Объект-представитель 1</t>
        </is>
      </c>
      <c r="E9" s="209" t="n"/>
      <c r="F9" s="209" t="n"/>
      <c r="G9" s="209" t="n"/>
      <c r="H9" s="209" t="n"/>
      <c r="I9" s="209" t="n"/>
      <c r="J9" s="210" t="n"/>
    </row>
    <row r="10" ht="15.75" customHeight="1" s="128">
      <c r="B10" s="211" t="n"/>
      <c r="C10" s="211" t="n"/>
      <c r="D10" s="173" t="inlineStr">
        <is>
          <t>Номер сметы</t>
        </is>
      </c>
      <c r="E10" s="173" t="inlineStr">
        <is>
          <t>Наименование сметы</t>
        </is>
      </c>
      <c r="F10" s="173" t="inlineStr">
        <is>
          <t>Сметная стоимость в уровне цен 2 кв. 2017 г., тыс. руб.</t>
        </is>
      </c>
      <c r="G10" s="209" t="n"/>
      <c r="H10" s="209" t="n"/>
      <c r="I10" s="209" t="n"/>
      <c r="J10" s="210" t="n"/>
    </row>
    <row r="11" ht="31.7" customHeight="1" s="128">
      <c r="B11" s="212" t="n"/>
      <c r="C11" s="212" t="n"/>
      <c r="D11" s="212" t="n"/>
      <c r="E11" s="212" t="n"/>
      <c r="F11" s="173" t="inlineStr">
        <is>
          <t>Строительные работы</t>
        </is>
      </c>
      <c r="G11" s="173" t="inlineStr">
        <is>
          <t>Монтажные работы</t>
        </is>
      </c>
      <c r="H11" s="173" t="inlineStr">
        <is>
          <t>Оборудование</t>
        </is>
      </c>
      <c r="I11" s="173" t="inlineStr">
        <is>
          <t>Прочее</t>
        </is>
      </c>
      <c r="J11" s="173" t="inlineStr">
        <is>
          <t>Всего</t>
        </is>
      </c>
    </row>
    <row r="12" ht="326.1" customHeight="1" s="128">
      <c r="B12" s="143" t="n">
        <v>1</v>
      </c>
      <c r="C12" s="157">
        <f>'Прил.1 Сравнит табл'!D15</f>
        <v/>
      </c>
      <c r="D12" s="144" t="inlineStr">
        <is>
          <t xml:space="preserve"> 02-05-01</t>
        </is>
      </c>
      <c r="E12" s="145" t="inlineStr">
        <is>
          <t>Приобретение и монтаж оборудования РЗ и А</t>
        </is>
      </c>
      <c r="F12" s="146" t="n"/>
      <c r="G12" s="146" t="n">
        <v>22497.804</v>
      </c>
      <c r="H12" s="146" t="n">
        <v>58297.541</v>
      </c>
      <c r="I12" s="146" t="n"/>
      <c r="J12" s="147">
        <f>SUM(F12:I12)</f>
        <v/>
      </c>
    </row>
    <row r="13" ht="15.75" customHeight="1" s="128">
      <c r="B13" s="164" t="inlineStr">
        <is>
          <t>Всего по объекту:</t>
        </is>
      </c>
      <c r="C13" s="209" t="n"/>
      <c r="D13" s="209" t="n"/>
      <c r="E13" s="210" t="n"/>
      <c r="F13" s="149">
        <f>SUM(F12:F12)</f>
        <v/>
      </c>
      <c r="G13" s="149">
        <f>SUM(G12:G12)</f>
        <v/>
      </c>
      <c r="H13" s="149">
        <f>SUM(H12:H12)</f>
        <v/>
      </c>
      <c r="I13" s="149">
        <f>(F13+G13)*3.9%*0.8+((F13+G13)*3.9%*0.8+F13+G13)*2.1%</f>
        <v/>
      </c>
      <c r="J13" s="149">
        <f>SUM(F13:I13)</f>
        <v/>
      </c>
    </row>
    <row r="14" ht="15.75" customHeight="1" s="128">
      <c r="B14" s="164" t="inlineStr">
        <is>
          <t>Всего по объекту в сопоставимом уровне цен 2 кв. 2017г:</t>
        </is>
      </c>
      <c r="C14" s="209" t="n"/>
      <c r="D14" s="209" t="n"/>
      <c r="E14" s="210" t="n"/>
      <c r="F14" s="149">
        <f>F13</f>
        <v/>
      </c>
      <c r="G14" s="149">
        <f>G13</f>
        <v/>
      </c>
      <c r="H14" s="149">
        <f>H13</f>
        <v/>
      </c>
      <c r="I14" s="149">
        <f>(F14+G14)*3.9%*0.8+((F14+G14)*3.9%*0.8+F14+G14)*2.1%</f>
        <v/>
      </c>
      <c r="J14" s="149">
        <f>SUM(F14:I14)</f>
        <v/>
      </c>
    </row>
    <row r="15" ht="15.75" customHeight="1" s="128"/>
    <row r="16"/>
    <row r="17"/>
    <row r="18">
      <c r="B18" s="150" t="inlineStr">
        <is>
          <t>Составил ______________________        Е.А. Князева</t>
        </is>
      </c>
      <c r="C18" s="151" t="n"/>
      <c r="H18" s="158" t="n"/>
    </row>
    <row r="19">
      <c r="B19" s="152" t="inlineStr">
        <is>
          <t xml:space="preserve">                         (подпись, инициалы, фамилия)</t>
        </is>
      </c>
      <c r="C19" s="151" t="n"/>
    </row>
    <row r="20">
      <c r="B20" s="150" t="n"/>
      <c r="C20" s="151" t="n"/>
    </row>
    <row r="21">
      <c r="B21" s="150" t="inlineStr">
        <is>
          <t>Проверил ______________________        А.В. Костянецкая</t>
        </is>
      </c>
      <c r="C21" s="151" t="n"/>
    </row>
    <row r="22">
      <c r="B22" s="152" t="inlineStr">
        <is>
          <t xml:space="preserve">                        (подпись, инициалы, фамилия)</t>
        </is>
      </c>
      <c r="C22" s="151" t="n"/>
    </row>
    <row r="23"/>
    <row r="24"/>
    <row r="25"/>
    <row r="26"/>
  </sheetData>
  <mergeCells count="11">
    <mergeCell ref="B6:C6"/>
    <mergeCell ref="D10:D11"/>
    <mergeCell ref="B4:K4"/>
    <mergeCell ref="D9:J9"/>
    <mergeCell ref="B13:E13"/>
    <mergeCell ref="F10:J10"/>
    <mergeCell ref="D6:J6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87"/>
  <sheetViews>
    <sheetView view="pageBreakPreview" topLeftCell="A84" zoomScale="85" workbookViewId="0">
      <selection activeCell="D85" sqref="D85"/>
    </sheetView>
  </sheetViews>
  <sheetFormatPr baseColWidth="8" defaultRowHeight="15"/>
  <cols>
    <col width="12.5703125" customWidth="1" style="128" min="2" max="2"/>
    <col width="17" customWidth="1" style="128" min="3" max="3"/>
    <col width="49.7109375" customWidth="1" style="128" min="4" max="4"/>
    <col width="16.28515625" customWidth="1" style="128" min="5" max="5"/>
    <col width="20.7109375" customWidth="1" style="128" min="6" max="6"/>
    <col width="16.140625" customWidth="1" style="128" min="7" max="7"/>
    <col width="16.7109375" customWidth="1" style="128" min="8" max="8"/>
    <col width="4.5703125" customWidth="1" style="128" min="9" max="9"/>
    <col width="5.140625" customWidth="1" style="128" min="10" max="10"/>
    <col width="12.42578125" customWidth="1" style="106" min="11" max="11"/>
  </cols>
  <sheetData>
    <row r="1" ht="15.75" customHeight="1" s="128">
      <c r="A1" s="160" t="inlineStr">
        <is>
          <t xml:space="preserve">Приложение № 3 </t>
        </is>
      </c>
    </row>
    <row r="2" ht="18.75" customHeight="1" s="128">
      <c r="A2" s="161" t="inlineStr">
        <is>
          <t>Объектная ресурсная ведомость</t>
        </is>
      </c>
    </row>
    <row r="3">
      <c r="B3" s="104" t="n"/>
    </row>
    <row r="4" ht="18.75" customHeight="1" s="128">
      <c r="A4" s="161" t="n"/>
      <c r="B4" s="161" t="n"/>
      <c r="C4" s="177" t="n"/>
    </row>
    <row r="5" ht="18.75" customHeight="1" s="128">
      <c r="A5" s="36" t="n"/>
    </row>
    <row r="6" ht="32.25" customHeight="1" s="128">
      <c r="A6" s="163" t="inlineStr">
        <is>
          <t>Наименование разрабатываемого 
показателя УНЦ</t>
        </is>
      </c>
      <c r="D6" s="166">
        <f>'Прил.1 Сравнит табл'!D6</f>
        <v/>
      </c>
    </row>
    <row r="7" hidden="1" ht="42" customHeight="1" s="128">
      <c r="A7" s="163" t="n"/>
      <c r="B7" s="163" t="n"/>
      <c r="C7" s="163" t="n"/>
      <c r="D7" s="101" t="n"/>
      <c r="E7" s="179" t="n"/>
      <c r="F7" s="179" t="n"/>
      <c r="G7" s="179" t="n"/>
      <c r="H7" s="179" t="n"/>
    </row>
    <row r="8" ht="15.75" customHeight="1" s="128">
      <c r="A8" s="166" t="n"/>
      <c r="B8" s="166" t="n"/>
      <c r="C8" s="166" t="n"/>
      <c r="D8" s="166" t="n"/>
      <c r="E8" s="166" t="n"/>
      <c r="F8" s="166" t="n"/>
      <c r="G8" s="166" t="n"/>
      <c r="H8" s="76" t="n"/>
    </row>
    <row r="9" ht="38.25" customHeight="1" s="128">
      <c r="A9" s="173" t="inlineStr">
        <is>
          <t>п/п</t>
        </is>
      </c>
      <c r="B9" s="173" t="inlineStr">
        <is>
          <t>№ЛСР</t>
        </is>
      </c>
      <c r="C9" s="173" t="inlineStr">
        <is>
          <t>Код ресурса</t>
        </is>
      </c>
      <c r="D9" s="173" t="inlineStr">
        <is>
          <t>Наименование ресурса</t>
        </is>
      </c>
      <c r="E9" s="173" t="inlineStr">
        <is>
          <t>Ед. изм.</t>
        </is>
      </c>
      <c r="F9" s="173" t="inlineStr">
        <is>
          <t>Кол-во единиц по данным объекта-представителя</t>
        </is>
      </c>
      <c r="G9" s="173" t="inlineStr">
        <is>
          <t>Сметная стоимость в ценах на 01.01.2000 (руб.)</t>
        </is>
      </c>
      <c r="H9" s="210" t="n"/>
    </row>
    <row r="10" ht="40.7" customHeight="1" s="128">
      <c r="A10" s="212" t="n"/>
      <c r="B10" s="212" t="n"/>
      <c r="C10" s="212" t="n"/>
      <c r="D10" s="212" t="n"/>
      <c r="E10" s="212" t="n"/>
      <c r="F10" s="212" t="n"/>
      <c r="G10" s="173" t="inlineStr">
        <is>
          <t>на ед.изм.</t>
        </is>
      </c>
      <c r="H10" s="173" t="inlineStr">
        <is>
          <t>общая</t>
        </is>
      </c>
    </row>
    <row r="11" ht="15.75" customHeight="1" s="128">
      <c r="A11" s="173" t="n">
        <v>1</v>
      </c>
      <c r="B11" s="50" t="n"/>
      <c r="C11" s="173" t="n">
        <v>2</v>
      </c>
      <c r="D11" s="173" t="inlineStr">
        <is>
          <t>З</t>
        </is>
      </c>
      <c r="E11" s="173" t="n">
        <v>4</v>
      </c>
      <c r="F11" s="173" t="n">
        <v>5</v>
      </c>
      <c r="G11" s="50" t="n">
        <v>6</v>
      </c>
      <c r="H11" s="50" t="n">
        <v>7</v>
      </c>
    </row>
    <row r="12" ht="15" customHeight="1" s="128">
      <c r="A12" s="175" t="inlineStr">
        <is>
          <t>Затраты труда рабочих</t>
        </is>
      </c>
      <c r="B12" s="209" t="n"/>
      <c r="C12" s="209" t="n"/>
      <c r="D12" s="209" t="n"/>
      <c r="E12" s="209" t="n"/>
      <c r="F12" s="123">
        <f>SUM(F13:F16)</f>
        <v/>
      </c>
      <c r="G12" s="52" t="n"/>
      <c r="H12" s="51">
        <f>SUM(H13:H16)</f>
        <v/>
      </c>
      <c r="J12" s="80" t="n"/>
    </row>
    <row r="13">
      <c r="A13" s="43" t="n">
        <v>1</v>
      </c>
      <c r="B13" s="77" t="n"/>
      <c r="C13" s="43" t="inlineStr">
        <is>
          <t>1-3-8</t>
        </is>
      </c>
      <c r="D13" s="141" t="inlineStr">
        <is>
          <t>Затраты труда рабочих (средний разряд работы 3,8)</t>
        </is>
      </c>
      <c r="E13" s="121" t="inlineStr">
        <is>
          <t>чел.-ч</t>
        </is>
      </c>
      <c r="F13" s="125" t="n">
        <v>5120.34</v>
      </c>
      <c r="G13" s="122" t="n">
        <v>9.4</v>
      </c>
      <c r="H13" s="46">
        <f>ROUND(F13*G13,2)</f>
        <v/>
      </c>
    </row>
    <row r="14">
      <c r="A14" s="47" t="n">
        <v>2</v>
      </c>
      <c r="B14" s="77" t="n"/>
      <c r="C14" s="43" t="inlineStr">
        <is>
          <t>1-4-0</t>
        </is>
      </c>
      <c r="D14" s="141" t="inlineStr">
        <is>
          <t>Затраты труда рабочих (средний разряд работы 4,0)</t>
        </is>
      </c>
      <c r="E14" s="121" t="inlineStr">
        <is>
          <t>чел.-ч</t>
        </is>
      </c>
      <c r="F14" s="125" t="n">
        <v>2122.035</v>
      </c>
      <c r="G14" s="122" t="n">
        <v>9.619999999999999</v>
      </c>
      <c r="H14" s="46">
        <f>ROUND(F14*G14,2)</f>
        <v/>
      </c>
    </row>
    <row r="15">
      <c r="A15" s="47" t="n">
        <v>3</v>
      </c>
      <c r="B15" s="77" t="n"/>
      <c r="C15" s="43" t="inlineStr">
        <is>
          <t>1-4-2</t>
        </is>
      </c>
      <c r="D15" s="141" t="inlineStr">
        <is>
          <t>Затраты труда рабочих (средний разряд работы 4,2)</t>
        </is>
      </c>
      <c r="E15" s="121" t="inlineStr">
        <is>
          <t>чел.-ч</t>
        </is>
      </c>
      <c r="F15" s="125" t="n">
        <v>621.285</v>
      </c>
      <c r="G15" s="122" t="n">
        <v>9.92</v>
      </c>
      <c r="H15" s="46">
        <f>ROUND(F15*G15,2)</f>
        <v/>
      </c>
    </row>
    <row r="16">
      <c r="A16" s="47" t="n">
        <v>4</v>
      </c>
      <c r="B16" s="77" t="n"/>
      <c r="C16" s="43" t="inlineStr">
        <is>
          <t>1-4-1</t>
        </is>
      </c>
      <c r="D16" s="141" t="inlineStr">
        <is>
          <t>Затраты труда рабочих (средний разряд работы 4,1)</t>
        </is>
      </c>
      <c r="E16" s="121" t="inlineStr">
        <is>
          <t>чел.-ч</t>
        </is>
      </c>
      <c r="F16" s="125" t="n">
        <v>8.76</v>
      </c>
      <c r="G16" s="122" t="n">
        <v>9.76</v>
      </c>
      <c r="H16" s="46">
        <f>ROUND(F16*G16,2)</f>
        <v/>
      </c>
    </row>
    <row r="17" ht="15" customHeight="1" s="128">
      <c r="A17" s="174" t="inlineStr">
        <is>
          <t>Затраты труда машинистов</t>
        </is>
      </c>
      <c r="B17" s="209" t="n"/>
      <c r="C17" s="209" t="n"/>
      <c r="D17" s="209" t="n"/>
      <c r="E17" s="210" t="n"/>
      <c r="F17" s="124" t="n"/>
      <c r="G17" s="52" t="n"/>
      <c r="H17" s="51">
        <f>H18</f>
        <v/>
      </c>
    </row>
    <row r="18">
      <c r="A18" s="47" t="n">
        <v>5</v>
      </c>
      <c r="B18" s="77" t="n"/>
      <c r="C18" s="43" t="n">
        <v>2</v>
      </c>
      <c r="D18" s="141" t="inlineStr">
        <is>
          <t>Затраты труда машинистов</t>
        </is>
      </c>
      <c r="E18" s="201" t="inlineStr">
        <is>
          <t>чел.-ч</t>
        </is>
      </c>
      <c r="F18" s="201">
        <f>'Прил.5 Расчет СМР и ОБ'!E16</f>
        <v/>
      </c>
      <c r="G18" s="46" t="n"/>
      <c r="H18" s="41">
        <f>'Прил.5 Расчет СМР и ОБ'!G16</f>
        <v/>
      </c>
    </row>
    <row r="19" ht="15" customHeight="1" s="128">
      <c r="A19" s="174" t="inlineStr">
        <is>
          <t>Машины и механизмы</t>
        </is>
      </c>
      <c r="B19" s="209" t="n"/>
      <c r="C19" s="209" t="n"/>
      <c r="D19" s="209" t="n"/>
      <c r="E19" s="210" t="n"/>
      <c r="F19" s="52" t="n"/>
      <c r="G19" s="52" t="n"/>
      <c r="H19" s="51">
        <f>SUM(H20:H27)</f>
        <v/>
      </c>
    </row>
    <row r="20">
      <c r="A20" s="43" t="n">
        <v>6</v>
      </c>
      <c r="B20" s="77" t="n"/>
      <c r="C20" s="63" t="inlineStr">
        <is>
          <t>91.06.06-042</t>
        </is>
      </c>
      <c r="D20" s="141" t="inlineStr">
        <is>
          <t>Подъемники гидравлические, высота подъема 10 м</t>
        </is>
      </c>
      <c r="E20" s="201" t="inlineStr">
        <is>
          <t>маш.-ч</t>
        </is>
      </c>
      <c r="F20" s="201" t="n">
        <v>906.79</v>
      </c>
      <c r="G20" s="48" t="n">
        <v>29.6</v>
      </c>
      <c r="H20" s="46">
        <f>ROUND(F20*G20,2)</f>
        <v/>
      </c>
    </row>
    <row r="21" ht="25.5" customHeight="1" s="128">
      <c r="A21" s="43" t="n">
        <v>7</v>
      </c>
      <c r="B21" s="77" t="n"/>
      <c r="C21" s="63" t="inlineStr">
        <is>
          <t>91.05.05-014</t>
        </is>
      </c>
      <c r="D21" s="141" t="inlineStr">
        <is>
          <t>Краны на автомобильном ходу, грузоподъемность 10 т</t>
        </is>
      </c>
      <c r="E21" s="201" t="inlineStr">
        <is>
          <t>маш.-ч</t>
        </is>
      </c>
      <c r="F21" s="49" t="n">
        <v>86.94</v>
      </c>
      <c r="G21" s="48" t="n">
        <v>111.99</v>
      </c>
      <c r="H21" s="46">
        <f>ROUND(F21*G21,2)</f>
        <v/>
      </c>
    </row>
    <row r="22" ht="25.5" customHeight="1" s="128">
      <c r="A22" s="43" t="n">
        <v>8</v>
      </c>
      <c r="B22" s="77" t="n"/>
      <c r="C22" s="63" t="inlineStr">
        <is>
          <t>91.17.04-233</t>
        </is>
      </c>
      <c r="D22" s="141" t="inlineStr">
        <is>
          <t>Установки для сварки ручной дуговой (постоянного тока)</t>
        </is>
      </c>
      <c r="E22" s="201" t="inlineStr">
        <is>
          <t>маш.-ч</t>
        </is>
      </c>
      <c r="F22" s="201" t="n">
        <v>734.6799999999999</v>
      </c>
      <c r="G22" s="48" t="n">
        <v>8.1</v>
      </c>
      <c r="H22" s="46">
        <f>ROUND(F22*G22,2)</f>
        <v/>
      </c>
    </row>
    <row r="23">
      <c r="A23" s="43" t="n">
        <v>9</v>
      </c>
      <c r="B23" s="77" t="n"/>
      <c r="C23" s="63" t="inlineStr">
        <is>
          <t>91.14.02-001</t>
        </is>
      </c>
      <c r="D23" s="141" t="inlineStr">
        <is>
          <t>Автомобили бортовые, грузоподъемность до 5 т</t>
        </is>
      </c>
      <c r="E23" s="201" t="inlineStr">
        <is>
          <t>маш.-ч</t>
        </is>
      </c>
      <c r="F23" s="201" t="n">
        <v>86.94</v>
      </c>
      <c r="G23" s="48" t="n">
        <v>65.70999999999999</v>
      </c>
      <c r="H23" s="46">
        <f>ROUND(F23*G23,2)</f>
        <v/>
      </c>
    </row>
    <row r="24" ht="25.5" customHeight="1" s="128">
      <c r="A24" s="43" t="n">
        <v>10</v>
      </c>
      <c r="B24" s="77" t="n"/>
      <c r="C24" s="63" t="inlineStr">
        <is>
          <t>91.05.04-010</t>
        </is>
      </c>
      <c r="D24" s="141" t="inlineStr">
        <is>
          <t>Краны мостовые электрические, грузоподъемность 50 т</t>
        </is>
      </c>
      <c r="E24" s="201" t="inlineStr">
        <is>
          <t>маш.-ч</t>
        </is>
      </c>
      <c r="F24" s="201" t="n">
        <v>11.52</v>
      </c>
      <c r="G24" s="48" t="n">
        <v>197.01</v>
      </c>
      <c r="H24" s="46">
        <f>ROUND(F24*G24,2)</f>
        <v/>
      </c>
    </row>
    <row r="25" ht="25.5" customHeight="1" s="128">
      <c r="A25" s="43" t="n">
        <v>11</v>
      </c>
      <c r="B25" s="77" t="n"/>
      <c r="C25" s="63" t="inlineStr">
        <is>
          <t>91.17.04-161</t>
        </is>
      </c>
      <c r="D25" s="141" t="inlineStr">
        <is>
          <t>Полуавтоматы сварочные номинальным сварочным током 40-500 А</t>
        </is>
      </c>
      <c r="E25" s="201" t="inlineStr">
        <is>
          <t>маш.-ч</t>
        </is>
      </c>
      <c r="F25" s="201" t="n">
        <v>3.65</v>
      </c>
      <c r="G25" s="48" t="n">
        <v>16.44</v>
      </c>
      <c r="H25" s="46">
        <f>ROUND(F25*G25,2)</f>
        <v/>
      </c>
    </row>
    <row r="26" ht="25.5" customHeight="1" s="128">
      <c r="A26" s="43" t="n">
        <v>12</v>
      </c>
      <c r="B26" s="77" t="n"/>
      <c r="C26" s="63" t="inlineStr">
        <is>
          <t>91.06.03-061</t>
        </is>
      </c>
      <c r="D26" s="141" t="inlineStr">
        <is>
          <t>Лебедки электрические тяговым усилием: до 12,26 кН (1,25 т)</t>
        </is>
      </c>
      <c r="E26" s="201" t="inlineStr">
        <is>
          <t>маш.-ч</t>
        </is>
      </c>
      <c r="F26" s="201" t="n">
        <v>0.02</v>
      </c>
      <c r="G26" s="48" t="n">
        <v>3.28</v>
      </c>
      <c r="H26" s="46">
        <f>ROUND(F26*G26,2)</f>
        <v/>
      </c>
    </row>
    <row r="27">
      <c r="A27" s="43" t="n">
        <v>13</v>
      </c>
      <c r="B27" s="77" t="n"/>
      <c r="C27" s="63" t="inlineStr">
        <is>
          <t>91.06.01-003</t>
        </is>
      </c>
      <c r="D27" s="141" t="inlineStr">
        <is>
          <t>Домкраты гидравлические, грузоподъемность 63-100 т</t>
        </is>
      </c>
      <c r="E27" s="201" t="inlineStr">
        <is>
          <t>маш.-ч</t>
        </is>
      </c>
      <c r="F27" s="201" t="n">
        <v>0.02</v>
      </c>
      <c r="G27" s="48" t="n">
        <v>0.9</v>
      </c>
      <c r="H27" s="46">
        <f>ROUND(F27*G27,2)</f>
        <v/>
      </c>
    </row>
    <row r="28" ht="15" customHeight="1" s="128">
      <c r="A28" s="174" t="inlineStr">
        <is>
          <t>Оборудование</t>
        </is>
      </c>
      <c r="B28" s="209" t="n"/>
      <c r="C28" s="209" t="n"/>
      <c r="D28" s="209" t="n"/>
      <c r="E28" s="210" t="n"/>
      <c r="F28" s="52" t="n"/>
      <c r="G28" s="52" t="n"/>
      <c r="H28" s="51">
        <f>SUM(H29:H38)</f>
        <v/>
      </c>
    </row>
    <row r="29" ht="25.5" customHeight="1" s="128">
      <c r="A29" s="47" t="n">
        <v>14</v>
      </c>
      <c r="B29" s="174" t="n"/>
      <c r="C29" s="63" t="inlineStr">
        <is>
          <t>Прайс из СД ОП</t>
        </is>
      </c>
      <c r="D29" s="141" t="inlineStr">
        <is>
          <t>Шкаф управления разъединителем 1 шкаф на 3 полюса</t>
        </is>
      </c>
      <c r="E29" s="201" t="inlineStr">
        <is>
          <t>шт</t>
        </is>
      </c>
      <c r="F29" s="201" t="n">
        <v>52</v>
      </c>
      <c r="G29" s="46" t="n">
        <v>40892.971</v>
      </c>
      <c r="H29" s="46">
        <f>ROUND(F29*G29,2)</f>
        <v/>
      </c>
    </row>
    <row r="30" ht="51" customHeight="1" s="128">
      <c r="A30" s="47" t="n">
        <v>15</v>
      </c>
      <c r="B30" s="174" t="n"/>
      <c r="C30" s="63" t="inlineStr">
        <is>
          <t>Прайс из СД ОП</t>
        </is>
      </c>
      <c r="D30" s="141" t="inlineStr">
        <is>
          <t>Дифференциально-фазная защита ЛЭП  330 – 750 кВ с комплектом ступенчатых защит и обменом разрешающими сигналами типа ШЭТ 320.01-0</t>
        </is>
      </c>
      <c r="E30" s="201" t="inlineStr">
        <is>
          <t>шт</t>
        </is>
      </c>
      <c r="F30" s="201" t="n">
        <v>8</v>
      </c>
      <c r="G30" s="46" t="n">
        <v>215424.174</v>
      </c>
      <c r="H30" s="46">
        <f>ROUND(F30*G30,2)</f>
        <v/>
      </c>
    </row>
    <row r="31" ht="25.5" customHeight="1" s="128">
      <c r="A31" s="47" t="n">
        <v>16</v>
      </c>
      <c r="B31" s="174" t="n"/>
      <c r="C31" s="63" t="inlineStr">
        <is>
          <t>Прайс из СД ОП</t>
        </is>
      </c>
      <c r="D31" s="141" t="inlineStr">
        <is>
          <t>Шкаф организации ЦН двух ТН с резервированием от одного источника типа ШЭТ ЦН.1</t>
        </is>
      </c>
      <c r="E31" s="201" t="inlineStr">
        <is>
          <t>шт</t>
        </is>
      </c>
      <c r="F31" s="201" t="n">
        <v>6</v>
      </c>
      <c r="G31" s="46" t="n">
        <v>247320.689</v>
      </c>
      <c r="H31" s="46">
        <f>ROUND(F31*G31,2)</f>
        <v/>
      </c>
    </row>
    <row r="32" ht="38.25" customHeight="1" s="128">
      <c r="A32" s="47" t="n">
        <v>17</v>
      </c>
      <c r="B32" s="174" t="n"/>
      <c r="C32" s="63" t="inlineStr">
        <is>
          <t>Прайс из СД ОП</t>
        </is>
      </c>
      <c r="D32" s="141" t="inlineStr">
        <is>
          <t>Автоматика управления выключателем 330 – 750 кВ, УРОВ типа ШЭТ 351.01-0</t>
        </is>
      </c>
      <c r="E32" s="201" t="inlineStr">
        <is>
          <t>шт</t>
        </is>
      </c>
      <c r="F32" s="201" t="n">
        <v>6</v>
      </c>
      <c r="G32" s="46" t="n">
        <v>197472.156</v>
      </c>
      <c r="H32" s="46">
        <f>ROUND(F32*G32,2)</f>
        <v/>
      </c>
    </row>
    <row r="33" ht="25.5" customHeight="1" s="128">
      <c r="A33" s="47" t="n">
        <v>18</v>
      </c>
      <c r="B33" s="174" t="n"/>
      <c r="C33" s="63" t="inlineStr">
        <is>
          <t>Прайс из СД ОП</t>
        </is>
      </c>
      <c r="D33" s="141" t="inlineStr">
        <is>
          <t xml:space="preserve">Дифференциальная защита сборных шин  330 – 750 кВ типа ШЭТ 340.01-0 </t>
        </is>
      </c>
      <c r="E33" s="201" t="inlineStr">
        <is>
          <t>шт</t>
        </is>
      </c>
      <c r="F33" s="201" t="n">
        <v>4</v>
      </c>
      <c r="G33" s="46" t="n">
        <v>265640.739</v>
      </c>
      <c r="H33" s="46">
        <f>ROUND(F33*G33,2)</f>
        <v/>
      </c>
    </row>
    <row r="34" ht="25.5" customHeight="1" s="128">
      <c r="A34" s="47" t="n">
        <v>19</v>
      </c>
      <c r="B34" s="174" t="n"/>
      <c r="C34" s="63" t="inlineStr">
        <is>
          <t>Прайс из СД ОП</t>
        </is>
      </c>
      <c r="D34" s="141" t="inlineStr">
        <is>
          <t>Комплект ступенчатых защит ЛЭП  330 – 750 кВ с обменом разрешающими сигналами типа ШЭТ 320.03-0</t>
        </is>
      </c>
      <c r="E34" s="201" t="inlineStr">
        <is>
          <t>шт</t>
        </is>
      </c>
      <c r="F34" s="201" t="n">
        <v>4</v>
      </c>
      <c r="G34" s="46" t="n">
        <v>197472.156</v>
      </c>
      <c r="H34" s="46">
        <f>ROUND(F34*G34,2)</f>
        <v/>
      </c>
    </row>
    <row r="35" ht="25.9" customHeight="1" s="128">
      <c r="A35" s="47" t="n">
        <v>20</v>
      </c>
      <c r="B35" s="174" t="n"/>
      <c r="C35" s="63" t="inlineStr">
        <is>
          <t>Прайс из СД ОП</t>
        </is>
      </c>
      <c r="D35" s="141" t="inlineStr">
        <is>
          <t>Шкаф ТН с тремя вторичными обмотками типа ШЭТ ТН.2</t>
        </is>
      </c>
      <c r="E35" s="201" t="inlineStr">
        <is>
          <t>шт</t>
        </is>
      </c>
      <c r="F35" s="201" t="n">
        <v>12</v>
      </c>
      <c r="G35" s="46" t="n">
        <v>40892.971</v>
      </c>
      <c r="H35" s="46">
        <f>ROUND(F35*G35,2)</f>
        <v/>
      </c>
    </row>
    <row r="36" ht="25.5" customHeight="1" s="128">
      <c r="A36" s="47" t="n">
        <v>21</v>
      </c>
      <c r="B36" s="174" t="n"/>
      <c r="C36" s="63" t="inlineStr">
        <is>
          <t>Прайс из СД ОП</t>
        </is>
      </c>
      <c r="D36" s="141" t="inlineStr">
        <is>
          <t>Шкаф ОМП волнового типа с одним устройством</t>
        </is>
      </c>
      <c r="E36" s="201" t="inlineStr">
        <is>
          <t>шт</t>
        </is>
      </c>
      <c r="F36" s="201" t="n">
        <v>4</v>
      </c>
      <c r="G36" s="46" t="n">
        <v>72124.598</v>
      </c>
      <c r="H36" s="46">
        <f>ROUND(F36*G36,2)</f>
        <v/>
      </c>
    </row>
    <row r="37" ht="38.25" customHeight="1" s="128">
      <c r="A37" s="47" t="n">
        <v>22</v>
      </c>
      <c r="B37" s="174" t="n"/>
      <c r="C37" s="63" t="inlineStr">
        <is>
          <t>Прайс из СД ОП</t>
        </is>
      </c>
      <c r="D37" s="141" t="inlineStr">
        <is>
          <t>Шкаф ШЗВ-200 зажимов</t>
        </is>
      </c>
      <c r="E37" s="201" t="inlineStr">
        <is>
          <t>шт</t>
        </is>
      </c>
      <c r="F37" s="201" t="n">
        <v>6</v>
      </c>
      <c r="G37" s="46" t="n">
        <v>36803.676</v>
      </c>
      <c r="H37" s="46">
        <f>ROUND(F37*G37,2)</f>
        <v/>
      </c>
    </row>
    <row r="38" ht="25.9" customHeight="1" s="128">
      <c r="A38" s="47" t="n">
        <v>23</v>
      </c>
      <c r="B38" s="174" t="n"/>
      <c r="C38" s="63" t="inlineStr">
        <is>
          <t>Прайс из СД ОП</t>
        </is>
      </c>
      <c r="D38" s="141" t="inlineStr">
        <is>
          <t>Шкаф ТТ наружной установки с цепями АИИС КУЭ типа ШЭТ ТТ.2</t>
        </is>
      </c>
      <c r="E38" s="201" t="inlineStr">
        <is>
          <t>шт</t>
        </is>
      </c>
      <c r="F38" s="201" t="n">
        <v>10</v>
      </c>
      <c r="G38" s="46" t="n">
        <v>16357.187</v>
      </c>
      <c r="H38" s="46">
        <f>ROUND(F38*G38,2)</f>
        <v/>
      </c>
    </row>
    <row r="39" ht="15" customHeight="1" s="128">
      <c r="A39" s="174" t="inlineStr">
        <is>
          <t>Материалы</t>
        </is>
      </c>
      <c r="B39" s="209" t="n"/>
      <c r="C39" s="209" t="n"/>
      <c r="D39" s="209" t="n"/>
      <c r="E39" s="210" t="n"/>
      <c r="F39" s="52" t="n"/>
      <c r="G39" s="52" t="n"/>
      <c r="H39" s="51">
        <f>SUM(H40:H80)</f>
        <v/>
      </c>
    </row>
    <row r="40" ht="38.25" customHeight="1" s="128">
      <c r="A40" s="47" t="n">
        <v>16</v>
      </c>
      <c r="B40" s="77" t="n"/>
      <c r="C40" s="43" t="inlineStr">
        <is>
          <t>20.2.04.04-0001</t>
        </is>
      </c>
      <c r="D40" s="141" t="inlineStr">
        <is>
          <t>Короб кабельный прямой из оцинкованный стали толщиной 1,5 мм, размер 2000х150х100 мм, 1-канальный</t>
        </is>
      </c>
      <c r="E40" s="201" t="inlineStr">
        <is>
          <t>шт</t>
        </is>
      </c>
      <c r="F40" s="201" t="n">
        <v>6480</v>
      </c>
      <c r="G40" s="46" t="n">
        <v>157.3</v>
      </c>
      <c r="H40" s="46">
        <f>ROUND(F40*G40,2)</f>
        <v/>
      </c>
    </row>
    <row r="41" ht="25.5" customHeight="1" s="128">
      <c r="A41" s="47" t="n">
        <v>17</v>
      </c>
      <c r="B41" s="77" t="n"/>
      <c r="C41" s="63" t="inlineStr">
        <is>
          <t>21.1.06.09-0166</t>
        </is>
      </c>
      <c r="D41" s="141" t="inlineStr">
        <is>
          <t>Кабель силовой с медными жилами ВВГнг(A)-LS 4х25-660</t>
        </is>
      </c>
      <c r="E41" s="201" t="inlineStr">
        <is>
          <t>1000 м</t>
        </is>
      </c>
      <c r="F41" s="201" t="n">
        <v>10.1232</v>
      </c>
      <c r="G41" s="46" t="n">
        <v>88071.37</v>
      </c>
      <c r="H41" s="46">
        <f>ROUND(F41*G41,2)</f>
        <v/>
      </c>
    </row>
    <row r="42" ht="25.5" customHeight="1" s="128">
      <c r="A42" s="47" t="n">
        <v>18</v>
      </c>
      <c r="B42" s="77" t="n"/>
      <c r="C42" s="63" t="inlineStr">
        <is>
          <t>07.2.07.04-0007</t>
        </is>
      </c>
      <c r="D42" s="141" t="inlineStr">
        <is>
          <t>Конструкции стальные индивидуальные решетчатые сварные, масса до 0,1 т</t>
        </is>
      </c>
      <c r="E42" s="201" t="inlineStr">
        <is>
          <t>т</t>
        </is>
      </c>
      <c r="F42" s="201" t="n">
        <v>55.44</v>
      </c>
      <c r="G42" s="46" t="n">
        <v>11500</v>
      </c>
      <c r="H42" s="46">
        <f>ROUND(F42*G42,2)</f>
        <v/>
      </c>
    </row>
    <row r="43">
      <c r="A43" s="47" t="n">
        <v>19</v>
      </c>
      <c r="B43" s="77" t="n"/>
      <c r="C43" s="63" t="inlineStr">
        <is>
          <t>21.1.08.03-0587</t>
        </is>
      </c>
      <c r="D43" s="141" t="inlineStr">
        <is>
          <t>Кабель контрольный КВВГЭнг(A)-LS 10х2,5</t>
        </is>
      </c>
      <c r="E43" s="201" t="inlineStr">
        <is>
          <t>1000 м</t>
        </is>
      </c>
      <c r="F43" s="201" t="n">
        <v>8.1</v>
      </c>
      <c r="G43" s="46" t="n">
        <v>67943.28999999999</v>
      </c>
      <c r="H43" s="46">
        <f>ROUND(F43*G43,2)</f>
        <v/>
      </c>
    </row>
    <row r="44">
      <c r="A44" s="47" t="n">
        <v>20</v>
      </c>
      <c r="B44" s="77" t="n"/>
      <c r="C44" s="63" t="inlineStr">
        <is>
          <t>21.1.06.09-0111</t>
        </is>
      </c>
      <c r="D44" s="141" t="inlineStr">
        <is>
          <t>Кабель силовой с медными жилами ВВГнг 4х6-660</t>
        </is>
      </c>
      <c r="E44" s="201" t="inlineStr">
        <is>
          <t>1000 м</t>
        </is>
      </c>
      <c r="F44" s="201" t="n">
        <v>8.1</v>
      </c>
      <c r="G44" s="46" t="n">
        <v>14867.6</v>
      </c>
      <c r="H44" s="46">
        <f>ROUND(F44*G44,2)</f>
        <v/>
      </c>
    </row>
    <row r="45">
      <c r="A45" s="47" t="n">
        <v>21</v>
      </c>
      <c r="B45" s="77" t="n"/>
      <c r="C45" s="63" t="inlineStr">
        <is>
          <t>01.7.11.07-0034</t>
        </is>
      </c>
      <c r="D45" s="141" t="inlineStr">
        <is>
          <t>Электроды диаметром: 4 мм Э42А</t>
        </is>
      </c>
      <c r="E45" s="201" t="inlineStr">
        <is>
          <t>кг</t>
        </is>
      </c>
      <c r="F45" s="201" t="n">
        <v>2086.872</v>
      </c>
      <c r="G45" s="46" t="n">
        <v>10.57</v>
      </c>
      <c r="H45" s="46">
        <f>ROUND(F45*G45,2)</f>
        <v/>
      </c>
    </row>
    <row r="46">
      <c r="A46" s="47" t="n">
        <v>22</v>
      </c>
      <c r="B46" s="77" t="n"/>
      <c r="C46" s="63" t="inlineStr">
        <is>
          <t>20.2.08.07-0033</t>
        </is>
      </c>
      <c r="D46" s="141" t="inlineStr">
        <is>
          <t>Скоба: У1078</t>
        </is>
      </c>
      <c r="E46" s="201" t="inlineStr">
        <is>
          <t>100 шт</t>
        </is>
      </c>
      <c r="F46" s="201" t="n">
        <v>29.616</v>
      </c>
      <c r="G46" s="46" t="n">
        <v>617</v>
      </c>
      <c r="H46" s="46">
        <f>ROUND(F46*G46,2)</f>
        <v/>
      </c>
    </row>
    <row r="47">
      <c r="A47" s="47" t="n">
        <v>23</v>
      </c>
      <c r="B47" s="77" t="n"/>
      <c r="C47" s="63" t="inlineStr">
        <is>
          <t>01.7.15.03-0042</t>
        </is>
      </c>
      <c r="D47" s="141" t="inlineStr">
        <is>
          <t>Болты с гайками и шайбами строительные</t>
        </is>
      </c>
      <c r="E47" s="201" t="inlineStr">
        <is>
          <t>кг</t>
        </is>
      </c>
      <c r="F47" s="201" t="n">
        <v>1732.9176</v>
      </c>
      <c r="G47" s="46" t="n">
        <v>9.039999999999999</v>
      </c>
      <c r="H47" s="46">
        <f>ROUND(F47*G47,2)</f>
        <v/>
      </c>
    </row>
    <row r="48">
      <c r="A48" s="47" t="n">
        <v>24</v>
      </c>
      <c r="B48" s="77" t="n"/>
      <c r="C48" s="63" t="inlineStr">
        <is>
          <t>01.7.15.07-0014</t>
        </is>
      </c>
      <c r="D48" s="141" t="inlineStr">
        <is>
          <t>Дюбели распорные полипропиленовые</t>
        </is>
      </c>
      <c r="E48" s="201" t="inlineStr">
        <is>
          <t>100 шт</t>
        </is>
      </c>
      <c r="F48" s="201" t="n">
        <v>107.7696</v>
      </c>
      <c r="G48" s="46" t="n">
        <v>86</v>
      </c>
      <c r="H48" s="46">
        <f>ROUND(F48*G48,2)</f>
        <v/>
      </c>
    </row>
    <row r="49" ht="38.25" customHeight="1" s="128">
      <c r="A49" s="47" t="n">
        <v>25</v>
      </c>
      <c r="B49" s="77" t="n"/>
      <c r="C49" s="63" t="inlineStr">
        <is>
          <t>20.5.02.02-0001</t>
        </is>
      </c>
      <c r="D49" s="141" t="inlineStr">
        <is>
          <t>Коробка клеммная взрывозащищенная SA141410(1C10-1N-1PE- 1C2-1N-1PE-1FL3(C)-1FL2(C) 2Exel IT6, IP66</t>
        </is>
      </c>
      <c r="E49" s="201" t="inlineStr">
        <is>
          <t>шт.</t>
        </is>
      </c>
      <c r="F49" s="201" t="n">
        <v>2.4</v>
      </c>
      <c r="G49" s="46" t="n">
        <v>2639.24</v>
      </c>
      <c r="H49" s="46">
        <f>ROUND(F49*G49,2)</f>
        <v/>
      </c>
    </row>
    <row r="50">
      <c r="A50" s="47" t="n">
        <v>26</v>
      </c>
      <c r="B50" s="77" t="n"/>
      <c r="C50" s="63" t="inlineStr">
        <is>
          <t>14.4.02.09-0001</t>
        </is>
      </c>
      <c r="D50" s="141" t="inlineStr">
        <is>
          <t>Краска</t>
        </is>
      </c>
      <c r="E50" s="201" t="inlineStr">
        <is>
          <t>кг</t>
        </is>
      </c>
      <c r="F50" s="201" t="n">
        <v>168.384</v>
      </c>
      <c r="G50" s="46" t="n">
        <v>28.6</v>
      </c>
      <c r="H50" s="46">
        <f>ROUND(F50*G50,2)</f>
        <v/>
      </c>
    </row>
    <row r="51">
      <c r="A51" s="47" t="n">
        <v>27</v>
      </c>
      <c r="B51" s="77" t="n"/>
      <c r="C51" s="63" t="inlineStr">
        <is>
          <t>01.7.15.07-0031</t>
        </is>
      </c>
      <c r="D51" s="141" t="inlineStr">
        <is>
          <t>Дюбели распорные с гайкой</t>
        </is>
      </c>
      <c r="E51" s="201" t="inlineStr">
        <is>
          <t>100 шт</t>
        </is>
      </c>
      <c r="F51" s="201" t="n">
        <v>43.104</v>
      </c>
      <c r="G51" s="46" t="n">
        <v>110</v>
      </c>
      <c r="H51" s="46">
        <f>ROUND(F51*G51,2)</f>
        <v/>
      </c>
    </row>
    <row r="52" ht="25.5" customHeight="1" s="128">
      <c r="A52" s="47" t="n">
        <v>28</v>
      </c>
      <c r="B52" s="77" t="n"/>
      <c r="C52" s="63" t="inlineStr">
        <is>
          <t>03.2.01.01-0003</t>
        </is>
      </c>
      <c r="D52" s="141" t="inlineStr">
        <is>
          <t>Портландцемент общестроительного назначения бездобавочный, марки: 500</t>
        </is>
      </c>
      <c r="E52" s="201" t="inlineStr">
        <is>
          <t>т</t>
        </is>
      </c>
      <c r="F52" s="201" t="n">
        <v>9.696</v>
      </c>
      <c r="G52" s="46" t="n">
        <v>480</v>
      </c>
      <c r="H52" s="46">
        <f>ROUND(F52*G52,2)</f>
        <v/>
      </c>
    </row>
    <row r="53" ht="25.5" customHeight="1" s="128">
      <c r="A53" s="47" t="n">
        <v>29</v>
      </c>
      <c r="B53" s="77" t="n"/>
      <c r="C53" s="63" t="inlineStr">
        <is>
          <t>999-9950</t>
        </is>
      </c>
      <c r="D53" s="141" t="inlineStr">
        <is>
          <t>Вспомогательные ненормируемые ресурсы (2% от Оплаты труда рабочих)</t>
        </is>
      </c>
      <c r="E53" s="201" t="inlineStr">
        <is>
          <t>руб.</t>
        </is>
      </c>
      <c r="F53" s="201" t="n">
        <v>2376.4104</v>
      </c>
      <c r="G53" s="46" t="n">
        <v>1</v>
      </c>
      <c r="H53" s="46">
        <f>ROUND(F53*G53,2)</f>
        <v/>
      </c>
    </row>
    <row r="54">
      <c r="A54" s="47" t="n">
        <v>30</v>
      </c>
      <c r="B54" s="77" t="n"/>
      <c r="C54" s="63" t="inlineStr">
        <is>
          <t>08.1.02.13-0005</t>
        </is>
      </c>
      <c r="D54" s="141" t="inlineStr">
        <is>
          <t>Рукава металлические диаметром 15 мм РЗ-Ц-Х</t>
        </is>
      </c>
      <c r="E54" s="201" t="inlineStr">
        <is>
          <t>м</t>
        </is>
      </c>
      <c r="F54" s="201" t="n">
        <v>216</v>
      </c>
      <c r="G54" s="46" t="n">
        <v>8.279999999999999</v>
      </c>
      <c r="H54" s="46">
        <f>ROUND(F54*G54,2)</f>
        <v/>
      </c>
    </row>
    <row r="55" ht="25.5" customHeight="1" s="128">
      <c r="A55" s="47" t="n">
        <v>31</v>
      </c>
      <c r="B55" s="77" t="n"/>
      <c r="C55" s="63" t="inlineStr">
        <is>
          <t>08.3.07.01-0076</t>
        </is>
      </c>
      <c r="D55" s="141" t="inlineStr">
        <is>
          <t>Сталь полосовая, марка стали: Ст3сп шириной 50-200 мм толщиной 4-5 мм</t>
        </is>
      </c>
      <c r="E55" s="201" t="inlineStr">
        <is>
          <t>т</t>
        </is>
      </c>
      <c r="F55" s="201" t="n">
        <v>0.14952</v>
      </c>
      <c r="G55" s="46" t="n">
        <v>5000</v>
      </c>
      <c r="H55" s="46">
        <f>ROUND(F55*G55,2)</f>
        <v/>
      </c>
    </row>
    <row r="56" ht="25.5" customHeight="1" s="128">
      <c r="A56" s="47" t="n">
        <v>32</v>
      </c>
      <c r="B56" s="77" t="n"/>
      <c r="C56" s="63" t="inlineStr">
        <is>
          <t>21.2.01.02-0141</t>
        </is>
      </c>
      <c r="D56" s="141" t="inlineStr">
        <is>
          <t>Провода неизолированные для воздушных линий электропередачи медные марки: М, сечением 4 мм2</t>
        </is>
      </c>
      <c r="E56" s="201" t="inlineStr">
        <is>
          <t>т</t>
        </is>
      </c>
      <c r="F56" s="201" t="n">
        <v>0.00696</v>
      </c>
      <c r="G56" s="46" t="n">
        <v>96440</v>
      </c>
      <c r="H56" s="46">
        <f>ROUND(F56*G56,2)</f>
        <v/>
      </c>
    </row>
    <row r="57">
      <c r="A57" s="47" t="n">
        <v>33</v>
      </c>
      <c r="B57" s="77" t="n"/>
      <c r="C57" s="63" t="inlineStr">
        <is>
          <t>18.5.08.09-0001</t>
        </is>
      </c>
      <c r="D57" s="141" t="inlineStr">
        <is>
          <t>Патрубки</t>
        </is>
      </c>
      <c r="E57" s="201" t="inlineStr">
        <is>
          <t>10 шт</t>
        </is>
      </c>
      <c r="F57" s="201" t="n">
        <v>2.16</v>
      </c>
      <c r="G57" s="46" t="n">
        <v>277.5</v>
      </c>
      <c r="H57" s="46">
        <f>ROUND(F57*G57,2)</f>
        <v/>
      </c>
    </row>
    <row r="58">
      <c r="A58" s="47" t="n">
        <v>34</v>
      </c>
      <c r="B58" s="77" t="n"/>
      <c r="C58" s="63" t="inlineStr">
        <is>
          <t>14.4.02.09-0301</t>
        </is>
      </c>
      <c r="D58" s="141" t="inlineStr">
        <is>
          <t>Краска "Цинол"</t>
        </is>
      </c>
      <c r="E58" s="201" t="inlineStr">
        <is>
          <t>кг</t>
        </is>
      </c>
      <c r="F58" s="201" t="n">
        <v>2.4</v>
      </c>
      <c r="G58" s="46" t="n">
        <v>238.48</v>
      </c>
      <c r="H58" s="46">
        <f>ROUND(F58*G58,2)</f>
        <v/>
      </c>
    </row>
    <row r="59" ht="25.5" customHeight="1" s="128">
      <c r="A59" s="47" t="n">
        <v>35</v>
      </c>
      <c r="B59" s="77" t="n"/>
      <c r="C59" s="63" t="inlineStr">
        <is>
          <t>02.3.01.02-0020</t>
        </is>
      </c>
      <c r="D59" s="141" t="inlineStr">
        <is>
          <t>Песок природный для строительных: растворов средний</t>
        </is>
      </c>
      <c r="E59" s="201" t="inlineStr">
        <is>
          <t>м3</t>
        </is>
      </c>
      <c r="F59" s="201" t="n">
        <v>8.0808</v>
      </c>
      <c r="G59" s="46" t="n">
        <v>59.99</v>
      </c>
      <c r="H59" s="46">
        <f>ROUND(F59*G59,2)</f>
        <v/>
      </c>
    </row>
    <row r="60">
      <c r="A60" s="47" t="n">
        <v>36</v>
      </c>
      <c r="B60" s="77" t="n"/>
      <c r="C60" s="63" t="inlineStr">
        <is>
          <t>20.1.02.23-0082</t>
        </is>
      </c>
      <c r="D60" s="141" t="inlineStr">
        <is>
          <t>Перемычки гибкие, тип ПГС-50</t>
        </is>
      </c>
      <c r="E60" s="201" t="inlineStr">
        <is>
          <t>10 шт</t>
        </is>
      </c>
      <c r="F60" s="201" t="n">
        <v>10.872</v>
      </c>
      <c r="G60" s="46" t="n">
        <v>39</v>
      </c>
      <c r="H60" s="46">
        <f>ROUND(F60*G60,2)</f>
        <v/>
      </c>
    </row>
    <row r="61" ht="25.5" customHeight="1" s="128">
      <c r="A61" s="47" t="n">
        <v>37</v>
      </c>
      <c r="B61" s="77" t="n"/>
      <c r="C61" s="63" t="inlineStr">
        <is>
          <t>10.3.02.03-0011</t>
        </is>
      </c>
      <c r="D61" s="141" t="inlineStr">
        <is>
          <t>Припои оловянно-свинцовые бессурьмянистые марки: ПОС30</t>
        </is>
      </c>
      <c r="E61" s="201" t="inlineStr">
        <is>
          <t>кг</t>
        </is>
      </c>
      <c r="F61" s="201" t="n">
        <v>3.12624</v>
      </c>
      <c r="G61" s="46" t="n">
        <v>68.05</v>
      </c>
      <c r="H61" s="46">
        <f>ROUND(F61*G61,2)</f>
        <v/>
      </c>
    </row>
    <row r="62">
      <c r="A62" s="47" t="n">
        <v>38</v>
      </c>
      <c r="B62" s="77" t="n"/>
      <c r="C62" s="63" t="inlineStr">
        <is>
          <t>20.1.02.06-0001</t>
        </is>
      </c>
      <c r="D62" s="141" t="inlineStr">
        <is>
          <t>Жир паяльный</t>
        </is>
      </c>
      <c r="E62" s="201" t="inlineStr">
        <is>
          <t>кг</t>
        </is>
      </c>
      <c r="F62" s="201" t="n">
        <v>1.248</v>
      </c>
      <c r="G62" s="46" t="n">
        <v>100.8</v>
      </c>
      <c r="H62" s="46">
        <f>ROUND(F62*G62,2)</f>
        <v/>
      </c>
    </row>
    <row r="63">
      <c r="A63" s="47" t="n">
        <v>39</v>
      </c>
      <c r="B63" s="77" t="n"/>
      <c r="C63" s="63" t="inlineStr">
        <is>
          <t>01.3.01.01-0001</t>
        </is>
      </c>
      <c r="D63" s="141" t="inlineStr">
        <is>
          <t>Бензин авиационный Б-70</t>
        </is>
      </c>
      <c r="E63" s="201" t="inlineStr">
        <is>
          <t>т</t>
        </is>
      </c>
      <c r="F63" s="201" t="n">
        <v>0.0192</v>
      </c>
      <c r="G63" s="46" t="n">
        <v>4488.4</v>
      </c>
      <c r="H63" s="46">
        <f>ROUND(F63*G63,2)</f>
        <v/>
      </c>
    </row>
    <row r="64">
      <c r="A64" s="47" t="n">
        <v>40</v>
      </c>
      <c r="B64" s="77" t="n"/>
      <c r="C64" s="63" t="inlineStr">
        <is>
          <t>01.7.15.04-0011</t>
        </is>
      </c>
      <c r="D64" s="141" t="inlineStr">
        <is>
          <t>Винты с полукруглой головкой длиной: 50 мм</t>
        </is>
      </c>
      <c r="E64" s="201" t="inlineStr">
        <is>
          <t>т</t>
        </is>
      </c>
      <c r="F64" s="201" t="n">
        <v>0.0048</v>
      </c>
      <c r="G64" s="46" t="n">
        <v>12430</v>
      </c>
      <c r="H64" s="46">
        <f>ROUND(F64*G64,2)</f>
        <v/>
      </c>
    </row>
    <row r="65">
      <c r="A65" s="47" t="n">
        <v>41</v>
      </c>
      <c r="B65" s="77" t="n"/>
      <c r="C65" s="63" t="inlineStr">
        <is>
          <t>25.2.01.01-0017</t>
        </is>
      </c>
      <c r="D65" s="141" t="inlineStr">
        <is>
          <t>Бирки маркировочные пластмассовые</t>
        </is>
      </c>
      <c r="E65" s="201" t="inlineStr">
        <is>
          <t>100 шт</t>
        </is>
      </c>
      <c r="F65" s="201" t="n">
        <v>1.512</v>
      </c>
      <c r="G65" s="46" t="n">
        <v>30.74</v>
      </c>
      <c r="H65" s="46">
        <f>ROUND(F65*G65,2)</f>
        <v/>
      </c>
    </row>
    <row r="66" ht="25.5" customHeight="1" s="128">
      <c r="A66" s="47" t="n">
        <v>42</v>
      </c>
      <c r="B66" s="77" t="n"/>
      <c r="C66" s="63" t="inlineStr">
        <is>
          <t>01.7.06.05-0041</t>
        </is>
      </c>
      <c r="D66" s="141" t="inlineStr">
        <is>
          <t>Лента изоляционная прорезиненная односторонняя ширина 20 мм, толщина 0,25-0,35 мм</t>
        </is>
      </c>
      <c r="E66" s="201" t="inlineStr">
        <is>
          <t>кг</t>
        </is>
      </c>
      <c r="F66" s="201" t="n">
        <v>1.344</v>
      </c>
      <c r="G66" s="46" t="n">
        <v>30.4</v>
      </c>
      <c r="H66" s="46">
        <f>ROUND(F66*G66,2)</f>
        <v/>
      </c>
    </row>
    <row r="67">
      <c r="A67" s="47" t="n">
        <v>43</v>
      </c>
      <c r="B67" s="77" t="n"/>
      <c r="C67" s="63" t="inlineStr">
        <is>
          <t>08.3.07.01-0037</t>
        </is>
      </c>
      <c r="D67" s="141" t="inlineStr">
        <is>
          <t>Сталь полосовая 30х4 мм, марка Ст3сп</t>
        </is>
      </c>
      <c r="E67" s="201" t="inlineStr">
        <is>
          <t>т</t>
        </is>
      </c>
      <c r="F67" s="201" t="n">
        <v>0.0048</v>
      </c>
      <c r="G67" s="46" t="n">
        <v>6674.64</v>
      </c>
      <c r="H67" s="46">
        <f>ROUND(F67*G67,2)</f>
        <v/>
      </c>
    </row>
    <row r="68">
      <c r="A68" s="47" t="n">
        <v>44</v>
      </c>
      <c r="B68" s="77" t="n"/>
      <c r="C68" s="63" t="inlineStr">
        <is>
          <t>25.2.01.01-0001</t>
        </is>
      </c>
      <c r="D68" s="141" t="inlineStr">
        <is>
          <t>Бирки-оконцеватели</t>
        </is>
      </c>
      <c r="E68" s="201" t="inlineStr">
        <is>
          <t>100 шт</t>
        </is>
      </c>
      <c r="F68" s="201" t="n">
        <v>0.48</v>
      </c>
      <c r="G68" s="46" t="n">
        <v>63</v>
      </c>
      <c r="H68" s="46">
        <f>ROUND(F68*G68,2)</f>
        <v/>
      </c>
    </row>
    <row r="69">
      <c r="A69" s="47" t="n">
        <v>45</v>
      </c>
      <c r="B69" s="77" t="n"/>
      <c r="C69" s="63" t="inlineStr">
        <is>
          <t>01.3.02.09-0022</t>
        </is>
      </c>
      <c r="D69" s="141" t="inlineStr">
        <is>
          <t>Пропан-бутан, смесь техническая</t>
        </is>
      </c>
      <c r="E69" s="201" t="inlineStr">
        <is>
          <t>кг</t>
        </is>
      </c>
      <c r="F69" s="201" t="n">
        <v>3.6</v>
      </c>
      <c r="G69" s="46" t="n">
        <v>6.09</v>
      </c>
      <c r="H69" s="46">
        <f>ROUND(F69*G69,2)</f>
        <v/>
      </c>
    </row>
    <row r="70" ht="25.5" customHeight="1" s="128">
      <c r="A70" s="47" t="n">
        <v>46</v>
      </c>
      <c r="B70" s="77" t="n"/>
      <c r="C70" s="63" t="inlineStr">
        <is>
          <t>10.3.02.03-0013</t>
        </is>
      </c>
      <c r="D70" s="141" t="inlineStr">
        <is>
          <t>Припои оловянно-свинцовые бессурьмянистые марки: ПОС61</t>
        </is>
      </c>
      <c r="E70" s="201" t="inlineStr">
        <is>
          <t>кг</t>
        </is>
      </c>
      <c r="F70" s="201" t="n">
        <v>0.1164</v>
      </c>
      <c r="G70" s="46" t="n">
        <v>114.22</v>
      </c>
      <c r="H70" s="46">
        <f>ROUND(F70*G70,2)</f>
        <v/>
      </c>
    </row>
    <row r="71">
      <c r="A71" s="47" t="n">
        <v>47</v>
      </c>
      <c r="B71" s="77" t="n"/>
      <c r="C71" s="63" t="inlineStr">
        <is>
          <t>01.3.01.05-0009</t>
        </is>
      </c>
      <c r="D71" s="141" t="inlineStr">
        <is>
          <t>Парафины нефтяные твердые марки Т-1</t>
        </is>
      </c>
      <c r="E71" s="201" t="inlineStr">
        <is>
          <t>т</t>
        </is>
      </c>
      <c r="F71" s="201" t="n">
        <v>0.00096</v>
      </c>
      <c r="G71" s="46" t="n">
        <v>8105.71</v>
      </c>
      <c r="H71" s="46">
        <f>ROUND(F71*G71,2)</f>
        <v/>
      </c>
    </row>
    <row r="72">
      <c r="A72" s="47" t="n">
        <v>48</v>
      </c>
      <c r="B72" s="77" t="n"/>
      <c r="C72" s="63" t="inlineStr">
        <is>
          <t>01.7.06.07-0001</t>
        </is>
      </c>
      <c r="D72" s="141" t="inlineStr">
        <is>
          <t>Лента К226</t>
        </is>
      </c>
      <c r="E72" s="201" t="inlineStr">
        <is>
          <t>100 м</t>
        </is>
      </c>
      <c r="F72" s="201" t="n">
        <v>0.05808</v>
      </c>
      <c r="G72" s="46" t="n">
        <v>120</v>
      </c>
      <c r="H72" s="46">
        <f>ROUND(F72*G72,2)</f>
        <v/>
      </c>
    </row>
    <row r="73">
      <c r="A73" s="47" t="n">
        <v>49</v>
      </c>
      <c r="B73" s="77" t="n"/>
      <c r="C73" s="63" t="inlineStr">
        <is>
          <t>20.2.02.01-0019</t>
        </is>
      </c>
      <c r="D73" s="141" t="inlineStr">
        <is>
          <t>Втулки изолирующие</t>
        </is>
      </c>
      <c r="E73" s="201" t="inlineStr">
        <is>
          <t>1000 шт</t>
        </is>
      </c>
      <c r="F73" s="201" t="n">
        <v>0.0216</v>
      </c>
      <c r="G73" s="46" t="n">
        <v>270</v>
      </c>
      <c r="H73" s="46">
        <f>ROUND(F73*G73,2)</f>
        <v/>
      </c>
    </row>
    <row r="74">
      <c r="A74" s="43" t="n">
        <v>50</v>
      </c>
      <c r="B74" s="77" t="n"/>
      <c r="C74" s="63" t="inlineStr">
        <is>
          <t>01.3.01.02-0002</t>
        </is>
      </c>
      <c r="D74" s="141" t="inlineStr">
        <is>
          <t>Вазелин технический</t>
        </is>
      </c>
      <c r="E74" s="201" t="inlineStr">
        <is>
          <t>кг</t>
        </is>
      </c>
      <c r="F74" s="201" t="n">
        <v>0.048</v>
      </c>
      <c r="G74" s="46" t="n">
        <v>44.97</v>
      </c>
      <c r="H74" s="46">
        <f>ROUND(F74*G74,2)</f>
        <v/>
      </c>
    </row>
    <row r="75">
      <c r="A75" s="43" t="n">
        <v>51</v>
      </c>
      <c r="B75" s="77" t="n"/>
      <c r="C75" s="63" t="inlineStr">
        <is>
          <t>24.3.01.01-0002</t>
        </is>
      </c>
      <c r="D75" s="141" t="inlineStr">
        <is>
          <t>Трубка полихлорвиниловая</t>
        </is>
      </c>
      <c r="E75" s="201" t="inlineStr">
        <is>
          <t>кг</t>
        </is>
      </c>
      <c r="F75" s="201" t="n">
        <v>0.06048</v>
      </c>
      <c r="G75" s="46" t="n">
        <v>35.7</v>
      </c>
      <c r="H75" s="46">
        <f>ROUND(F75*G75,2)</f>
        <v/>
      </c>
    </row>
    <row r="76">
      <c r="A76" s="43" t="n">
        <v>52</v>
      </c>
      <c r="B76" s="77" t="n"/>
      <c r="C76" s="63" t="inlineStr">
        <is>
          <t>14.4.03.17-0011</t>
        </is>
      </c>
      <c r="D76" s="141" t="inlineStr">
        <is>
          <t>Лак электроизоляционный 318</t>
        </is>
      </c>
      <c r="E76" s="201" t="inlineStr">
        <is>
          <t>кг</t>
        </is>
      </c>
      <c r="F76" s="201" t="n">
        <v>0.048</v>
      </c>
      <c r="G76" s="46" t="n">
        <v>35.63</v>
      </c>
      <c r="H76" s="46">
        <f>ROUND(F76*G76,2)</f>
        <v/>
      </c>
    </row>
    <row r="77">
      <c r="A77" s="43" t="n">
        <v>53</v>
      </c>
      <c r="B77" s="77" t="n"/>
      <c r="C77" s="63" t="inlineStr">
        <is>
          <t>01.3.01.07-0009</t>
        </is>
      </c>
      <c r="D77" s="141" t="inlineStr">
        <is>
          <t>Спирт этиловый ректификованный технический, сорт I</t>
        </is>
      </c>
      <c r="E77" s="201" t="inlineStr">
        <is>
          <t>кг</t>
        </is>
      </c>
      <c r="F77" s="201" t="n">
        <v>0.04392</v>
      </c>
      <c r="G77" s="46" t="n">
        <v>38.89</v>
      </c>
      <c r="H77" s="46">
        <f>ROUND(F77*G77,2)</f>
        <v/>
      </c>
    </row>
    <row r="78">
      <c r="A78" s="43" t="n">
        <v>54</v>
      </c>
      <c r="B78" s="77" t="n"/>
      <c r="C78" s="63" t="inlineStr">
        <is>
          <t>01.3.05.17-0002</t>
        </is>
      </c>
      <c r="D78" s="141" t="inlineStr">
        <is>
          <t>Канифоль сосновая</t>
        </is>
      </c>
      <c r="E78" s="201" t="inlineStr">
        <is>
          <t>кг</t>
        </is>
      </c>
      <c r="F78" s="201" t="n">
        <v>0.0288</v>
      </c>
      <c r="G78" s="46" t="n">
        <v>27.74</v>
      </c>
      <c r="H78" s="46">
        <f>ROUND(F78*G78,2)</f>
        <v/>
      </c>
    </row>
    <row r="79">
      <c r="A79" s="43" t="n">
        <v>55</v>
      </c>
      <c r="B79" s="77" t="n"/>
      <c r="C79" s="63" t="inlineStr">
        <is>
          <t>01.7.20.04-0005</t>
        </is>
      </c>
      <c r="D79" s="141" t="inlineStr">
        <is>
          <t>Нитки швейные</t>
        </is>
      </c>
      <c r="E79" s="201" t="inlineStr">
        <is>
          <t>кг</t>
        </is>
      </c>
      <c r="F79" s="201" t="n">
        <v>0.0048</v>
      </c>
      <c r="G79" s="46" t="n">
        <v>133.05</v>
      </c>
      <c r="H79" s="46">
        <f>ROUND(F79*G79,2)</f>
        <v/>
      </c>
    </row>
    <row r="80">
      <c r="A80" s="43" t="n">
        <v>56</v>
      </c>
      <c r="B80" s="77" t="n"/>
      <c r="C80" s="63" t="inlineStr">
        <is>
          <t>01.7.02.09-0002</t>
        </is>
      </c>
      <c r="D80" s="141" t="inlineStr">
        <is>
          <t>Шпагат бумажный</t>
        </is>
      </c>
      <c r="E80" s="201" t="inlineStr">
        <is>
          <t>кг</t>
        </is>
      </c>
      <c r="F80" s="201" t="n">
        <v>0.009599999999999999</v>
      </c>
      <c r="G80" s="46" t="n">
        <v>11.5</v>
      </c>
      <c r="H80" s="46">
        <f>ROUND(F80*G80,2)</f>
        <v/>
      </c>
    </row>
    <row r="83">
      <c r="B83" s="150" t="inlineStr">
        <is>
          <t>Составил ______________________        Е.А. Князева</t>
        </is>
      </c>
      <c r="C83" s="151" t="n"/>
    </row>
    <row r="84">
      <c r="B84" s="152" t="inlineStr">
        <is>
          <t xml:space="preserve">                         (подпись, инициалы, фамилия)</t>
        </is>
      </c>
      <c r="C84" s="151" t="n"/>
    </row>
    <row r="85">
      <c r="B85" s="150" t="n"/>
      <c r="C85" s="151" t="n"/>
    </row>
    <row r="86">
      <c r="B86" s="150" t="inlineStr">
        <is>
          <t>Проверил ______________________        А.В. Костянецкая</t>
        </is>
      </c>
      <c r="C86" s="151" t="n"/>
    </row>
    <row r="87">
      <c r="B87" s="152" t="inlineStr">
        <is>
          <t xml:space="preserve">                        (подпись, инициалы, фамилия)</t>
        </is>
      </c>
      <c r="C87" s="151" t="n"/>
    </row>
  </sheetData>
  <mergeCells count="17">
    <mergeCell ref="A39:E39"/>
    <mergeCell ref="B9:B10"/>
    <mergeCell ref="A12:E12"/>
    <mergeCell ref="E9:E10"/>
    <mergeCell ref="C9:C10"/>
    <mergeCell ref="D9:D10"/>
    <mergeCell ref="F9:F10"/>
    <mergeCell ref="D6:H6"/>
    <mergeCell ref="A9:A10"/>
    <mergeCell ref="A28:E28"/>
    <mergeCell ref="A2:H2"/>
    <mergeCell ref="A6:C6"/>
    <mergeCell ref="A19:E19"/>
    <mergeCell ref="C4:H4"/>
    <mergeCell ref="A1:H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5" sqref="D45"/>
    </sheetView>
  </sheetViews>
  <sheetFormatPr baseColWidth="8" defaultRowHeight="15"/>
  <cols>
    <col width="4.140625" customWidth="1" style="128" min="1" max="1"/>
    <col width="36.28515625" customWidth="1" style="128" min="2" max="2"/>
    <col width="18.85546875" customWidth="1" style="128" min="3" max="3"/>
    <col width="18.28515625" customWidth="1" style="128" min="4" max="4"/>
    <col width="18.85546875" customWidth="1" style="128" min="5" max="5"/>
    <col width="9.140625" customWidth="1" style="128" min="6" max="6"/>
    <col width="12.85546875" customWidth="1" style="128" min="7" max="7"/>
    <col width="9.140625" customWidth="1" style="128" min="8" max="11"/>
    <col width="13.5703125" customWidth="1" style="128" min="12" max="12"/>
    <col width="9.140625" customWidth="1" style="128" min="13" max="13"/>
  </cols>
  <sheetData>
    <row r="1">
      <c r="B1" s="150" t="n"/>
      <c r="C1" s="150" t="n"/>
      <c r="D1" s="150" t="n"/>
      <c r="E1" s="200" t="inlineStr">
        <is>
          <t>Приложение № 4</t>
        </is>
      </c>
    </row>
    <row r="2" hidden="1" s="128">
      <c r="B2" s="150" t="n"/>
      <c r="C2" s="150" t="n"/>
      <c r="D2" s="150" t="n"/>
      <c r="E2" s="150" t="n"/>
    </row>
    <row r="3" hidden="1" s="128">
      <c r="B3" s="150" t="n"/>
      <c r="C3" s="150" t="n"/>
      <c r="D3" s="150" t="n"/>
      <c r="E3" s="150" t="n"/>
    </row>
    <row r="4">
      <c r="B4" s="178" t="inlineStr">
        <is>
          <t>Ресурсная модель</t>
        </is>
      </c>
    </row>
    <row r="5" ht="8.449999999999999" customHeight="1" s="128">
      <c r="B5" s="16" t="n"/>
      <c r="C5" s="150" t="n"/>
      <c r="D5" s="150" t="n"/>
      <c r="E5" s="150" t="n"/>
    </row>
    <row r="6" ht="67.7" customHeight="1" s="128">
      <c r="B6" s="163">
        <f>'Прил.1 Сравнит табл'!B6</f>
        <v/>
      </c>
      <c r="C6" s="179" t="n"/>
      <c r="D6" s="179">
        <f>'Прил.1 Сравнит табл'!D6</f>
        <v/>
      </c>
    </row>
    <row r="7" ht="15.75" customHeight="1" s="128">
      <c r="B7" s="163">
        <f>'Прил.1 Сравнит табл'!B8</f>
        <v/>
      </c>
      <c r="C7" s="163" t="n"/>
      <c r="D7" s="163" t="n"/>
      <c r="E7" s="163" t="n"/>
    </row>
    <row r="8" hidden="1" ht="15.75" customHeight="1" s="128">
      <c r="B8" s="163" t="n"/>
      <c r="C8" s="163" t="n"/>
      <c r="D8" s="163" t="n"/>
      <c r="E8" s="163" t="n"/>
    </row>
    <row r="9">
      <c r="B9" s="16" t="n"/>
      <c r="C9" s="150" t="n"/>
      <c r="D9" s="150" t="n"/>
      <c r="E9" s="150" t="n"/>
    </row>
    <row r="10" ht="51" customHeight="1" s="128">
      <c r="B10" s="180" t="inlineStr">
        <is>
          <t>Наименование</t>
        </is>
      </c>
      <c r="C10" s="180" t="inlineStr">
        <is>
          <t>Сметная стоимость в ценах на 01.01.2023
 (руб.)</t>
        </is>
      </c>
      <c r="D10" s="180" t="inlineStr">
        <is>
          <t>Удельный вес, 
(в СМР)</t>
        </is>
      </c>
      <c r="E10" s="18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34">
        <f>'Прил.5 Расчет СМР и ОБ'!J14</f>
        <v/>
      </c>
      <c r="D11" s="54">
        <f>C11/$C$24</f>
        <v/>
      </c>
      <c r="E11" s="54">
        <f>C11/$C$40</f>
        <v/>
      </c>
    </row>
    <row r="12">
      <c r="B12" s="7" t="inlineStr">
        <is>
          <t>Эксплуатация машин основных</t>
        </is>
      </c>
      <c r="C12" s="134">
        <f>'Прил.5 Расчет СМР и ОБ'!J23</f>
        <v/>
      </c>
      <c r="D12" s="54">
        <f>C12/$C$24</f>
        <v/>
      </c>
      <c r="E12" s="54">
        <f>C12/$C$40</f>
        <v/>
      </c>
    </row>
    <row r="13">
      <c r="B13" s="7" t="inlineStr">
        <is>
          <t>Эксплуатация машин прочих</t>
        </is>
      </c>
      <c r="C13" s="134">
        <f>'Прил.5 Расчет СМР и ОБ'!J28</f>
        <v/>
      </c>
      <c r="D13" s="54">
        <f>C13/$C$24</f>
        <v/>
      </c>
      <c r="E13" s="54">
        <f>C13/$C$40</f>
        <v/>
      </c>
    </row>
    <row r="14">
      <c r="B14" s="7" t="inlineStr">
        <is>
          <t>ЭКСПЛУАТАЦИЯ МАШИН, ВСЕГО:</t>
        </is>
      </c>
      <c r="C14" s="134">
        <f>C13+C12</f>
        <v/>
      </c>
      <c r="D14" s="54">
        <f>C14/$C$24</f>
        <v/>
      </c>
      <c r="E14" s="54">
        <f>C14/$C$40</f>
        <v/>
      </c>
    </row>
    <row r="15">
      <c r="B15" s="7" t="inlineStr">
        <is>
          <t>в том числе зарплата машинистов</t>
        </is>
      </c>
      <c r="C15" s="134">
        <f>'Прил.5 Расчет СМР и ОБ'!J16</f>
        <v/>
      </c>
      <c r="D15" s="54">
        <f>C15/$C$24</f>
        <v/>
      </c>
      <c r="E15" s="54">
        <f>C15/$C$40</f>
        <v/>
      </c>
    </row>
    <row r="16">
      <c r="B16" s="7" t="inlineStr">
        <is>
          <t>Материалы основные</t>
        </is>
      </c>
      <c r="C16" s="134">
        <f>'Прил.5 Расчет СМР и ОБ'!J52</f>
        <v/>
      </c>
      <c r="D16" s="54">
        <f>C16/$C$24</f>
        <v/>
      </c>
      <c r="E16" s="54">
        <f>C16/$C$40</f>
        <v/>
      </c>
    </row>
    <row r="17">
      <c r="B17" s="7" t="inlineStr">
        <is>
          <t>Материалы прочие</t>
        </is>
      </c>
      <c r="C17" s="134">
        <f>'Прил.5 Расчет СМР и ОБ'!J90</f>
        <v/>
      </c>
      <c r="D17" s="54">
        <f>C17/$C$24</f>
        <v/>
      </c>
      <c r="E17" s="54">
        <f>C17/$C$40</f>
        <v/>
      </c>
      <c r="G17" s="17" t="n"/>
    </row>
    <row r="18">
      <c r="B18" s="7" t="inlineStr">
        <is>
          <t>МАТЕРИАЛЫ, ВСЕГО:</t>
        </is>
      </c>
      <c r="C18" s="134">
        <f>C17+C16</f>
        <v/>
      </c>
      <c r="D18" s="54">
        <f>C18/$C$24</f>
        <v/>
      </c>
      <c r="E18" s="54">
        <f>C18/$C$40</f>
        <v/>
      </c>
    </row>
    <row r="19">
      <c r="B19" s="7" t="inlineStr">
        <is>
          <t>ИТОГО</t>
        </is>
      </c>
      <c r="C19" s="134">
        <f>C18+C14+C11</f>
        <v/>
      </c>
      <c r="D19" s="54" t="n"/>
      <c r="E19" s="7" t="n"/>
    </row>
    <row r="20">
      <c r="B20" s="7" t="inlineStr">
        <is>
          <t>Сметная прибыль, руб.</t>
        </is>
      </c>
      <c r="C20" s="134">
        <f>ROUND(C21*(C11+C15),2)</f>
        <v/>
      </c>
      <c r="D20" s="54">
        <f>C20/$C$24</f>
        <v/>
      </c>
      <c r="E20" s="54">
        <f>C20/$C$40</f>
        <v/>
      </c>
    </row>
    <row r="21">
      <c r="B21" s="7" t="inlineStr">
        <is>
          <t>Сметная прибыль, %</t>
        </is>
      </c>
      <c r="C21" s="56">
        <f>'Прил.5 Расчет СМР и ОБ'!E94</f>
        <v/>
      </c>
      <c r="D21" s="54" t="n"/>
      <c r="E21" s="7" t="n"/>
    </row>
    <row r="22">
      <c r="B22" s="7" t="inlineStr">
        <is>
          <t>Накладные расходы, руб.</t>
        </is>
      </c>
      <c r="C22" s="134">
        <f>ROUND(C23*(C11+C15),2)</f>
        <v/>
      </c>
      <c r="D22" s="54">
        <f>C22/$C$24</f>
        <v/>
      </c>
      <c r="E22" s="54">
        <f>C22/$C$40</f>
        <v/>
      </c>
    </row>
    <row r="23">
      <c r="B23" s="7" t="inlineStr">
        <is>
          <t>Накладные расходы, %</t>
        </is>
      </c>
      <c r="C23" s="56">
        <f>'Прил.5 Расчет СМР и ОБ'!E93</f>
        <v/>
      </c>
      <c r="D23" s="54" t="n"/>
      <c r="E23" s="7" t="n"/>
    </row>
    <row r="24">
      <c r="B24" s="7" t="inlineStr">
        <is>
          <t>ВСЕГО СМР с НР и СП</t>
        </is>
      </c>
      <c r="C24" s="134">
        <f>C19+C20+C22</f>
        <v/>
      </c>
      <c r="D24" s="54">
        <f>C24/$C$24</f>
        <v/>
      </c>
      <c r="E24" s="54">
        <f>C24/$C$40</f>
        <v/>
      </c>
    </row>
    <row r="25" ht="25.5" customHeight="1" s="128">
      <c r="B25" s="7" t="inlineStr">
        <is>
          <t>ВСЕГО стоимость оборудования, в том числе</t>
        </is>
      </c>
      <c r="C25" s="134">
        <f>'Прил.5 Расчет СМР и ОБ'!J45</f>
        <v/>
      </c>
      <c r="D25" s="54" t="n"/>
      <c r="E25" s="54">
        <f>C25/$C$40</f>
        <v/>
      </c>
    </row>
    <row r="26" ht="25.5" customHeight="1" s="128">
      <c r="B26" s="7" t="inlineStr">
        <is>
          <t>стоимость оборудования технологического</t>
        </is>
      </c>
      <c r="C26" s="134">
        <f>C25</f>
        <v/>
      </c>
      <c r="D26" s="54" t="n"/>
      <c r="E26" s="54">
        <f>C26/$C$40</f>
        <v/>
      </c>
    </row>
    <row r="27">
      <c r="B27" s="7" t="inlineStr">
        <is>
          <t>ИТОГО (СМР + ОБОРУДОВАНИЕ)</t>
        </is>
      </c>
      <c r="C27" s="53">
        <f>C24+C25</f>
        <v/>
      </c>
      <c r="D27" s="54" t="n"/>
      <c r="E27" s="54">
        <f>C27/$C$40</f>
        <v/>
      </c>
    </row>
    <row r="28" ht="33" customHeight="1" s="128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28">
      <c r="B29" s="7" t="inlineStr">
        <is>
          <t>Временные здания и сооружения - 3,9%</t>
        </is>
      </c>
      <c r="C29" s="53">
        <f>ROUND(C24*3.9%,2)</f>
        <v/>
      </c>
      <c r="D29" s="7" t="n"/>
      <c r="E29" s="54">
        <f>C29/$C$40</f>
        <v/>
      </c>
    </row>
    <row r="30" ht="38.25" customHeight="1" s="128">
      <c r="B30" s="7" t="inlineStr">
        <is>
          <t>Дополнительные затраты при производстве строительно-монтажных работ в зимнее время - 2,1%</t>
        </is>
      </c>
      <c r="C30" s="53">
        <f>ROUND((C24+C29)*2.1%,2)</f>
        <v/>
      </c>
      <c r="D30" s="7" t="n"/>
      <c r="E30" s="54">
        <f>C30/$C$40</f>
        <v/>
      </c>
    </row>
    <row r="31">
      <c r="B31" s="7" t="inlineStr">
        <is>
          <t>Пусконаладочные работы</t>
        </is>
      </c>
      <c r="C31" s="53" t="n">
        <v>1896864.6</v>
      </c>
      <c r="D31" s="7" t="n"/>
      <c r="E31" s="54">
        <f>C31/$C$40</f>
        <v/>
      </c>
    </row>
    <row r="32" ht="25.5" customHeight="1" s="128">
      <c r="B32" s="7" t="inlineStr">
        <is>
          <t>Затраты по перевозке работников к месту работы и обратно</t>
        </is>
      </c>
      <c r="C32" s="53">
        <f>ROUND($C$27*0%,2)</f>
        <v/>
      </c>
      <c r="D32" s="7" t="n"/>
      <c r="E32" s="54">
        <f>C32/$C$40</f>
        <v/>
      </c>
    </row>
    <row r="33" ht="25.5" customHeight="1" s="128">
      <c r="B33" s="7" t="inlineStr">
        <is>
          <t>Затраты, связанные с осуществлением работ вахтовым методом</t>
        </is>
      </c>
      <c r="C33" s="53">
        <f>ROUND($C$27*0%,2)</f>
        <v/>
      </c>
      <c r="D33" s="7" t="n"/>
      <c r="E33" s="54">
        <f>C33/$C$40</f>
        <v/>
      </c>
    </row>
    <row r="34" ht="51" customHeight="1" s="128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3">
        <f>ROUND($C$27*0%,2)</f>
        <v/>
      </c>
      <c r="D34" s="7" t="n"/>
      <c r="E34" s="54">
        <f>C34/$C$40</f>
        <v/>
      </c>
    </row>
    <row r="35" ht="76.7" customHeight="1" s="128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3">
        <f>ROUND($C$27*0%,2)</f>
        <v/>
      </c>
      <c r="D35" s="7" t="n"/>
      <c r="E35" s="54">
        <f>C35/$C$40</f>
        <v/>
      </c>
    </row>
    <row r="36" ht="25.5" customHeight="1" s="128">
      <c r="B36" s="7" t="inlineStr">
        <is>
          <t>Строительный контроль и содержание службы заказчика - 2,14%</t>
        </is>
      </c>
      <c r="C36" s="53">
        <f>ROUND((C27+C32+C33+C34+C35+C29+C31+C30)*2.14%,2)</f>
        <v/>
      </c>
      <c r="D36" s="7" t="n"/>
      <c r="E36" s="54">
        <f>C36/$C$40</f>
        <v/>
      </c>
      <c r="G36" s="78" t="n"/>
      <c r="L36" s="18" t="n"/>
    </row>
    <row r="37">
      <c r="B37" s="7" t="inlineStr">
        <is>
          <t>Авторский надзор - 0,2%</t>
        </is>
      </c>
      <c r="C37" s="53">
        <f>ROUND((C27+C32+C33+C34+C35+C29+C31+C30)*0.2%,2)</f>
        <v/>
      </c>
      <c r="D37" s="7" t="n"/>
      <c r="E37" s="54">
        <f>C37/$C$40</f>
        <v/>
      </c>
      <c r="G37" s="78" t="n"/>
      <c r="L37" s="18" t="n"/>
    </row>
    <row r="38" ht="38.25" customHeight="1" s="128">
      <c r="B38" s="7" t="inlineStr">
        <is>
          <t>ИТОГО (СМР+ОБОРУДОВАНИЕ+ПРОЧ. ЗАТР., УЧТЕННЫЕ ПОКАЗАТЕЛЕМ)</t>
        </is>
      </c>
      <c r="C38" s="134">
        <f>C27+C32+C33+C34+C35+C29+C31+C30+C36+C37</f>
        <v/>
      </c>
      <c r="D38" s="7" t="n"/>
      <c r="E38" s="54">
        <f>C38/$C$40</f>
        <v/>
      </c>
    </row>
    <row r="39" ht="13.7" customHeight="1" s="128">
      <c r="B39" s="7" t="inlineStr">
        <is>
          <t>Непредвиденные расходы</t>
        </is>
      </c>
      <c r="C39" s="134">
        <f>ROUND(C38*3%,2)</f>
        <v/>
      </c>
      <c r="D39" s="7" t="n"/>
      <c r="E39" s="54">
        <f>C39/$C$38</f>
        <v/>
      </c>
    </row>
    <row r="40">
      <c r="B40" s="7" t="inlineStr">
        <is>
          <t>ВСЕГО:</t>
        </is>
      </c>
      <c r="C40" s="134">
        <f>C39+C38</f>
        <v/>
      </c>
      <c r="D40" s="7" t="n"/>
      <c r="E40" s="54">
        <f>C40/$C$40</f>
        <v/>
      </c>
    </row>
    <row r="41">
      <c r="B41" s="7" t="inlineStr">
        <is>
          <t>ИТОГО ПОКАЗАТЕЛЬ НА ЕД. ИЗМ.</t>
        </is>
      </c>
      <c r="C41" s="134">
        <f>C40/'Прил.5 Расчет СМР и ОБ'!E97</f>
        <v/>
      </c>
      <c r="D41" s="7" t="n"/>
      <c r="E41" s="7" t="n"/>
    </row>
    <row r="42">
      <c r="B42" s="136" t="n"/>
      <c r="C42" s="150" t="n"/>
      <c r="D42" s="150" t="n"/>
      <c r="E42" s="150" t="n"/>
    </row>
    <row r="43">
      <c r="B43" s="150" t="inlineStr">
        <is>
          <t>Составил ______________________        Е.А. Князева</t>
        </is>
      </c>
      <c r="C43" s="151" t="n"/>
      <c r="D43" s="150" t="n"/>
      <c r="E43" s="150" t="n"/>
    </row>
    <row r="44">
      <c r="B44" s="152" t="inlineStr">
        <is>
          <t xml:space="preserve">                         (подпись, инициалы, фамилия)</t>
        </is>
      </c>
      <c r="C44" s="151" t="n"/>
      <c r="D44" s="150" t="n"/>
      <c r="E44" s="150" t="n"/>
    </row>
    <row r="45">
      <c r="B45" s="150" t="n"/>
      <c r="C45" s="151" t="n"/>
      <c r="D45" s="150" t="n"/>
      <c r="E45" s="150" t="n"/>
    </row>
    <row r="46">
      <c r="B46" s="150" t="inlineStr">
        <is>
          <t>Проверил ______________________        А.В. Костянецкая</t>
        </is>
      </c>
      <c r="C46" s="151" t="n"/>
      <c r="D46" s="150" t="n"/>
      <c r="E46" s="150" t="n"/>
    </row>
    <row r="47">
      <c r="B47" s="152" t="inlineStr">
        <is>
          <t xml:space="preserve">                        (подпись, инициалы, фамилия)</t>
        </is>
      </c>
      <c r="C47" s="151" t="n"/>
      <c r="D47" s="150" t="n"/>
      <c r="E47" s="150" t="n"/>
    </row>
    <row r="49">
      <c r="B49" s="150" t="n"/>
      <c r="C49" s="150" t="n"/>
      <c r="D49" s="150" t="n"/>
      <c r="E49" s="150" t="n"/>
    </row>
    <row r="50">
      <c r="B50" s="150" t="n"/>
      <c r="C50" s="150" t="n"/>
      <c r="D50" s="150" t="n"/>
      <c r="E50" s="150" t="n"/>
    </row>
  </sheetData>
  <mergeCells count="2">
    <mergeCell ref="D6:E6"/>
    <mergeCell ref="B4:E4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4"/>
  <sheetViews>
    <sheetView tabSelected="1" view="pageBreakPreview" topLeftCell="A52" zoomScale="85" workbookViewId="0">
      <selection activeCell="D104" sqref="D104"/>
    </sheetView>
  </sheetViews>
  <sheetFormatPr baseColWidth="8" defaultColWidth="9.140625" defaultRowHeight="15" outlineLevelRow="1"/>
  <cols>
    <col width="5.7109375" customWidth="1" style="151" min="1" max="1"/>
    <col width="22.5703125" customWidth="1" style="151" min="2" max="2"/>
    <col width="39.140625" customWidth="1" style="151" min="3" max="3"/>
    <col width="10.7109375" customWidth="1" style="151" min="4" max="4"/>
    <col width="12.7109375" customWidth="1" style="151" min="5" max="5"/>
    <col width="14.5703125" customWidth="1" style="151" min="6" max="6"/>
    <col width="13.42578125" customWidth="1" style="151" min="7" max="7"/>
    <col width="12.7109375" customWidth="1" style="151" min="8" max="8"/>
    <col width="14.5703125" customWidth="1" style="151" min="9" max="9"/>
    <col width="15.140625" customWidth="1" style="151" min="10" max="10"/>
    <col width="2.85546875" customWidth="1" style="151" min="11" max="11"/>
    <col width="10.7109375" customWidth="1" style="151" min="12" max="12"/>
    <col width="10.85546875" customWidth="1" style="151" min="13" max="13"/>
    <col width="9.140625" customWidth="1" style="151" min="14" max="14"/>
  </cols>
  <sheetData>
    <row r="2" ht="15.75" customHeight="1" s="128">
      <c r="I2" s="98" t="n"/>
      <c r="J2" s="81" t="inlineStr">
        <is>
          <t>Приложение №5</t>
        </is>
      </c>
    </row>
    <row r="4" ht="12.75" customFormat="1" customHeight="1" s="150">
      <c r="A4" s="178" t="inlineStr">
        <is>
          <t>Расчет стоимости СМР и оборудования</t>
        </is>
      </c>
      <c r="I4" s="178" t="n"/>
      <c r="J4" s="178" t="n"/>
    </row>
    <row r="5" ht="12.75" customFormat="1" customHeight="1" s="150">
      <c r="A5" s="178" t="n"/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</row>
    <row r="6" ht="41.25" customFormat="1" customHeight="1" s="150">
      <c r="B6" s="101">
        <f>'Прил.1 Сравнит табл'!B6</f>
        <v/>
      </c>
      <c r="C6" s="112" t="n"/>
      <c r="D6" s="192" t="inlineStr">
        <is>
          <t>РЗиА ячейки выключателя 750 кВ</t>
        </is>
      </c>
    </row>
    <row r="7" ht="15.75" customFormat="1" customHeight="1" s="150">
      <c r="B7" s="113">
        <f>'Прил.1 Сравнит табл'!B8</f>
        <v/>
      </c>
      <c r="C7" s="101" t="n"/>
      <c r="D7" s="101" t="n"/>
      <c r="E7" s="136" t="n"/>
      <c r="F7" s="136" t="n"/>
      <c r="G7" s="136" t="n"/>
      <c r="H7" s="136" t="n"/>
      <c r="I7" s="195" t="n"/>
      <c r="J7" s="195" t="n"/>
    </row>
    <row r="8" ht="12.75" customFormat="1" customHeight="1" s="150"/>
    <row r="9" ht="27" customHeight="1" s="128">
      <c r="A9" s="180" t="inlineStr">
        <is>
          <t>№ пп.</t>
        </is>
      </c>
      <c r="B9" s="180" t="inlineStr">
        <is>
          <t>Код ресурса</t>
        </is>
      </c>
      <c r="C9" s="180" t="inlineStr">
        <is>
          <t>Наименование</t>
        </is>
      </c>
      <c r="D9" s="180" t="inlineStr">
        <is>
          <t>Ед. изм.</t>
        </is>
      </c>
      <c r="E9" s="180" t="inlineStr">
        <is>
          <t>Кол-во единиц по проектным данным</t>
        </is>
      </c>
      <c r="F9" s="180" t="inlineStr">
        <is>
          <t>Сметная стоимость в ценах на 01.01.2000 (руб.)</t>
        </is>
      </c>
      <c r="G9" s="210" t="n"/>
      <c r="H9" s="180" t="inlineStr">
        <is>
          <t>Удельный вес, %</t>
        </is>
      </c>
      <c r="I9" s="180" t="inlineStr">
        <is>
          <t>Сметная стоимость в ценах на 01.01.2023 (руб.)</t>
        </is>
      </c>
      <c r="J9" s="210" t="n"/>
    </row>
    <row r="10" ht="28.5" customHeight="1" s="128">
      <c r="A10" s="212" t="n"/>
      <c r="B10" s="212" t="n"/>
      <c r="C10" s="212" t="n"/>
      <c r="D10" s="212" t="n"/>
      <c r="E10" s="212" t="n"/>
      <c r="F10" s="180" t="inlineStr">
        <is>
          <t>на ед. изм.</t>
        </is>
      </c>
      <c r="G10" s="180" t="inlineStr">
        <is>
          <t>общая</t>
        </is>
      </c>
      <c r="H10" s="212" t="n"/>
      <c r="I10" s="180" t="inlineStr">
        <is>
          <t>на ед. изм.</t>
        </is>
      </c>
      <c r="J10" s="180" t="inlineStr">
        <is>
          <t>общая</t>
        </is>
      </c>
    </row>
    <row r="11">
      <c r="A11" s="180" t="n">
        <v>1</v>
      </c>
      <c r="B11" s="180" t="n">
        <v>2</v>
      </c>
      <c r="C11" s="180" t="n">
        <v>3</v>
      </c>
      <c r="D11" s="180" t="n">
        <v>4</v>
      </c>
      <c r="E11" s="180" t="n">
        <v>5</v>
      </c>
      <c r="F11" s="180" t="n">
        <v>6</v>
      </c>
      <c r="G11" s="180" t="n">
        <v>7</v>
      </c>
      <c r="H11" s="180" t="n">
        <v>8</v>
      </c>
      <c r="I11" s="180" t="n">
        <v>9</v>
      </c>
      <c r="J11" s="180" t="n">
        <v>10</v>
      </c>
    </row>
    <row r="12">
      <c r="A12" s="180" t="n"/>
      <c r="B12" s="174" t="inlineStr">
        <is>
          <t>Затраты труда рабочих-строителей</t>
        </is>
      </c>
      <c r="C12" s="209" t="n"/>
      <c r="D12" s="209" t="n"/>
      <c r="E12" s="209" t="n"/>
      <c r="F12" s="209" t="n"/>
      <c r="G12" s="209" t="n"/>
      <c r="H12" s="210" t="n"/>
      <c r="I12" s="59" t="n"/>
      <c r="J12" s="59" t="n"/>
      <c r="L12" s="109" t="n"/>
    </row>
    <row r="13" ht="25.5" customHeight="1" s="128">
      <c r="A13" s="180" t="n">
        <v>1</v>
      </c>
      <c r="B13" s="63" t="inlineStr">
        <is>
          <t>1-3-9</t>
        </is>
      </c>
      <c r="C13" s="185" t="inlineStr">
        <is>
          <t>Затраты труда рабочих-строителей среднего разряда (3,9)</t>
        </is>
      </c>
      <c r="D13" s="180" t="inlineStr">
        <is>
          <t>чел.-ч.</t>
        </is>
      </c>
      <c r="E13" s="120">
        <f>G13/F13</f>
        <v/>
      </c>
      <c r="F13" s="14" t="n">
        <v>9.51</v>
      </c>
      <c r="G13" s="14" t="n">
        <v>74793.81</v>
      </c>
      <c r="H13" s="193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51">
      <c r="A14" s="180" t="n"/>
      <c r="B14" s="180" t="n"/>
      <c r="C14" s="174" t="inlineStr">
        <is>
          <t>Итого по разделу "Затраты труда рабочих-строителей"</t>
        </is>
      </c>
      <c r="D14" s="180" t="inlineStr">
        <is>
          <t>чел.-ч.</t>
        </is>
      </c>
      <c r="E14" s="62">
        <f>SUM(E13:E13)</f>
        <v/>
      </c>
      <c r="F14" s="14" t="n"/>
      <c r="G14" s="14">
        <f>SUM(G13:G13)</f>
        <v/>
      </c>
      <c r="H14" s="193" t="n">
        <v>1</v>
      </c>
      <c r="I14" s="14" t="n"/>
      <c r="J14" s="14">
        <f>SUM(J13:J13)</f>
        <v/>
      </c>
      <c r="L14" s="110" t="n"/>
    </row>
    <row r="15" ht="14.25" customFormat="1" customHeight="1" s="151">
      <c r="A15" s="180" t="n"/>
      <c r="B15" s="185" t="inlineStr">
        <is>
          <t>Затраты труда машинистов</t>
        </is>
      </c>
      <c r="C15" s="209" t="n"/>
      <c r="D15" s="209" t="n"/>
      <c r="E15" s="209" t="n"/>
      <c r="F15" s="209" t="n"/>
      <c r="G15" s="209" t="n"/>
      <c r="H15" s="210" t="n"/>
      <c r="I15" s="59" t="n"/>
      <c r="J15" s="59" t="n"/>
      <c r="L15" s="109" t="n"/>
    </row>
    <row r="16" ht="14.25" customFormat="1" customHeight="1" s="151">
      <c r="A16" s="180" t="n">
        <v>2</v>
      </c>
      <c r="B16" s="180" t="n">
        <v>2</v>
      </c>
      <c r="C16" s="185" t="inlineStr">
        <is>
          <t>Затраты труда машинистов</t>
        </is>
      </c>
      <c r="D16" s="180" t="inlineStr">
        <is>
          <t>чел.-ч.</t>
        </is>
      </c>
      <c r="E16" s="62" t="n">
        <v>1092.19</v>
      </c>
      <c r="F16" s="14">
        <f>G16/E16</f>
        <v/>
      </c>
      <c r="G16" s="14" t="n">
        <v>11470.39</v>
      </c>
      <c r="H16" s="193" t="n">
        <v>1</v>
      </c>
      <c r="I16" s="14">
        <f>ROUND(F16*Прил.10!D10,2)</f>
        <v/>
      </c>
      <c r="J16" s="14">
        <f>ROUND(I16*E16,2)</f>
        <v/>
      </c>
      <c r="L16" s="74" t="n"/>
    </row>
    <row r="17" ht="14.25" customFormat="1" customHeight="1" s="151">
      <c r="A17" s="180" t="n"/>
      <c r="B17" s="174" t="inlineStr">
        <is>
          <t>Машины и механизмы</t>
        </is>
      </c>
      <c r="C17" s="209" t="n"/>
      <c r="D17" s="209" t="n"/>
      <c r="E17" s="209" t="n"/>
      <c r="F17" s="209" t="n"/>
      <c r="G17" s="209" t="n"/>
      <c r="H17" s="210" t="n"/>
      <c r="I17" s="193" t="n"/>
      <c r="J17" s="193" t="n"/>
    </row>
    <row r="18" ht="14.25" customFormat="1" customHeight="1" s="151">
      <c r="A18" s="180" t="n"/>
      <c r="B18" s="185" t="inlineStr">
        <is>
          <t>Основные машины и механизмы</t>
        </is>
      </c>
      <c r="C18" s="209" t="n"/>
      <c r="D18" s="209" t="n"/>
      <c r="E18" s="209" t="n"/>
      <c r="F18" s="209" t="n"/>
      <c r="G18" s="209" t="n"/>
      <c r="H18" s="210" t="n"/>
      <c r="I18" s="59" t="n"/>
      <c r="J18" s="59" t="n"/>
    </row>
    <row r="19" ht="25.5" customFormat="1" customHeight="1" s="151">
      <c r="A19" s="180" t="n">
        <v>3</v>
      </c>
      <c r="B19" s="63" t="inlineStr">
        <is>
          <t>91.06.06-042</t>
        </is>
      </c>
      <c r="C19" s="185" t="inlineStr">
        <is>
          <t>Подъемники гидравлические, высота подъема 10 м</t>
        </is>
      </c>
      <c r="D19" s="180" t="inlineStr">
        <is>
          <t>маш.-ч</t>
        </is>
      </c>
      <c r="E19" s="62" t="n">
        <v>906.79</v>
      </c>
      <c r="F19" s="199" t="n">
        <v>29.6</v>
      </c>
      <c r="G19" s="14">
        <f>ROUND(E19*F19,2)</f>
        <v/>
      </c>
      <c r="H19" s="193">
        <f>G19/$G$29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51">
      <c r="A20" s="180" t="n">
        <v>4</v>
      </c>
      <c r="B20" s="63" t="inlineStr">
        <is>
          <t>91.05.05-014</t>
        </is>
      </c>
      <c r="C20" s="185" t="inlineStr">
        <is>
          <t>Краны на автомобильном ходу, грузоподъемность 10 т</t>
        </is>
      </c>
      <c r="D20" s="180" t="inlineStr">
        <is>
          <t>маш.-ч</t>
        </is>
      </c>
      <c r="E20" s="62" t="n">
        <v>86.94</v>
      </c>
      <c r="F20" s="199" t="n">
        <v>111.99</v>
      </c>
      <c r="G20" s="14">
        <f>ROUND(E20*F20,2)</f>
        <v/>
      </c>
      <c r="H20" s="193">
        <f>G20/$G$29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51">
      <c r="A21" s="180" t="n">
        <v>5</v>
      </c>
      <c r="B21" s="63" t="inlineStr">
        <is>
          <t>91.17.04-233</t>
        </is>
      </c>
      <c r="C21" s="185" t="inlineStr">
        <is>
          <t>Установки для сварки ручной дуговой (постоянного тока)</t>
        </is>
      </c>
      <c r="D21" s="180" t="inlineStr">
        <is>
          <t>маш.-ч</t>
        </is>
      </c>
      <c r="E21" s="62" t="n">
        <v>734.6799999999999</v>
      </c>
      <c r="F21" s="199" t="n">
        <v>8.1</v>
      </c>
      <c r="G21" s="14">
        <f>ROUND(E21*F21,2)</f>
        <v/>
      </c>
      <c r="H21" s="193">
        <f>G21/$G$29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51">
      <c r="A22" s="180" t="n">
        <v>6</v>
      </c>
      <c r="B22" s="63" t="inlineStr">
        <is>
          <t>91.14.02-001</t>
        </is>
      </c>
      <c r="C22" s="185" t="inlineStr">
        <is>
          <t>Автомобили бортовые, грузоподъемность до 5 т</t>
        </is>
      </c>
      <c r="D22" s="180" t="inlineStr">
        <is>
          <t>маш.-ч</t>
        </is>
      </c>
      <c r="E22" s="62" t="n">
        <v>86.94</v>
      </c>
      <c r="F22" s="199" t="n">
        <v>65.70999999999999</v>
      </c>
      <c r="G22" s="14">
        <f>ROUND(E22*F22,2)</f>
        <v/>
      </c>
      <c r="H22" s="193">
        <f>G22/$G$29</f>
        <v/>
      </c>
      <c r="I22" s="14">
        <f>ROUND(F22*Прил.10!$D$11,2)</f>
        <v/>
      </c>
      <c r="J22" s="14">
        <f>ROUND(I22*E22,2)</f>
        <v/>
      </c>
    </row>
    <row r="23" ht="14.25" customFormat="1" customHeight="1" s="151">
      <c r="A23" s="180" t="n"/>
      <c r="B23" s="180" t="n"/>
      <c r="C23" s="185" t="inlineStr">
        <is>
          <t>Итого основные машины и механизмы</t>
        </is>
      </c>
      <c r="D23" s="180" t="n"/>
      <c r="E23" s="64" t="n"/>
      <c r="F23" s="14" t="n"/>
      <c r="G23" s="14">
        <f>SUM(G19:G22)</f>
        <v/>
      </c>
      <c r="H23" s="193">
        <f>G23/G29</f>
        <v/>
      </c>
      <c r="I23" s="14" t="n"/>
      <c r="J23" s="14">
        <f>SUM(J19:J22)</f>
        <v/>
      </c>
      <c r="L23" s="61" t="n"/>
    </row>
    <row r="24" hidden="1" outlineLevel="1" ht="25.5" customFormat="1" customHeight="1" s="151">
      <c r="A24" s="180" t="n">
        <v>7</v>
      </c>
      <c r="B24" s="63" t="inlineStr">
        <is>
          <t>91.05.04-010</t>
        </is>
      </c>
      <c r="C24" s="185" t="inlineStr">
        <is>
          <t>Краны мостовые электрические, грузоподъемность 50 т</t>
        </is>
      </c>
      <c r="D24" s="180" t="inlineStr">
        <is>
          <t>маш.-ч</t>
        </is>
      </c>
      <c r="E24" s="62" t="n">
        <v>11.52</v>
      </c>
      <c r="F24" s="199" t="n">
        <v>197.01</v>
      </c>
      <c r="G24" s="14">
        <f>ROUND(E24*F24,2)</f>
        <v/>
      </c>
      <c r="H24" s="193">
        <f>G24/$G$29</f>
        <v/>
      </c>
      <c r="I24" s="14">
        <f>ROUND(F24*Прил.10!$D$11,2)</f>
        <v/>
      </c>
      <c r="J24" s="14">
        <f>ROUND(I24*E24,2)</f>
        <v/>
      </c>
      <c r="L24" s="61" t="n"/>
    </row>
    <row r="25" hidden="1" outlineLevel="1" ht="25.5" customFormat="1" customHeight="1" s="151">
      <c r="A25" s="180" t="n">
        <v>8</v>
      </c>
      <c r="B25" s="63" t="inlineStr">
        <is>
          <t>91.17.04-161</t>
        </is>
      </c>
      <c r="C25" s="185" t="inlineStr">
        <is>
          <t>Полуавтоматы сварочные номинальным сварочным током 40-500 А</t>
        </is>
      </c>
      <c r="D25" s="180" t="inlineStr">
        <is>
          <t>маш.-ч</t>
        </is>
      </c>
      <c r="E25" s="62" t="n">
        <v>3.65</v>
      </c>
      <c r="F25" s="199" t="n">
        <v>16.44</v>
      </c>
      <c r="G25" s="14">
        <f>ROUND(E25*F25,2)</f>
        <v/>
      </c>
      <c r="H25" s="193">
        <f>G25/$G$29</f>
        <v/>
      </c>
      <c r="I25" s="14">
        <f>ROUND(F25*Прил.10!$D$11,2)</f>
        <v/>
      </c>
      <c r="J25" s="14">
        <f>ROUND(I25*E25,2)</f>
        <v/>
      </c>
      <c r="L25" s="61" t="n"/>
    </row>
    <row r="26" hidden="1" outlineLevel="1" ht="25.5" customFormat="1" customHeight="1" s="151">
      <c r="A26" s="180" t="n">
        <v>9</v>
      </c>
      <c r="B26" s="63" t="inlineStr">
        <is>
          <t>91.06.03-061</t>
        </is>
      </c>
      <c r="C26" s="185" t="inlineStr">
        <is>
          <t>Лебедки электрические тяговым усилием: до 12,26 кН (1,25 т)</t>
        </is>
      </c>
      <c r="D26" s="180" t="inlineStr">
        <is>
          <t>маш.-ч</t>
        </is>
      </c>
      <c r="E26" s="62" t="n">
        <v>0.02</v>
      </c>
      <c r="F26" s="199" t="n">
        <v>3.28</v>
      </c>
      <c r="G26" s="14">
        <f>ROUND(E26*F26,2)</f>
        <v/>
      </c>
      <c r="H26" s="193">
        <f>G26/$G$29</f>
        <v/>
      </c>
      <c r="I26" s="14">
        <f>ROUND(F26*Прил.10!$D$11,2)</f>
        <v/>
      </c>
      <c r="J26" s="14">
        <f>ROUND(I26*E26,2)</f>
        <v/>
      </c>
      <c r="L26" s="61" t="n"/>
    </row>
    <row r="27" hidden="1" outlineLevel="1" ht="25.5" customFormat="1" customHeight="1" s="151">
      <c r="A27" s="180" t="n">
        <v>10</v>
      </c>
      <c r="B27" s="63" t="inlineStr">
        <is>
          <t>91.06.01-003</t>
        </is>
      </c>
      <c r="C27" s="185" t="inlineStr">
        <is>
          <t>Домкраты гидравлические, грузоподъемность 63-100 т</t>
        </is>
      </c>
      <c r="D27" s="180" t="inlineStr">
        <is>
          <t>маш.-ч</t>
        </is>
      </c>
      <c r="E27" s="62" t="n">
        <v>0.02</v>
      </c>
      <c r="F27" s="199" t="n">
        <v>0.9</v>
      </c>
      <c r="G27" s="14">
        <f>ROUND(E27*F27,2)</f>
        <v/>
      </c>
      <c r="H27" s="193">
        <f>G27/$G$29</f>
        <v/>
      </c>
      <c r="I27" s="14">
        <f>ROUND(F27*Прил.10!$D$11,2)</f>
        <v/>
      </c>
      <c r="J27" s="14">
        <f>ROUND(I27*E27,2)</f>
        <v/>
      </c>
      <c r="L27" s="61" t="n"/>
    </row>
    <row r="28" collapsed="1" ht="14.25" customFormat="1" customHeight="1" s="151">
      <c r="A28" s="180" t="n"/>
      <c r="B28" s="180" t="n"/>
      <c r="C28" s="185" t="inlineStr">
        <is>
          <t>Итого прочие машины и механизмы</t>
        </is>
      </c>
      <c r="D28" s="180" t="n"/>
      <c r="E28" s="186" t="n"/>
      <c r="F28" s="14" t="n"/>
      <c r="G28" s="14">
        <f>SUM(G24:G27)</f>
        <v/>
      </c>
      <c r="H28" s="193">
        <f>G28/G29</f>
        <v/>
      </c>
      <c r="I28" s="14" t="n"/>
      <c r="J28" s="14">
        <f>SUM(J24:J27)</f>
        <v/>
      </c>
      <c r="K28" s="61" t="n"/>
      <c r="L28" s="109" t="n"/>
    </row>
    <row r="29" ht="25.5" customFormat="1" customHeight="1" s="151">
      <c r="A29" s="180" t="n"/>
      <c r="B29" s="181" t="n"/>
      <c r="C29" s="67" t="inlineStr">
        <is>
          <t>Итого по разделу «Машины и механизмы»</t>
        </is>
      </c>
      <c r="D29" s="181" t="n"/>
      <c r="E29" s="68" t="n"/>
      <c r="F29" s="69" t="n"/>
      <c r="G29" s="69">
        <f>G23+G28</f>
        <v/>
      </c>
      <c r="H29" s="70" t="n">
        <v>1</v>
      </c>
      <c r="I29" s="69" t="n"/>
      <c r="J29" s="69">
        <f>J23+J28</f>
        <v/>
      </c>
    </row>
    <row r="30">
      <c r="A30" s="183" t="n"/>
      <c r="B30" s="174" t="inlineStr">
        <is>
          <t xml:space="preserve">Оборудование </t>
        </is>
      </c>
      <c r="C30" s="209" t="n"/>
      <c r="D30" s="209" t="n"/>
      <c r="E30" s="209" t="n"/>
      <c r="F30" s="209" t="n"/>
      <c r="G30" s="209" t="n"/>
      <c r="H30" s="209" t="n"/>
      <c r="I30" s="209" t="n"/>
      <c r="J30" s="210" t="n"/>
    </row>
    <row r="31" ht="15" customHeight="1" s="128">
      <c r="A31" s="180" t="n"/>
      <c r="B31" s="194" t="inlineStr">
        <is>
          <t>Основное оборудование</t>
        </is>
      </c>
    </row>
    <row r="32" ht="51.6" customHeight="1" s="128">
      <c r="A32" s="180" t="n">
        <v>11</v>
      </c>
      <c r="B32" s="63" t="inlineStr">
        <is>
          <t>БЦ.30_1.161</t>
        </is>
      </c>
      <c r="C32" s="185" t="inlineStr">
        <is>
          <t>Шкаф группового управления тремя одпополюсными разъединителями без ЗН, или группового управления тремя одпополюсными ЗН</t>
        </is>
      </c>
      <c r="D32" s="180" t="inlineStr">
        <is>
          <t>шт</t>
        </is>
      </c>
      <c r="E32" s="62" t="n">
        <v>52</v>
      </c>
      <c r="F32" s="115">
        <f>I32/Прил.10!$D$13</f>
        <v/>
      </c>
      <c r="G32" s="14">
        <f>ROUND(E32*F32,2)</f>
        <v/>
      </c>
      <c r="H32" s="193">
        <f>G32/$G$44</f>
        <v/>
      </c>
      <c r="I32" s="14" t="n">
        <v>345000</v>
      </c>
      <c r="J32" s="14">
        <f>ROUND(I32*E32,2)</f>
        <v/>
      </c>
    </row>
    <row r="33" ht="51.6" customHeight="1" s="128">
      <c r="A33" s="180" t="n">
        <v>12</v>
      </c>
      <c r="B33" s="180" t="inlineStr">
        <is>
          <t>БЦ.30_1.32</t>
        </is>
      </c>
      <c r="C33" s="185" t="inlineStr">
        <is>
          <t>Дифференциально-фазная защита ЛЭП  330 – 750 кВ с комплектом ступенчатых защит и обменом разрешающими сигналами</t>
        </is>
      </c>
      <c r="D33" s="180" t="inlineStr">
        <is>
          <t>шт</t>
        </is>
      </c>
      <c r="E33" s="62" t="n">
        <v>8</v>
      </c>
      <c r="F33" s="115">
        <f>I33/Прил.10!$D$13</f>
        <v/>
      </c>
      <c r="G33" s="14">
        <f>ROUND(E33*F33,2)</f>
        <v/>
      </c>
      <c r="H33" s="193">
        <f>G33/$G$44</f>
        <v/>
      </c>
      <c r="I33" s="14" t="n">
        <v>1817460</v>
      </c>
      <c r="J33" s="14">
        <f>ROUND(I33*E33,2)</f>
        <v/>
      </c>
    </row>
    <row r="34" ht="25.9" customHeight="1" s="128">
      <c r="A34" s="180" t="n">
        <v>13</v>
      </c>
      <c r="B34" s="63" t="inlineStr">
        <is>
          <t>БЦ.30_1.66</t>
        </is>
      </c>
      <c r="C34" s="185" t="inlineStr">
        <is>
          <t>Шкаф организации ЦН двух ТН с резервированием от одного источника</t>
        </is>
      </c>
      <c r="D34" s="180" t="inlineStr">
        <is>
          <t>шт</t>
        </is>
      </c>
      <c r="E34" s="62" t="n">
        <v>6</v>
      </c>
      <c r="F34" s="115">
        <f>I34/Прил.10!$D$13</f>
        <v/>
      </c>
      <c r="G34" s="14">
        <f>ROUND(E34*F34,2)</f>
        <v/>
      </c>
      <c r="H34" s="193">
        <f>G34/$G$44</f>
        <v/>
      </c>
      <c r="I34" s="14" t="n">
        <v>2086560</v>
      </c>
      <c r="J34" s="14">
        <f>ROUND(I34*E34,2)</f>
        <v/>
      </c>
    </row>
    <row r="35" ht="25.9" customHeight="1" s="128">
      <c r="A35" s="180" t="n">
        <v>14</v>
      </c>
      <c r="B35" s="180" t="inlineStr">
        <is>
          <t>БЦ.30_1.21</t>
        </is>
      </c>
      <c r="C35" s="185" t="inlineStr">
        <is>
          <t>Автоматика управления выключателем 330 – 750 кВ, УРОВ</t>
        </is>
      </c>
      <c r="D35" s="180" t="inlineStr">
        <is>
          <t>шт</t>
        </is>
      </c>
      <c r="E35" s="62" t="n">
        <v>6</v>
      </c>
      <c r="F35" s="115">
        <f>I35/Прил.10!$D$13</f>
        <v/>
      </c>
      <c r="G35" s="14">
        <f>ROUND(E35*F35,2)</f>
        <v/>
      </c>
      <c r="H35" s="193">
        <f>G35/$G$44</f>
        <v/>
      </c>
      <c r="I35" s="14" t="n">
        <v>1666005</v>
      </c>
      <c r="J35" s="14">
        <f>ROUND(I35*E35,2)</f>
        <v/>
      </c>
    </row>
    <row r="36" ht="25.9" customHeight="1" s="128">
      <c r="A36" s="180" t="n">
        <v>15</v>
      </c>
      <c r="B36" s="180" t="inlineStr">
        <is>
          <t>БЦ.30_1.15</t>
        </is>
      </c>
      <c r="C36" s="185" t="inlineStr">
        <is>
          <t>Дифференциальная защита сборных шин  330 – 750 кВ</t>
        </is>
      </c>
      <c r="D36" s="180" t="inlineStr">
        <is>
          <t>шт</t>
        </is>
      </c>
      <c r="E36" s="62" t="n">
        <v>4</v>
      </c>
      <c r="F36" s="115">
        <f>I36/Прил.10!$D$13</f>
        <v/>
      </c>
      <c r="G36" s="14">
        <f>ROUND(E36*F36,2)</f>
        <v/>
      </c>
      <c r="H36" s="193">
        <f>G36/$G$44</f>
        <v/>
      </c>
      <c r="I36" s="14" t="n">
        <v>2241120</v>
      </c>
      <c r="J36" s="14">
        <f>ROUND(I36*E36,2)</f>
        <v/>
      </c>
    </row>
    <row r="37" ht="38.85" customHeight="1" s="128">
      <c r="A37" s="180" t="n">
        <v>16</v>
      </c>
      <c r="B37" s="180" t="inlineStr">
        <is>
          <t>БЦ.30_1.34</t>
        </is>
      </c>
      <c r="C37" s="185" t="inlineStr">
        <is>
          <t>Комплект ступенчатых защит ЛЭП  330 – 750 кВ с обменом разрешающими сигналами</t>
        </is>
      </c>
      <c r="D37" s="180" t="inlineStr">
        <is>
          <t>шт</t>
        </is>
      </c>
      <c r="E37" s="62" t="n">
        <v>4</v>
      </c>
      <c r="F37" s="115">
        <f>I37/Прил.10!$D$13</f>
        <v/>
      </c>
      <c r="G37" s="14">
        <f>ROUND(E37*F37,2)</f>
        <v/>
      </c>
      <c r="H37" s="193">
        <f>G37/$G$44</f>
        <v/>
      </c>
      <c r="I37" s="14" t="n">
        <v>1666005</v>
      </c>
      <c r="J37" s="14">
        <f>ROUND(I37*E37,2)</f>
        <v/>
      </c>
    </row>
    <row r="38">
      <c r="A38" s="180" t="n"/>
      <c r="B38" s="180" t="n"/>
      <c r="C38" s="185" t="inlineStr">
        <is>
          <t>Итого основное оборудование</t>
        </is>
      </c>
      <c r="D38" s="180" t="n"/>
      <c r="E38" s="62" t="n"/>
      <c r="F38" s="187" t="n"/>
      <c r="G38" s="14">
        <f>SUM(G32:G37)</f>
        <v/>
      </c>
      <c r="H38" s="193">
        <f>G38/$G$44</f>
        <v/>
      </c>
      <c r="I38" s="14" t="n"/>
      <c r="J38" s="14">
        <f>SUM(J32:J37)</f>
        <v/>
      </c>
      <c r="K38" s="61" t="n"/>
    </row>
    <row r="39" outlineLevel="1" s="128">
      <c r="A39" s="180" t="n">
        <v>17</v>
      </c>
      <c r="B39" s="63" t="inlineStr">
        <is>
          <t>БЦ.30_1.144</t>
        </is>
      </c>
      <c r="C39" s="185" t="inlineStr">
        <is>
          <t>Шкаф зажимов ТН типа ШЗН-1А</t>
        </is>
      </c>
      <c r="D39" s="180" t="inlineStr">
        <is>
          <t>шт</t>
        </is>
      </c>
      <c r="E39" s="62" t="n">
        <v>12</v>
      </c>
      <c r="F39" s="115">
        <f>I39/Прил.10!$D$13</f>
        <v/>
      </c>
      <c r="G39" s="14">
        <f>ROUND(E39*F39,2)</f>
        <v/>
      </c>
      <c r="H39" s="193">
        <f>G39/$G$44</f>
        <v/>
      </c>
      <c r="I39" s="14" t="n">
        <v>345000</v>
      </c>
      <c r="J39" s="14">
        <f>ROUND(I39*E39,2)</f>
        <v/>
      </c>
      <c r="K39" s="61" t="n"/>
    </row>
    <row r="40" outlineLevel="1" ht="25.9" customHeight="1" s="128">
      <c r="A40" s="180" t="n">
        <v>18</v>
      </c>
      <c r="B40" s="180" t="inlineStr">
        <is>
          <t>БЦ.30_1.122</t>
        </is>
      </c>
      <c r="C40" s="185" t="inlineStr">
        <is>
          <t>Шкаф определения места повреждения по волновому методу для 1 присоединения</t>
        </is>
      </c>
      <c r="D40" s="180" t="inlineStr">
        <is>
          <t>шт</t>
        </is>
      </c>
      <c r="E40" s="62" t="n">
        <v>4</v>
      </c>
      <c r="F40" s="115">
        <f>I40/Прил.10!$D$13</f>
        <v/>
      </c>
      <c r="G40" s="14">
        <f>ROUND(E40*F40,2)</f>
        <v/>
      </c>
      <c r="H40" s="193">
        <f>G40/$G$44</f>
        <v/>
      </c>
      <c r="I40" s="14" t="n">
        <v>2887400</v>
      </c>
      <c r="J40" s="14">
        <f>ROUND(I40*E40,2)</f>
        <v/>
      </c>
      <c r="K40" s="61" t="n"/>
    </row>
    <row r="41" outlineLevel="1" ht="25.9" customHeight="1" s="128">
      <c r="A41" s="180" t="n">
        <v>19</v>
      </c>
      <c r="B41" s="63" t="inlineStr">
        <is>
          <t>БЦ.30_1.152</t>
        </is>
      </c>
      <c r="C41" s="185" t="inlineStr">
        <is>
          <t>Шкаф зажимов выключателя типа ШЗВ-200</t>
        </is>
      </c>
      <c r="D41" s="180" t="inlineStr">
        <is>
          <t>шт</t>
        </is>
      </c>
      <c r="E41" s="62" t="n">
        <v>6</v>
      </c>
      <c r="F41" s="115">
        <f>I41/Прил.10!$D$13</f>
        <v/>
      </c>
      <c r="G41" s="14">
        <f>ROUND(E41*F41,2)</f>
        <v/>
      </c>
      <c r="H41" s="193">
        <f>G41/$G$44</f>
        <v/>
      </c>
      <c r="I41" s="14" t="n">
        <v>310500</v>
      </c>
      <c r="J41" s="14">
        <f>ROUND(I41*E41,2)</f>
        <v/>
      </c>
      <c r="K41" s="61" t="n"/>
    </row>
    <row r="42" outlineLevel="1" ht="25.5" customHeight="1" s="128">
      <c r="A42" s="180" t="n">
        <v>20</v>
      </c>
      <c r="B42" s="63" t="inlineStr">
        <is>
          <t>БЦ.30_1.149</t>
        </is>
      </c>
      <c r="C42" s="185" t="inlineStr">
        <is>
          <t>Ящик зажимов ТТ типа ЯЗ-60 (или ШЗВ-60)</t>
        </is>
      </c>
      <c r="D42" s="180" t="inlineStr">
        <is>
          <t>шт</t>
        </is>
      </c>
      <c r="E42" s="62" t="n">
        <v>10</v>
      </c>
      <c r="F42" s="115">
        <f>I42/Прил.10!$D$13</f>
        <v/>
      </c>
      <c r="G42" s="14">
        <f>ROUND(E42*F42,2)</f>
        <v/>
      </c>
      <c r="H42" s="193">
        <f>G42/$G$44</f>
        <v/>
      </c>
      <c r="I42" s="14" t="n">
        <v>138000</v>
      </c>
      <c r="J42" s="14">
        <f>ROUND(I42*E42,2)</f>
        <v/>
      </c>
      <c r="K42" s="61" t="n"/>
    </row>
    <row r="43">
      <c r="A43" s="180" t="n"/>
      <c r="B43" s="180" t="n"/>
      <c r="C43" s="185" t="inlineStr">
        <is>
          <t>Итого прочее оборудование</t>
        </is>
      </c>
      <c r="D43" s="180" t="n"/>
      <c r="E43" s="186" t="n"/>
      <c r="F43" s="187" t="n"/>
      <c r="G43" s="14">
        <f>SUM(G39:G42)</f>
        <v/>
      </c>
      <c r="H43" s="193">
        <f>G43/$G$44</f>
        <v/>
      </c>
      <c r="I43" s="14" t="n"/>
      <c r="J43" s="14">
        <f>SUM(J39:J42)</f>
        <v/>
      </c>
      <c r="K43" s="61" t="n"/>
      <c r="L43" s="109" t="n"/>
    </row>
    <row r="44">
      <c r="A44" s="180" t="n"/>
      <c r="B44" s="180" t="n"/>
      <c r="C44" s="174" t="inlineStr">
        <is>
          <t>Итого по разделу «Оборудование»</t>
        </is>
      </c>
      <c r="D44" s="180" t="n"/>
      <c r="E44" s="186" t="n"/>
      <c r="F44" s="187" t="n"/>
      <c r="G44" s="14">
        <f>G38+G43</f>
        <v/>
      </c>
      <c r="H44" s="193">
        <f>(G38+G43)/G44</f>
        <v/>
      </c>
      <c r="I44" s="14" t="n"/>
      <c r="J44" s="14">
        <f>J43+J38</f>
        <v/>
      </c>
      <c r="K44" s="61" t="n"/>
    </row>
    <row r="45" ht="25.5" customHeight="1" s="128">
      <c r="A45" s="180" t="n"/>
      <c r="B45" s="180" t="n"/>
      <c r="C45" s="185" t="inlineStr">
        <is>
          <t>в том числе технологическое оборудование</t>
        </is>
      </c>
      <c r="D45" s="180" t="n"/>
      <c r="E45" s="186" t="n"/>
      <c r="F45" s="187" t="n"/>
      <c r="G45" s="14">
        <f>'Прил.6 Расчет ОБ'!G24</f>
        <v/>
      </c>
      <c r="H45" s="193">
        <f>G45/$G$44</f>
        <v/>
      </c>
      <c r="I45" s="14" t="n"/>
      <c r="J45" s="14">
        <f>ROUND(G45*Прил.10!$D$13,2)</f>
        <v/>
      </c>
      <c r="K45" s="61" t="n"/>
    </row>
    <row r="46" ht="14.25" customFormat="1" customHeight="1" s="151">
      <c r="A46" s="180" t="n"/>
      <c r="B46" s="213" t="inlineStr">
        <is>
          <t>Материалы</t>
        </is>
      </c>
      <c r="J46" s="214" t="n"/>
      <c r="K46" s="61" t="n"/>
    </row>
    <row r="47" ht="14.25" customFormat="1" customHeight="1" s="151">
      <c r="A47" s="180" t="n"/>
      <c r="B47" s="185" t="inlineStr">
        <is>
          <t>Основные материалы</t>
        </is>
      </c>
      <c r="C47" s="209" t="n"/>
      <c r="D47" s="209" t="n"/>
      <c r="E47" s="209" t="n"/>
      <c r="F47" s="209" t="n"/>
      <c r="G47" s="209" t="n"/>
      <c r="H47" s="210" t="n"/>
      <c r="I47" s="193" t="n"/>
      <c r="J47" s="193" t="n"/>
    </row>
    <row r="48" ht="38.25" customFormat="1" customHeight="1" s="151">
      <c r="A48" s="180" t="n">
        <v>21</v>
      </c>
      <c r="B48" s="63" t="inlineStr">
        <is>
          <t>20.2.04.04-0001</t>
        </is>
      </c>
      <c r="C48" s="185" t="inlineStr">
        <is>
          <t>Короб кабельный прямой из оцинкованный стали толщиной 1,5 мм, размер 2000х150х100 мм, 1-канальный</t>
        </is>
      </c>
      <c r="D48" s="180" t="inlineStr">
        <is>
          <t>шт</t>
        </is>
      </c>
      <c r="E48" s="62" t="n">
        <v>6480</v>
      </c>
      <c r="F48" s="199" t="n">
        <v>157.3</v>
      </c>
      <c r="G48" s="14">
        <f>ROUND(E48*F48,2)</f>
        <v/>
      </c>
      <c r="H48" s="193">
        <f>G48/$G$91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51">
      <c r="A49" s="180" t="n">
        <v>22</v>
      </c>
      <c r="B49" s="63" t="inlineStr">
        <is>
          <t>21.1.06.09-0166</t>
        </is>
      </c>
      <c r="C49" s="185" t="inlineStr">
        <is>
          <t>Кабель силовой с медными жилами ВВГнг(A)-LS 4х25-660</t>
        </is>
      </c>
      <c r="D49" s="180" t="inlineStr">
        <is>
          <t>1000 м</t>
        </is>
      </c>
      <c r="E49" s="62" t="n">
        <v>10.1232</v>
      </c>
      <c r="F49" s="199" t="n">
        <v>88071.37</v>
      </c>
      <c r="G49" s="14">
        <f>ROUND(E49*F49,2)</f>
        <v/>
      </c>
      <c r="H49" s="193">
        <f>G49/$G$91</f>
        <v/>
      </c>
      <c r="I49" s="14">
        <f>ROUND(F49*Прил.10!$D$12,2)</f>
        <v/>
      </c>
      <c r="J49" s="14">
        <f>ROUND(I49*E49,2)</f>
        <v/>
      </c>
    </row>
    <row r="50" ht="25.5" customFormat="1" customHeight="1" s="151">
      <c r="A50" s="180" t="n">
        <v>23</v>
      </c>
      <c r="B50" s="63" t="inlineStr">
        <is>
          <t>07.2.07.04-0007</t>
        </is>
      </c>
      <c r="C50" s="185" t="inlineStr">
        <is>
          <t>Конструкции стальные индивидуальные решетчатые сварные, масса до 0,1 т</t>
        </is>
      </c>
      <c r="D50" s="180" t="inlineStr">
        <is>
          <t>т</t>
        </is>
      </c>
      <c r="E50" s="62" t="n">
        <v>55.44</v>
      </c>
      <c r="F50" s="199" t="n">
        <v>11500</v>
      </c>
      <c r="G50" s="14">
        <f>ROUND(E50*F50,2)</f>
        <v/>
      </c>
      <c r="H50" s="193">
        <f>G50/$G$91</f>
        <v/>
      </c>
      <c r="I50" s="14">
        <f>ROUND(F50*Прил.10!$D$12,2)</f>
        <v/>
      </c>
      <c r="J50" s="14">
        <f>ROUND(I50*E50,2)</f>
        <v/>
      </c>
    </row>
    <row r="51" ht="25.5" customFormat="1" customHeight="1" s="151">
      <c r="A51" s="180" t="n">
        <v>24</v>
      </c>
      <c r="B51" s="63" t="inlineStr">
        <is>
          <t>21.1.08.03-0587</t>
        </is>
      </c>
      <c r="C51" s="185" t="inlineStr">
        <is>
          <t>Кабель контрольный КВВГЭнг(A)-LS 10х2,5</t>
        </is>
      </c>
      <c r="D51" s="180" t="inlineStr">
        <is>
          <t>1000 м</t>
        </is>
      </c>
      <c r="E51" s="62" t="n">
        <v>8.1</v>
      </c>
      <c r="F51" s="199" t="n">
        <v>67943.28999999999</v>
      </c>
      <c r="G51" s="14">
        <f>ROUND(E51*F51,2)</f>
        <v/>
      </c>
      <c r="H51" s="193">
        <f>G51/$G$91</f>
        <v/>
      </c>
      <c r="I51" s="14">
        <f>ROUND(F51*Прил.10!$D$12,2)</f>
        <v/>
      </c>
      <c r="J51" s="14">
        <f>ROUND(I51*E51,2)</f>
        <v/>
      </c>
    </row>
    <row r="52" ht="14.25" customFormat="1" customHeight="1" s="151">
      <c r="A52" s="180" t="n"/>
      <c r="B52" s="180" t="n"/>
      <c r="C52" s="185" t="inlineStr">
        <is>
          <t>Итого основные материалы</t>
        </is>
      </c>
      <c r="D52" s="180" t="n"/>
      <c r="E52" s="62" t="n"/>
      <c r="F52" s="187" t="n"/>
      <c r="G52" s="14">
        <f>SUM(G48:G51)</f>
        <v/>
      </c>
      <c r="H52" s="193">
        <f>G52/$G$91</f>
        <v/>
      </c>
      <c r="I52" s="14" t="n"/>
      <c r="J52" s="14">
        <f>SUM(J48:J51)</f>
        <v/>
      </c>
      <c r="K52" s="61" t="n"/>
    </row>
    <row r="53" hidden="1" outlineLevel="1" ht="25.5" customFormat="1" customHeight="1" s="151">
      <c r="A53" s="180" t="n">
        <v>25</v>
      </c>
      <c r="B53" s="63" t="inlineStr">
        <is>
          <t>21.1.06.09-0111</t>
        </is>
      </c>
      <c r="C53" s="185" t="inlineStr">
        <is>
          <t>Кабель силовой с медными жилами ВВГнг 4х6-660</t>
        </is>
      </c>
      <c r="D53" s="180" t="inlineStr">
        <is>
          <t>1000 м</t>
        </is>
      </c>
      <c r="E53" s="62" t="n">
        <v>8.1</v>
      </c>
      <c r="F53" s="199" t="n">
        <v>14867.6</v>
      </c>
      <c r="G53" s="14">
        <f>ROUND(F53*E53,2)</f>
        <v/>
      </c>
      <c r="H53" s="193">
        <f>G53/$G$91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51">
      <c r="A54" s="180" t="n">
        <v>26</v>
      </c>
      <c r="B54" s="63" t="inlineStr">
        <is>
          <t>01.7.11.07-0034</t>
        </is>
      </c>
      <c r="C54" s="185" t="inlineStr">
        <is>
          <t>Электроды диаметром: 4 мм Э42А</t>
        </is>
      </c>
      <c r="D54" s="180" t="inlineStr">
        <is>
          <t>кг</t>
        </is>
      </c>
      <c r="E54" s="62" t="n">
        <v>2086.872</v>
      </c>
      <c r="F54" s="199" t="n">
        <v>10.57</v>
      </c>
      <c r="G54" s="14">
        <f>ROUND(F54*E54,2)</f>
        <v/>
      </c>
      <c r="H54" s="193">
        <f>G54/$G$91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51">
      <c r="A55" s="180" t="n">
        <v>27</v>
      </c>
      <c r="B55" s="63" t="inlineStr">
        <is>
          <t>20.2.08.07-0033</t>
        </is>
      </c>
      <c r="C55" s="185" t="inlineStr">
        <is>
          <t>Скоба: У1078</t>
        </is>
      </c>
      <c r="D55" s="180" t="inlineStr">
        <is>
          <t>100 шт</t>
        </is>
      </c>
      <c r="E55" s="62" t="n">
        <v>29.616</v>
      </c>
      <c r="F55" s="199" t="n">
        <v>617</v>
      </c>
      <c r="G55" s="14">
        <f>ROUND(F55*E55,2)</f>
        <v/>
      </c>
      <c r="H55" s="193">
        <f>G55/$G$91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51">
      <c r="A56" s="180" t="n">
        <v>28</v>
      </c>
      <c r="B56" s="63" t="inlineStr">
        <is>
          <t>01.7.15.03-0042</t>
        </is>
      </c>
      <c r="C56" s="185" t="inlineStr">
        <is>
          <t>Болты с гайками и шайбами строительные</t>
        </is>
      </c>
      <c r="D56" s="180" t="inlineStr">
        <is>
          <t>кг</t>
        </is>
      </c>
      <c r="E56" s="62" t="n">
        <v>1732.9176</v>
      </c>
      <c r="F56" s="199" t="n">
        <v>9.039999999999999</v>
      </c>
      <c r="G56" s="14">
        <f>ROUND(F56*E56,2)</f>
        <v/>
      </c>
      <c r="H56" s="193">
        <f>G56/$G$91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51">
      <c r="A57" s="180" t="n">
        <v>29</v>
      </c>
      <c r="B57" s="63" t="inlineStr">
        <is>
          <t>01.7.15.07-0014</t>
        </is>
      </c>
      <c r="C57" s="185" t="inlineStr">
        <is>
          <t>Дюбели распорные полипропиленовые</t>
        </is>
      </c>
      <c r="D57" s="180" t="inlineStr">
        <is>
          <t>100 шт</t>
        </is>
      </c>
      <c r="E57" s="62" t="n">
        <v>107.7696</v>
      </c>
      <c r="F57" s="199" t="n">
        <v>86</v>
      </c>
      <c r="G57" s="14">
        <f>ROUND(F57*E57,2)</f>
        <v/>
      </c>
      <c r="H57" s="193">
        <f>G57/$G$91</f>
        <v/>
      </c>
      <c r="I57" s="14">
        <f>ROUND(F57*Прил.10!$D$12,2)</f>
        <v/>
      </c>
      <c r="J57" s="14">
        <f>ROUND(I57*E57,2)</f>
        <v/>
      </c>
    </row>
    <row r="58" hidden="1" outlineLevel="1" ht="38.25" customFormat="1" customHeight="1" s="151">
      <c r="A58" s="180" t="n">
        <v>30</v>
      </c>
      <c r="B58" s="63" t="inlineStr">
        <is>
          <t>20.5.02.02-0001</t>
        </is>
      </c>
      <c r="C58" s="185" t="inlineStr">
        <is>
          <t>Коробка клеммная взрывозащищенная SA141410(1C10-1N-1PE- 1C2-1N-1PE-1FL3(C)-1FL2(C) 2Exel IT6, IP66</t>
        </is>
      </c>
      <c r="D58" s="180" t="inlineStr">
        <is>
          <t>шт.</t>
        </is>
      </c>
      <c r="E58" s="62" t="n">
        <v>2.4</v>
      </c>
      <c r="F58" s="199" t="n">
        <v>2639.24</v>
      </c>
      <c r="G58" s="14">
        <f>ROUND(F58*E58,2)</f>
        <v/>
      </c>
      <c r="H58" s="193">
        <f>G58/$G$91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51">
      <c r="A59" s="180" t="n">
        <v>31</v>
      </c>
      <c r="B59" s="63" t="inlineStr">
        <is>
          <t>14.4.02.09-0001</t>
        </is>
      </c>
      <c r="C59" s="185" t="inlineStr">
        <is>
          <t>Краска</t>
        </is>
      </c>
      <c r="D59" s="180" t="inlineStr">
        <is>
          <t>кг</t>
        </is>
      </c>
      <c r="E59" s="62" t="n">
        <v>168.384</v>
      </c>
      <c r="F59" s="199" t="n">
        <v>28.6</v>
      </c>
      <c r="G59" s="14">
        <f>ROUND(F59*E59,2)</f>
        <v/>
      </c>
      <c r="H59" s="193">
        <f>G59/$G$91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51">
      <c r="A60" s="180" t="n">
        <v>32</v>
      </c>
      <c r="B60" s="63" t="inlineStr">
        <is>
          <t>01.7.15.07-0031</t>
        </is>
      </c>
      <c r="C60" s="185" t="inlineStr">
        <is>
          <t>Дюбели распорные с гайкой</t>
        </is>
      </c>
      <c r="D60" s="180" t="inlineStr">
        <is>
          <t>100 шт</t>
        </is>
      </c>
      <c r="E60" s="62" t="n">
        <v>43.104</v>
      </c>
      <c r="F60" s="199" t="n">
        <v>110</v>
      </c>
      <c r="G60" s="14">
        <f>ROUND(F60*E60,2)</f>
        <v/>
      </c>
      <c r="H60" s="193">
        <f>G60/$G$91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51">
      <c r="A61" s="180" t="n">
        <v>33</v>
      </c>
      <c r="B61" s="63" t="inlineStr">
        <is>
          <t>03.2.01.01-0003</t>
        </is>
      </c>
      <c r="C61" s="185" t="inlineStr">
        <is>
          <t>Портландцемент общестроительного назначения бездобавочный, марки: 500</t>
        </is>
      </c>
      <c r="D61" s="180" t="inlineStr">
        <is>
          <t>т</t>
        </is>
      </c>
      <c r="E61" s="62" t="n">
        <v>9.696</v>
      </c>
      <c r="F61" s="199" t="n">
        <v>480</v>
      </c>
      <c r="G61" s="14">
        <f>ROUND(F61*E61,2)</f>
        <v/>
      </c>
      <c r="H61" s="193">
        <f>G61/$G$91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51">
      <c r="A62" s="180" t="n">
        <v>34</v>
      </c>
      <c r="B62" s="63" t="inlineStr">
        <is>
          <t>999-9950</t>
        </is>
      </c>
      <c r="C62" s="185" t="inlineStr">
        <is>
          <t>Вспомогательные ненормируемые ресурсы (2% от Оплаты труда рабочих)</t>
        </is>
      </c>
      <c r="D62" s="180" t="inlineStr">
        <is>
          <t>руб.</t>
        </is>
      </c>
      <c r="E62" s="62" t="n">
        <v>2376.4104</v>
      </c>
      <c r="F62" s="199" t="n">
        <v>1</v>
      </c>
      <c r="G62" s="14">
        <f>ROUND(F62*E62,2)</f>
        <v/>
      </c>
      <c r="H62" s="193">
        <f>G62/$G$91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51">
      <c r="A63" s="180" t="n">
        <v>35</v>
      </c>
      <c r="B63" s="63" t="inlineStr">
        <is>
          <t>08.1.02.13-0005</t>
        </is>
      </c>
      <c r="C63" s="185" t="inlineStr">
        <is>
          <t>Рукава металлические диаметром 15 мм РЗ-Ц-Х</t>
        </is>
      </c>
      <c r="D63" s="180" t="inlineStr">
        <is>
          <t>м</t>
        </is>
      </c>
      <c r="E63" s="62" t="n">
        <v>216</v>
      </c>
      <c r="F63" s="199" t="n">
        <v>8.279999999999999</v>
      </c>
      <c r="G63" s="14">
        <f>ROUND(F63*E63,2)</f>
        <v/>
      </c>
      <c r="H63" s="193">
        <f>G63/$G$91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51">
      <c r="A64" s="180" t="n">
        <v>36</v>
      </c>
      <c r="B64" s="63" t="inlineStr">
        <is>
          <t>08.3.07.01-0076</t>
        </is>
      </c>
      <c r="C64" s="185" t="inlineStr">
        <is>
          <t>Сталь полосовая, марка стали: Ст3сп шириной 50-200 мм толщиной 4-5 мм</t>
        </is>
      </c>
      <c r="D64" s="180" t="inlineStr">
        <is>
          <t>т</t>
        </is>
      </c>
      <c r="E64" s="62" t="n">
        <v>0.14952</v>
      </c>
      <c r="F64" s="199" t="n">
        <v>5000</v>
      </c>
      <c r="G64" s="14">
        <f>ROUND(F64*E64,2)</f>
        <v/>
      </c>
      <c r="H64" s="193">
        <f>G64/$G$91</f>
        <v/>
      </c>
      <c r="I64" s="14">
        <f>ROUND(F64*Прил.10!$D$12,2)</f>
        <v/>
      </c>
      <c r="J64" s="14">
        <f>ROUND(I64*E64,2)</f>
        <v/>
      </c>
    </row>
    <row r="65" hidden="1" outlineLevel="1" ht="38.25" customFormat="1" customHeight="1" s="151">
      <c r="A65" s="180" t="n">
        <v>37</v>
      </c>
      <c r="B65" s="63" t="inlineStr">
        <is>
          <t>21.2.01.02-0141</t>
        </is>
      </c>
      <c r="C65" s="185" t="inlineStr">
        <is>
          <t>Провода неизолированные для воздушных линий электропередачи медные марки: М, сечением 4 мм2</t>
        </is>
      </c>
      <c r="D65" s="180" t="inlineStr">
        <is>
          <t>т</t>
        </is>
      </c>
      <c r="E65" s="62" t="n">
        <v>0.00696</v>
      </c>
      <c r="F65" s="199" t="n">
        <v>96440</v>
      </c>
      <c r="G65" s="14">
        <f>ROUND(F65*E65,2)</f>
        <v/>
      </c>
      <c r="H65" s="193">
        <f>G65/$G$91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51">
      <c r="A66" s="180" t="n">
        <v>38</v>
      </c>
      <c r="B66" s="63" t="inlineStr">
        <is>
          <t>18.5.08.09-0001</t>
        </is>
      </c>
      <c r="C66" s="185" t="inlineStr">
        <is>
          <t>Патрубки</t>
        </is>
      </c>
      <c r="D66" s="180" t="inlineStr">
        <is>
          <t>10 шт</t>
        </is>
      </c>
      <c r="E66" s="62" t="n">
        <v>2.16</v>
      </c>
      <c r="F66" s="199" t="n">
        <v>277.5</v>
      </c>
      <c r="G66" s="14">
        <f>ROUND(F66*E66,2)</f>
        <v/>
      </c>
      <c r="H66" s="193">
        <f>G66/$G$91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51">
      <c r="A67" s="180" t="n">
        <v>39</v>
      </c>
      <c r="B67" s="63" t="inlineStr">
        <is>
          <t>14.4.02.09-0301</t>
        </is>
      </c>
      <c r="C67" s="185" t="inlineStr">
        <is>
          <t>Краска "Цинол"</t>
        </is>
      </c>
      <c r="D67" s="180" t="inlineStr">
        <is>
          <t>кг</t>
        </is>
      </c>
      <c r="E67" s="62" t="n">
        <v>2.4</v>
      </c>
      <c r="F67" s="199" t="n">
        <v>238.48</v>
      </c>
      <c r="G67" s="14">
        <f>ROUND(F67*E67,2)</f>
        <v/>
      </c>
      <c r="H67" s="193">
        <f>G67/$G$91</f>
        <v/>
      </c>
      <c r="I67" s="14">
        <f>ROUND(F67*Прил.10!$D$12,2)</f>
        <v/>
      </c>
      <c r="J67" s="14">
        <f>ROUND(I67*E67,2)</f>
        <v/>
      </c>
    </row>
    <row r="68" hidden="1" outlineLevel="1" ht="25.5" customFormat="1" customHeight="1" s="151">
      <c r="A68" s="180" t="n">
        <v>40</v>
      </c>
      <c r="B68" s="63" t="inlineStr">
        <is>
          <t>02.3.01.02-0020</t>
        </is>
      </c>
      <c r="C68" s="185" t="inlineStr">
        <is>
          <t>Песок природный для строительных: растворов средний</t>
        </is>
      </c>
      <c r="D68" s="180" t="inlineStr">
        <is>
          <t>м3</t>
        </is>
      </c>
      <c r="E68" s="62" t="n">
        <v>8.0808</v>
      </c>
      <c r="F68" s="199" t="n">
        <v>59.99</v>
      </c>
      <c r="G68" s="14">
        <f>ROUND(F68*E68,2)</f>
        <v/>
      </c>
      <c r="H68" s="193">
        <f>G68/$G$91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51">
      <c r="A69" s="180" t="n">
        <v>41</v>
      </c>
      <c r="B69" s="63" t="inlineStr">
        <is>
          <t>20.1.02.23-0082</t>
        </is>
      </c>
      <c r="C69" s="185" t="inlineStr">
        <is>
          <t>Перемычки гибкие, тип ПГС-50</t>
        </is>
      </c>
      <c r="D69" s="180" t="inlineStr">
        <is>
          <t>10 шт</t>
        </is>
      </c>
      <c r="E69" s="62" t="n">
        <v>10.872</v>
      </c>
      <c r="F69" s="199" t="n">
        <v>39</v>
      </c>
      <c r="G69" s="14">
        <f>ROUND(F69*E69,2)</f>
        <v/>
      </c>
      <c r="H69" s="193">
        <f>G69/$G$91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51">
      <c r="A70" s="180" t="n">
        <v>42</v>
      </c>
      <c r="B70" s="63" t="inlineStr">
        <is>
          <t>10.3.02.03-0011</t>
        </is>
      </c>
      <c r="C70" s="185" t="inlineStr">
        <is>
          <t>Припои оловянно-свинцовые бессурьмянистые марки: ПОС30</t>
        </is>
      </c>
      <c r="D70" s="180" t="inlineStr">
        <is>
          <t>кг</t>
        </is>
      </c>
      <c r="E70" s="62" t="n">
        <v>3.12624</v>
      </c>
      <c r="F70" s="199" t="n">
        <v>68.05</v>
      </c>
      <c r="G70" s="14">
        <f>ROUND(F70*E70,2)</f>
        <v/>
      </c>
      <c r="H70" s="193">
        <f>G70/$G$91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51">
      <c r="A71" s="180" t="n">
        <v>43</v>
      </c>
      <c r="B71" s="63" t="inlineStr">
        <is>
          <t>20.1.02.06-0001</t>
        </is>
      </c>
      <c r="C71" s="185" t="inlineStr">
        <is>
          <t>Жир паяльный</t>
        </is>
      </c>
      <c r="D71" s="180" t="inlineStr">
        <is>
          <t>кг</t>
        </is>
      </c>
      <c r="E71" s="62" t="n">
        <v>1.248</v>
      </c>
      <c r="F71" s="199" t="n">
        <v>100.8</v>
      </c>
      <c r="G71" s="14">
        <f>ROUND(F71*E71,2)</f>
        <v/>
      </c>
      <c r="H71" s="193">
        <f>G71/$G$91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51">
      <c r="A72" s="180" t="n">
        <v>44</v>
      </c>
      <c r="B72" s="63" t="inlineStr">
        <is>
          <t>01.3.01.01-0001</t>
        </is>
      </c>
      <c r="C72" s="185" t="inlineStr">
        <is>
          <t>Бензин авиационный Б-70</t>
        </is>
      </c>
      <c r="D72" s="180" t="inlineStr">
        <is>
          <t>т</t>
        </is>
      </c>
      <c r="E72" s="62" t="n">
        <v>0.0192</v>
      </c>
      <c r="F72" s="199" t="n">
        <v>4488.4</v>
      </c>
      <c r="G72" s="14">
        <f>ROUND(F72*E72,2)</f>
        <v/>
      </c>
      <c r="H72" s="193">
        <f>G72/$G$91</f>
        <v/>
      </c>
      <c r="I72" s="14">
        <f>ROUND(F72*Прил.10!$D$12,2)</f>
        <v/>
      </c>
      <c r="J72" s="14">
        <f>ROUND(I72*E72,2)</f>
        <v/>
      </c>
    </row>
    <row r="73" hidden="1" outlineLevel="1" ht="25.5" customFormat="1" customHeight="1" s="151">
      <c r="A73" s="180" t="n">
        <v>45</v>
      </c>
      <c r="B73" s="63" t="inlineStr">
        <is>
          <t>01.7.15.04-0011</t>
        </is>
      </c>
      <c r="C73" s="185" t="inlineStr">
        <is>
          <t>Винты с полукруглой головкой длиной: 50 мм</t>
        </is>
      </c>
      <c r="D73" s="180" t="inlineStr">
        <is>
          <t>т</t>
        </is>
      </c>
      <c r="E73" s="62" t="n">
        <v>0.0048</v>
      </c>
      <c r="F73" s="199" t="n">
        <v>12430</v>
      </c>
      <c r="G73" s="14">
        <f>ROUND(F73*E73,2)</f>
        <v/>
      </c>
      <c r="H73" s="193">
        <f>G73/$G$91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51">
      <c r="A74" s="180" t="n">
        <v>46</v>
      </c>
      <c r="B74" s="63" t="inlineStr">
        <is>
          <t>25.2.01.01-0017</t>
        </is>
      </c>
      <c r="C74" s="185" t="inlineStr">
        <is>
          <t>Бирки маркировочные пластмассовые</t>
        </is>
      </c>
      <c r="D74" s="180" t="inlineStr">
        <is>
          <t>100 шт</t>
        </is>
      </c>
      <c r="E74" s="62" t="n">
        <v>1.512</v>
      </c>
      <c r="F74" s="199" t="n">
        <v>30.74</v>
      </c>
      <c r="G74" s="14">
        <f>ROUND(F74*E74,2)</f>
        <v/>
      </c>
      <c r="H74" s="193">
        <f>G74/$G$91</f>
        <v/>
      </c>
      <c r="I74" s="14">
        <f>ROUND(F74*Прил.10!$D$12,2)</f>
        <v/>
      </c>
      <c r="J74" s="14">
        <f>ROUND(I74*E74,2)</f>
        <v/>
      </c>
    </row>
    <row r="75" hidden="1" outlineLevel="1" ht="38.25" customFormat="1" customHeight="1" s="151">
      <c r="A75" s="180" t="n">
        <v>47</v>
      </c>
      <c r="B75" s="63" t="inlineStr">
        <is>
          <t>01.7.06.05-0041</t>
        </is>
      </c>
      <c r="C75" s="185" t="inlineStr">
        <is>
          <t>Лента изоляционная прорезиненная односторонняя ширина 20 мм, толщина 0,25-0,35 мм</t>
        </is>
      </c>
      <c r="D75" s="180" t="inlineStr">
        <is>
          <t>кг</t>
        </is>
      </c>
      <c r="E75" s="62" t="n">
        <v>1.344</v>
      </c>
      <c r="F75" s="199" t="n">
        <v>30.4</v>
      </c>
      <c r="G75" s="14">
        <f>ROUND(F75*E75,2)</f>
        <v/>
      </c>
      <c r="H75" s="193">
        <f>G75/$G$91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51">
      <c r="A76" s="180" t="n">
        <v>48</v>
      </c>
      <c r="B76" s="63" t="inlineStr">
        <is>
          <t>08.3.07.01-0037</t>
        </is>
      </c>
      <c r="C76" s="185" t="inlineStr">
        <is>
          <t>Сталь полосовая 30х4 мм, марка Ст3сп</t>
        </is>
      </c>
      <c r="D76" s="180" t="inlineStr">
        <is>
          <t>т</t>
        </is>
      </c>
      <c r="E76" s="62" t="n">
        <v>0.0048</v>
      </c>
      <c r="F76" s="199" t="n">
        <v>6674.64</v>
      </c>
      <c r="G76" s="14">
        <f>ROUND(F76*E76,2)</f>
        <v/>
      </c>
      <c r="H76" s="193">
        <f>G76/$G$91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51">
      <c r="A77" s="180" t="n">
        <v>49</v>
      </c>
      <c r="B77" s="63" t="inlineStr">
        <is>
          <t>25.2.01.01-0001</t>
        </is>
      </c>
      <c r="C77" s="185" t="inlineStr">
        <is>
          <t>Бирки-оконцеватели</t>
        </is>
      </c>
      <c r="D77" s="180" t="inlineStr">
        <is>
          <t>100 шт</t>
        </is>
      </c>
      <c r="E77" s="62" t="n">
        <v>0.48</v>
      </c>
      <c r="F77" s="199" t="n">
        <v>63</v>
      </c>
      <c r="G77" s="14">
        <f>ROUND(F77*E77,2)</f>
        <v/>
      </c>
      <c r="H77" s="193">
        <f>G77/$G$91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51">
      <c r="A78" s="180" t="n">
        <v>50</v>
      </c>
      <c r="B78" s="63" t="inlineStr">
        <is>
          <t>01.3.02.09-0022</t>
        </is>
      </c>
      <c r="C78" s="185" t="inlineStr">
        <is>
          <t>Пропан-бутан, смесь техническая</t>
        </is>
      </c>
      <c r="D78" s="180" t="inlineStr">
        <is>
          <t>кг</t>
        </is>
      </c>
      <c r="E78" s="62" t="n">
        <v>3.6</v>
      </c>
      <c r="F78" s="199" t="n">
        <v>6.09</v>
      </c>
      <c r="G78" s="14">
        <f>ROUND(F78*E78,2)</f>
        <v/>
      </c>
      <c r="H78" s="193">
        <f>G78/$G$91</f>
        <v/>
      </c>
      <c r="I78" s="14">
        <f>ROUND(F78*Прил.10!$D$12,2)</f>
        <v/>
      </c>
      <c r="J78" s="14">
        <f>ROUND(I78*E78,2)</f>
        <v/>
      </c>
    </row>
    <row r="79" hidden="1" outlineLevel="1" ht="25.5" customFormat="1" customHeight="1" s="151">
      <c r="A79" s="180" t="n">
        <v>51</v>
      </c>
      <c r="B79" s="63" t="inlineStr">
        <is>
          <t>10.3.02.03-0013</t>
        </is>
      </c>
      <c r="C79" s="185" t="inlineStr">
        <is>
          <t>Припои оловянно-свинцовые бессурьмянистые марки: ПОС61</t>
        </is>
      </c>
      <c r="D79" s="180" t="inlineStr">
        <is>
          <t>кг</t>
        </is>
      </c>
      <c r="E79" s="62" t="n">
        <v>0.1164</v>
      </c>
      <c r="F79" s="199" t="n">
        <v>114.22</v>
      </c>
      <c r="G79" s="14">
        <f>ROUND(F79*E79,2)</f>
        <v/>
      </c>
      <c r="H79" s="193">
        <f>G79/$G$91</f>
        <v/>
      </c>
      <c r="I79" s="14">
        <f>ROUND(F79*Прил.10!$D$12,2)</f>
        <v/>
      </c>
      <c r="J79" s="14">
        <f>ROUND(I79*E79,2)</f>
        <v/>
      </c>
    </row>
    <row r="80" hidden="1" outlineLevel="1" ht="14.25" customFormat="1" customHeight="1" s="151">
      <c r="A80" s="180" t="n">
        <v>52</v>
      </c>
      <c r="B80" s="63" t="inlineStr">
        <is>
          <t>01.3.01.05-0009</t>
        </is>
      </c>
      <c r="C80" s="185" t="inlineStr">
        <is>
          <t>Парафины нефтяные твердые марки Т-1</t>
        </is>
      </c>
      <c r="D80" s="180" t="inlineStr">
        <is>
          <t>т</t>
        </is>
      </c>
      <c r="E80" s="62" t="n">
        <v>0.00096</v>
      </c>
      <c r="F80" s="199" t="n">
        <v>8105.71</v>
      </c>
      <c r="G80" s="14">
        <f>ROUND(F80*E80,2)</f>
        <v/>
      </c>
      <c r="H80" s="193">
        <f>G80/$G$91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51">
      <c r="A81" s="180" t="n">
        <v>53</v>
      </c>
      <c r="B81" s="63" t="inlineStr">
        <is>
          <t>01.7.06.07-0001</t>
        </is>
      </c>
      <c r="C81" s="185" t="inlineStr">
        <is>
          <t>Лента К226</t>
        </is>
      </c>
      <c r="D81" s="180" t="inlineStr">
        <is>
          <t>100 м</t>
        </is>
      </c>
      <c r="E81" s="62" t="n">
        <v>0.05808</v>
      </c>
      <c r="F81" s="199" t="n">
        <v>120</v>
      </c>
      <c r="G81" s="14">
        <f>ROUND(F81*E81,2)</f>
        <v/>
      </c>
      <c r="H81" s="193">
        <f>G81/$G$91</f>
        <v/>
      </c>
      <c r="I81" s="14">
        <f>ROUND(F81*Прил.10!$D$12,2)</f>
        <v/>
      </c>
      <c r="J81" s="14">
        <f>ROUND(I81*E81,2)</f>
        <v/>
      </c>
    </row>
    <row r="82" hidden="1" outlineLevel="1" ht="14.25" customFormat="1" customHeight="1" s="151">
      <c r="A82" s="180" t="n">
        <v>54</v>
      </c>
      <c r="B82" s="63" t="inlineStr">
        <is>
          <t>20.2.02.01-0019</t>
        </is>
      </c>
      <c r="C82" s="185" t="inlineStr">
        <is>
          <t>Втулки изолирующие</t>
        </is>
      </c>
      <c r="D82" s="180" t="inlineStr">
        <is>
          <t>1000 шт</t>
        </is>
      </c>
      <c r="E82" s="62" t="n">
        <v>0.0216</v>
      </c>
      <c r="F82" s="199" t="n">
        <v>270</v>
      </c>
      <c r="G82" s="14">
        <f>ROUND(F82*E82,2)</f>
        <v/>
      </c>
      <c r="H82" s="193">
        <f>G82/$G$91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51">
      <c r="A83" s="180" t="n">
        <v>55</v>
      </c>
      <c r="B83" s="63" t="inlineStr">
        <is>
          <t>01.3.01.02-0002</t>
        </is>
      </c>
      <c r="C83" s="185" t="inlineStr">
        <is>
          <t>Вазелин технический</t>
        </is>
      </c>
      <c r="D83" s="180" t="inlineStr">
        <is>
          <t>кг</t>
        </is>
      </c>
      <c r="E83" s="62" t="n">
        <v>0.048</v>
      </c>
      <c r="F83" s="199" t="n">
        <v>44.97</v>
      </c>
      <c r="G83" s="14">
        <f>ROUND(F83*E83,2)</f>
        <v/>
      </c>
      <c r="H83" s="193">
        <f>G83/$G$91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51">
      <c r="A84" s="180" t="n">
        <v>56</v>
      </c>
      <c r="B84" s="63" t="inlineStr">
        <is>
          <t>24.3.01.01-0002</t>
        </is>
      </c>
      <c r="C84" s="185" t="inlineStr">
        <is>
          <t>Трубка полихлорвиниловая</t>
        </is>
      </c>
      <c r="D84" s="180" t="inlineStr">
        <is>
          <t>кг</t>
        </is>
      </c>
      <c r="E84" s="62" t="n">
        <v>0.06048</v>
      </c>
      <c r="F84" s="199" t="n">
        <v>35.7</v>
      </c>
      <c r="G84" s="14">
        <f>ROUND(F84*E84,2)</f>
        <v/>
      </c>
      <c r="H84" s="193">
        <f>G84/$G$91</f>
        <v/>
      </c>
      <c r="I84" s="14">
        <f>ROUND(F84*Прил.10!$D$12,2)</f>
        <v/>
      </c>
      <c r="J84" s="14">
        <f>ROUND(I84*E84,2)</f>
        <v/>
      </c>
    </row>
    <row r="85" hidden="1" outlineLevel="1" ht="14.25" customFormat="1" customHeight="1" s="151">
      <c r="A85" s="180" t="n">
        <v>57</v>
      </c>
      <c r="B85" s="63" t="inlineStr">
        <is>
          <t>14.4.03.17-0011</t>
        </is>
      </c>
      <c r="C85" s="185" t="inlineStr">
        <is>
          <t>Лак электроизоляционный 318</t>
        </is>
      </c>
      <c r="D85" s="180" t="inlineStr">
        <is>
          <t>кг</t>
        </is>
      </c>
      <c r="E85" s="62" t="n">
        <v>0.048</v>
      </c>
      <c r="F85" s="199" t="n">
        <v>35.63</v>
      </c>
      <c r="G85" s="14">
        <f>ROUND(F85*E85,2)</f>
        <v/>
      </c>
      <c r="H85" s="193">
        <f>G85/$G$91</f>
        <v/>
      </c>
      <c r="I85" s="14">
        <f>ROUND(F85*Прил.10!$D$12,2)</f>
        <v/>
      </c>
      <c r="J85" s="14">
        <f>ROUND(I85*E85,2)</f>
        <v/>
      </c>
    </row>
    <row r="86" hidden="1" outlineLevel="1" ht="25.5" customFormat="1" customHeight="1" s="151">
      <c r="A86" s="180" t="n">
        <v>58</v>
      </c>
      <c r="B86" s="63" t="inlineStr">
        <is>
          <t>01.3.01.07-0009</t>
        </is>
      </c>
      <c r="C86" s="185" t="inlineStr">
        <is>
          <t>Спирт этиловый ректификованный технический, сорт I</t>
        </is>
      </c>
      <c r="D86" s="180" t="inlineStr">
        <is>
          <t>кг</t>
        </is>
      </c>
      <c r="E86" s="62" t="n">
        <v>0.04392</v>
      </c>
      <c r="F86" s="199" t="n">
        <v>38.89</v>
      </c>
      <c r="G86" s="14">
        <f>ROUND(F86*E86,2)</f>
        <v/>
      </c>
      <c r="H86" s="193">
        <f>G86/$G$91</f>
        <v/>
      </c>
      <c r="I86" s="14">
        <f>ROUND(F86*Прил.10!$D$12,2)</f>
        <v/>
      </c>
      <c r="J86" s="14">
        <f>ROUND(I86*E86,2)</f>
        <v/>
      </c>
    </row>
    <row r="87" hidden="1" outlineLevel="1" ht="14.25" customFormat="1" customHeight="1" s="151">
      <c r="A87" s="180" t="n">
        <v>59</v>
      </c>
      <c r="B87" s="63" t="inlineStr">
        <is>
          <t>01.3.05.17-0002</t>
        </is>
      </c>
      <c r="C87" s="185" t="inlineStr">
        <is>
          <t>Канифоль сосновая</t>
        </is>
      </c>
      <c r="D87" s="180" t="inlineStr">
        <is>
          <t>кг</t>
        </is>
      </c>
      <c r="E87" s="62" t="n">
        <v>0.0288</v>
      </c>
      <c r="F87" s="199" t="n">
        <v>27.74</v>
      </c>
      <c r="G87" s="14">
        <f>ROUND(F87*E87,2)</f>
        <v/>
      </c>
      <c r="H87" s="193">
        <f>G87/$G$91</f>
        <v/>
      </c>
      <c r="I87" s="14">
        <f>ROUND(F87*Прил.10!$D$12,2)</f>
        <v/>
      </c>
      <c r="J87" s="14">
        <f>ROUND(I87*E87,2)</f>
        <v/>
      </c>
    </row>
    <row r="88" hidden="1" outlineLevel="1" ht="14.25" customFormat="1" customHeight="1" s="151">
      <c r="A88" s="180" t="n">
        <v>60</v>
      </c>
      <c r="B88" s="63" t="inlineStr">
        <is>
          <t>01.7.20.04-0005</t>
        </is>
      </c>
      <c r="C88" s="185" t="inlineStr">
        <is>
          <t>Нитки швейные</t>
        </is>
      </c>
      <c r="D88" s="180" t="inlineStr">
        <is>
          <t>кг</t>
        </is>
      </c>
      <c r="E88" s="62" t="n">
        <v>0.0048</v>
      </c>
      <c r="F88" s="199" t="n">
        <v>133.05</v>
      </c>
      <c r="G88" s="14">
        <f>ROUND(F88*E88,2)</f>
        <v/>
      </c>
      <c r="H88" s="193">
        <f>G88/$G$91</f>
        <v/>
      </c>
      <c r="I88" s="14">
        <f>ROUND(F88*Прил.10!$D$12,2)</f>
        <v/>
      </c>
      <c r="J88" s="14">
        <f>ROUND(I88*E88,2)</f>
        <v/>
      </c>
    </row>
    <row r="89" hidden="1" outlineLevel="1" ht="14.25" customFormat="1" customHeight="1" s="151">
      <c r="A89" s="180" t="n">
        <v>61</v>
      </c>
      <c r="B89" s="63" t="inlineStr">
        <is>
          <t>01.7.02.09-0002</t>
        </is>
      </c>
      <c r="C89" s="185" t="inlineStr">
        <is>
          <t>Шпагат бумажный</t>
        </is>
      </c>
      <c r="D89" s="180" t="inlineStr">
        <is>
          <t>кг</t>
        </is>
      </c>
      <c r="E89" s="62" t="n">
        <v>0.009599999999999999</v>
      </c>
      <c r="F89" s="199" t="n">
        <v>11.5</v>
      </c>
      <c r="G89" s="14">
        <f>ROUND(F89*E89,2)</f>
        <v/>
      </c>
      <c r="H89" s="193">
        <f>G89/$G$91</f>
        <v/>
      </c>
      <c r="I89" s="14">
        <f>ROUND(F89*Прил.10!$D$12,2)</f>
        <v/>
      </c>
      <c r="J89" s="14">
        <f>ROUND(I89*E89,2)</f>
        <v/>
      </c>
    </row>
    <row r="90" collapsed="1" ht="14.25" customFormat="1" customHeight="1" s="151">
      <c r="A90" s="180" t="n"/>
      <c r="B90" s="180" t="n"/>
      <c r="C90" s="185" t="inlineStr">
        <is>
          <t>Итого прочие материалы</t>
        </is>
      </c>
      <c r="D90" s="180" t="n"/>
      <c r="E90" s="186" t="n"/>
      <c r="F90" s="187" t="n"/>
      <c r="G90" s="14">
        <f>SUM(G53:G89)</f>
        <v/>
      </c>
      <c r="H90" s="193">
        <f>G90/G91</f>
        <v/>
      </c>
      <c r="I90" s="14" t="n"/>
      <c r="J90" s="14">
        <f>SUM(J53:J89)</f>
        <v/>
      </c>
      <c r="L90" s="109" t="n"/>
    </row>
    <row r="91" ht="14.25" customFormat="1" customHeight="1" s="151">
      <c r="A91" s="180" t="n"/>
      <c r="B91" s="180" t="n"/>
      <c r="C91" s="174" t="inlineStr">
        <is>
          <t>Итого по разделу «Материалы»</t>
        </is>
      </c>
      <c r="D91" s="180" t="n"/>
      <c r="E91" s="186" t="n"/>
      <c r="F91" s="187" t="n"/>
      <c r="G91" s="14">
        <f>G52+G90</f>
        <v/>
      </c>
      <c r="H91" s="193" t="n">
        <v>1</v>
      </c>
      <c r="I91" s="187" t="n"/>
      <c r="J91" s="14">
        <f>J52+J90</f>
        <v/>
      </c>
      <c r="K91" s="61" t="n"/>
    </row>
    <row r="92" ht="14.25" customFormat="1" customHeight="1" s="151">
      <c r="A92" s="180" t="n"/>
      <c r="B92" s="180" t="n"/>
      <c r="C92" s="185" t="inlineStr">
        <is>
          <t>ИТОГО ПО РМ</t>
        </is>
      </c>
      <c r="D92" s="180" t="n"/>
      <c r="E92" s="186" t="n"/>
      <c r="F92" s="187" t="n"/>
      <c r="G92" s="14">
        <f>G14+G29+G91</f>
        <v/>
      </c>
      <c r="H92" s="193" t="n"/>
      <c r="I92" s="187" t="n"/>
      <c r="J92" s="14">
        <f>J14+J29+J91</f>
        <v/>
      </c>
    </row>
    <row r="93" ht="14.25" customFormat="1" customHeight="1" s="151">
      <c r="A93" s="180" t="n"/>
      <c r="B93" s="180" t="n"/>
      <c r="C93" s="185" t="inlineStr">
        <is>
          <t>Накладные расходы</t>
        </is>
      </c>
      <c r="D93" s="180" t="inlineStr">
        <is>
          <t>%</t>
        </is>
      </c>
      <c r="E93" s="72" t="n">
        <v>0.95</v>
      </c>
      <c r="F93" s="187" t="n"/>
      <c r="G93" s="14">
        <f>ROUND(E93*(G14+G16),2)</f>
        <v/>
      </c>
      <c r="H93" s="193" t="n"/>
      <c r="I93" s="187" t="n"/>
      <c r="J93" s="14">
        <f>ROUND(E93*(J14+J16),2)</f>
        <v/>
      </c>
      <c r="K93" s="73" t="n"/>
    </row>
    <row r="94" ht="14.25" customFormat="1" customHeight="1" s="151">
      <c r="A94" s="180" t="n"/>
      <c r="B94" s="180" t="n"/>
      <c r="C94" s="185" t="inlineStr">
        <is>
          <t>Сметная прибыль</t>
        </is>
      </c>
      <c r="D94" s="180" t="inlineStr">
        <is>
          <t>%</t>
        </is>
      </c>
      <c r="E94" s="72" t="n">
        <v>0.65</v>
      </c>
      <c r="F94" s="187" t="n"/>
      <c r="G94" s="14">
        <f>ROUND(E94*(G14+G16),2)</f>
        <v/>
      </c>
      <c r="H94" s="193" t="n"/>
      <c r="I94" s="187" t="n"/>
      <c r="J94" s="14">
        <f>ROUND(E94*(J14+J16),2)</f>
        <v/>
      </c>
      <c r="K94" s="73" t="n"/>
    </row>
    <row r="95" ht="14.25" customFormat="1" customHeight="1" s="151">
      <c r="A95" s="180" t="n"/>
      <c r="B95" s="180" t="n"/>
      <c r="C95" s="185" t="inlineStr">
        <is>
          <t>Итого СМР (с НР и СП)</t>
        </is>
      </c>
      <c r="D95" s="180" t="n"/>
      <c r="E95" s="186" t="n"/>
      <c r="F95" s="187" t="n"/>
      <c r="G95" s="14">
        <f>G14+G29+G91+G93+G94</f>
        <v/>
      </c>
      <c r="H95" s="193" t="n"/>
      <c r="I95" s="187" t="n"/>
      <c r="J95" s="14">
        <f>J14+J29+J91+J93+J94</f>
        <v/>
      </c>
      <c r="L95" s="74" t="n"/>
    </row>
    <row r="96" ht="14.25" customFormat="1" customHeight="1" s="151">
      <c r="A96" s="180" t="n"/>
      <c r="B96" s="180" t="n"/>
      <c r="C96" s="185" t="inlineStr">
        <is>
          <t>ВСЕГО СМР + ОБОРУДОВАНИЕ</t>
        </is>
      </c>
      <c r="D96" s="180" t="n"/>
      <c r="E96" s="186" t="n"/>
      <c r="F96" s="187" t="n"/>
      <c r="G96" s="14">
        <f>G95+G44</f>
        <v/>
      </c>
      <c r="H96" s="193" t="n"/>
      <c r="I96" s="187" t="n"/>
      <c r="J96" s="14">
        <f>J95+J44</f>
        <v/>
      </c>
      <c r="L96" s="73" t="n"/>
    </row>
    <row r="97" ht="14.25" customFormat="1" customHeight="1" s="151">
      <c r="A97" s="180" t="n"/>
      <c r="B97" s="180" t="n"/>
      <c r="C97" s="185" t="inlineStr">
        <is>
          <t>ИТОГО ПОКАЗАТЕЛЬ НА ЕД. ИЗМ.</t>
        </is>
      </c>
      <c r="D97" s="180" t="inlineStr">
        <is>
          <t>ед.</t>
        </is>
      </c>
      <c r="E97" s="75" t="n">
        <v>6</v>
      </c>
      <c r="F97" s="187" t="n"/>
      <c r="G97" s="14">
        <f>G96/E97</f>
        <v/>
      </c>
      <c r="H97" s="193" t="n"/>
      <c r="I97" s="187" t="n"/>
      <c r="J97" s="14">
        <f>J96/E97</f>
        <v/>
      </c>
      <c r="L97" s="109" t="n"/>
    </row>
    <row r="99" ht="14.25" customFormat="1" customHeight="1" s="151">
      <c r="A99" s="137" t="n"/>
    </row>
    <row r="100" ht="14.25" customFormat="1" customHeight="1" s="151">
      <c r="A100" s="150" t="inlineStr">
        <is>
          <t>Составил ______________________        Е.А. Князева</t>
        </is>
      </c>
    </row>
    <row r="101" ht="14.25" customFormat="1" customHeight="1" s="151">
      <c r="A101" s="152" t="inlineStr">
        <is>
          <t xml:space="preserve">                         (подпись, инициалы, фамилия)</t>
        </is>
      </c>
    </row>
    <row r="102" ht="14.25" customFormat="1" customHeight="1" s="151">
      <c r="A102" s="150" t="n"/>
    </row>
    <row r="103" ht="14.25" customFormat="1" customHeight="1" s="151">
      <c r="A103" s="150" t="inlineStr">
        <is>
          <t>Проверил ______________________        А.В. Костянецкая</t>
        </is>
      </c>
    </row>
    <row r="104" ht="14.25" customFormat="1" customHeight="1" s="151">
      <c r="A104" s="152" t="inlineStr">
        <is>
          <t xml:space="preserve">                        (подпись, инициалы, фамилия)</t>
        </is>
      </c>
    </row>
  </sheetData>
  <mergeCells count="18">
    <mergeCell ref="A4:H4"/>
    <mergeCell ref="B9:B10"/>
    <mergeCell ref="C9:C10"/>
    <mergeCell ref="D9:D10"/>
    <mergeCell ref="E9:E10"/>
    <mergeCell ref="B17:H17"/>
    <mergeCell ref="B18:H18"/>
    <mergeCell ref="H9:H10"/>
    <mergeCell ref="A9:A10"/>
    <mergeCell ref="B46:J46"/>
    <mergeCell ref="B12:H12"/>
    <mergeCell ref="D6:J6"/>
    <mergeCell ref="B31:J31"/>
    <mergeCell ref="B47:H47"/>
    <mergeCell ref="B15:H15"/>
    <mergeCell ref="B30:J30"/>
    <mergeCell ref="I9:J9"/>
    <mergeCell ref="F9:G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31"/>
  <sheetViews>
    <sheetView view="pageBreakPreview" topLeftCell="A17" workbookViewId="0">
      <selection activeCell="D25" sqref="D25"/>
    </sheetView>
  </sheetViews>
  <sheetFormatPr baseColWidth="8" defaultRowHeight="15"/>
  <cols>
    <col width="5.7109375" customWidth="1" style="128" min="1" max="1"/>
    <col width="14.85546875" customWidth="1" style="128" min="2" max="2"/>
    <col width="39.140625" customWidth="1" style="128" min="3" max="3"/>
    <col width="8.28515625" customWidth="1" style="128" min="4" max="4"/>
    <col width="13.5703125" customWidth="1" style="128" min="5" max="5"/>
    <col width="12.42578125" customWidth="1" style="128" min="6" max="6"/>
    <col width="14.140625" customWidth="1" style="128" min="7" max="7"/>
  </cols>
  <sheetData>
    <row r="1">
      <c r="A1" s="200" t="inlineStr">
        <is>
          <t>Приложение №6</t>
        </is>
      </c>
    </row>
    <row r="2" hidden="1" s="128">
      <c r="A2" s="200" t="n"/>
      <c r="B2" s="200" t="n"/>
      <c r="C2" s="200" t="n"/>
      <c r="D2" s="200" t="n"/>
      <c r="E2" s="200" t="n"/>
      <c r="F2" s="200" t="n"/>
      <c r="G2" s="200" t="n"/>
    </row>
    <row r="3" hidden="1" s="128">
      <c r="A3" s="200" t="n"/>
      <c r="B3" s="200" t="n"/>
      <c r="C3" s="200" t="n"/>
      <c r="D3" s="200" t="n"/>
      <c r="E3" s="200" t="n"/>
      <c r="F3" s="200" t="n"/>
      <c r="G3" s="200" t="n"/>
    </row>
    <row r="4">
      <c r="A4" s="200" t="n"/>
      <c r="B4" s="200" t="n"/>
      <c r="C4" s="200" t="n"/>
      <c r="D4" s="200" t="n"/>
      <c r="E4" s="200" t="n"/>
      <c r="F4" s="200" t="n"/>
      <c r="G4" s="200" t="n"/>
    </row>
    <row r="5">
      <c r="A5" s="178" t="inlineStr">
        <is>
          <t>Расчет стоимости оборудования</t>
        </is>
      </c>
    </row>
    <row r="6" ht="64.5" customHeight="1" s="128">
      <c r="B6" s="101">
        <f>'Прил.1 Сравнит табл'!B6</f>
        <v/>
      </c>
      <c r="C6" s="112" t="n"/>
      <c r="D6" s="202">
        <f>'Прил.1 Сравнит табл'!D6</f>
        <v/>
      </c>
    </row>
    <row r="7">
      <c r="A7" s="150" t="n"/>
      <c r="B7" s="150" t="n"/>
      <c r="C7" s="150" t="n"/>
      <c r="D7" s="150" t="n"/>
      <c r="E7" s="150" t="n"/>
      <c r="F7" s="150" t="n"/>
      <c r="G7" s="150" t="n"/>
    </row>
    <row r="8" ht="30.2" customHeight="1" s="128">
      <c r="A8" s="201" t="inlineStr">
        <is>
          <t>№ пп.</t>
        </is>
      </c>
      <c r="B8" s="201" t="inlineStr">
        <is>
          <t>Код ресурса</t>
        </is>
      </c>
      <c r="C8" s="201" t="inlineStr">
        <is>
          <t>Наименование</t>
        </is>
      </c>
      <c r="D8" s="201" t="inlineStr">
        <is>
          <t>Ед. изм.</t>
        </is>
      </c>
      <c r="E8" s="180" t="inlineStr">
        <is>
          <t>Кол-во единиц по проектным данным</t>
        </is>
      </c>
      <c r="F8" s="201" t="inlineStr">
        <is>
          <t>Сметная стоимость в ценах на 01.01.2000 (руб.)</t>
        </is>
      </c>
      <c r="G8" s="210" t="n"/>
    </row>
    <row r="9">
      <c r="A9" s="212" t="n"/>
      <c r="B9" s="212" t="n"/>
      <c r="C9" s="212" t="n"/>
      <c r="D9" s="212" t="n"/>
      <c r="E9" s="212" t="n"/>
      <c r="F9" s="180" t="inlineStr">
        <is>
          <t>на ед. изм.</t>
        </is>
      </c>
      <c r="G9" s="180" t="inlineStr">
        <is>
          <t>общая</t>
        </is>
      </c>
    </row>
    <row r="10">
      <c r="A10" s="180" t="n">
        <v>1</v>
      </c>
      <c r="B10" s="180" t="n">
        <v>2</v>
      </c>
      <c r="C10" s="180" t="n">
        <v>3</v>
      </c>
      <c r="D10" s="180" t="n">
        <v>4</v>
      </c>
      <c r="E10" s="180" t="n">
        <v>5</v>
      </c>
      <c r="F10" s="180" t="n">
        <v>6</v>
      </c>
      <c r="G10" s="180" t="n">
        <v>7</v>
      </c>
    </row>
    <row r="11" ht="15" customHeight="1" s="128">
      <c r="A11" s="7" t="n"/>
      <c r="B11" s="185" t="inlineStr">
        <is>
          <t>ИНЖЕНЕРНОЕ ОБОРУДОВАНИЕ</t>
        </is>
      </c>
      <c r="C11" s="209" t="n"/>
      <c r="D11" s="209" t="n"/>
      <c r="E11" s="209" t="n"/>
      <c r="F11" s="209" t="n"/>
      <c r="G11" s="210" t="n"/>
    </row>
    <row r="12" ht="27" customHeight="1" s="128">
      <c r="A12" s="180" t="n"/>
      <c r="B12" s="174" t="n"/>
      <c r="C12" s="185" t="inlineStr">
        <is>
          <t>ИТОГО ИНЖЕНЕРНОЕ ОБОРУДОВАНИЕ</t>
        </is>
      </c>
      <c r="D12" s="174" t="n"/>
      <c r="E12" s="8" t="n"/>
      <c r="F12" s="187" t="n"/>
      <c r="G12" s="187" t="n">
        <v>0</v>
      </c>
    </row>
    <row r="13">
      <c r="A13" s="180" t="n"/>
      <c r="B13" s="185" t="inlineStr">
        <is>
          <t>ТЕХНОЛОГИЧЕСКОЕ ОБОРУДОВАНИЕ</t>
        </is>
      </c>
      <c r="C13" s="209" t="n"/>
      <c r="D13" s="209" t="n"/>
      <c r="E13" s="209" t="n"/>
      <c r="F13" s="209" t="n"/>
      <c r="G13" s="210" t="n"/>
    </row>
    <row r="14" ht="51.6" customHeight="1" s="128">
      <c r="A14" s="180" t="n">
        <v>1</v>
      </c>
      <c r="B14" s="185">
        <f>'Прил.5 Расчет СМР и ОБ'!B32</f>
        <v/>
      </c>
      <c r="C14" s="185">
        <f>'Прил.5 Расчет СМР и ОБ'!C32</f>
        <v/>
      </c>
      <c r="D14" s="180">
        <f>'Прил.5 Расчет СМР и ОБ'!D32</f>
        <v/>
      </c>
      <c r="E14" s="180">
        <f>'Прил.5 Расчет СМР и ОБ'!E32</f>
        <v/>
      </c>
      <c r="F14" s="187">
        <f>'Прил.5 Расчет СМР и ОБ'!F32</f>
        <v/>
      </c>
      <c r="G14" s="14">
        <f>ROUND(E14*F14,2)</f>
        <v/>
      </c>
    </row>
    <row r="15" ht="51.6" customHeight="1" s="128">
      <c r="A15" s="180">
        <f>A14+1</f>
        <v/>
      </c>
      <c r="B15" s="185">
        <f>'Прил.5 Расчет СМР и ОБ'!B33</f>
        <v/>
      </c>
      <c r="C15" s="185">
        <f>'Прил.5 Расчет СМР и ОБ'!C33</f>
        <v/>
      </c>
      <c r="D15" s="180">
        <f>'Прил.5 Расчет СМР и ОБ'!D33</f>
        <v/>
      </c>
      <c r="E15" s="180">
        <f>'Прил.5 Расчет СМР и ОБ'!E33</f>
        <v/>
      </c>
      <c r="F15" s="187">
        <f>'Прил.5 Расчет СМР и ОБ'!F33</f>
        <v/>
      </c>
      <c r="G15" s="14">
        <f>ROUND(E15*F15,2)</f>
        <v/>
      </c>
    </row>
    <row r="16" ht="25.9" customHeight="1" s="128">
      <c r="A16" s="180">
        <f>A15+1</f>
        <v/>
      </c>
      <c r="B16" s="185">
        <f>'Прил.5 Расчет СМР и ОБ'!B34</f>
        <v/>
      </c>
      <c r="C16" s="185">
        <f>'Прил.5 Расчет СМР и ОБ'!C34</f>
        <v/>
      </c>
      <c r="D16" s="180">
        <f>'Прил.5 Расчет СМР и ОБ'!D34</f>
        <v/>
      </c>
      <c r="E16" s="180">
        <f>'Прил.5 Расчет СМР и ОБ'!E34</f>
        <v/>
      </c>
      <c r="F16" s="187">
        <f>'Прил.5 Расчет СМР и ОБ'!F34</f>
        <v/>
      </c>
      <c r="G16" s="14">
        <f>ROUND(E16*F16,2)</f>
        <v/>
      </c>
    </row>
    <row r="17" ht="25.9" customHeight="1" s="128">
      <c r="A17" s="180">
        <f>A16+1</f>
        <v/>
      </c>
      <c r="B17" s="185">
        <f>'Прил.5 Расчет СМР и ОБ'!B35</f>
        <v/>
      </c>
      <c r="C17" s="185">
        <f>'Прил.5 Расчет СМР и ОБ'!C35</f>
        <v/>
      </c>
      <c r="D17" s="180">
        <f>'Прил.5 Расчет СМР и ОБ'!D35</f>
        <v/>
      </c>
      <c r="E17" s="180">
        <f>'Прил.5 Расчет СМР и ОБ'!E35</f>
        <v/>
      </c>
      <c r="F17" s="187">
        <f>'Прил.5 Расчет СМР и ОБ'!F35</f>
        <v/>
      </c>
      <c r="G17" s="14">
        <f>ROUND(E17*F17,2)</f>
        <v/>
      </c>
    </row>
    <row r="18" ht="25.9" customHeight="1" s="128">
      <c r="A18" s="180">
        <f>A17+1</f>
        <v/>
      </c>
      <c r="B18" s="185">
        <f>'Прил.5 Расчет СМР и ОБ'!B36</f>
        <v/>
      </c>
      <c r="C18" s="185">
        <f>'Прил.5 Расчет СМР и ОБ'!C36</f>
        <v/>
      </c>
      <c r="D18" s="180">
        <f>'Прил.5 Расчет СМР и ОБ'!D36</f>
        <v/>
      </c>
      <c r="E18" s="180">
        <f>'Прил.5 Расчет СМР и ОБ'!E36</f>
        <v/>
      </c>
      <c r="F18" s="187">
        <f>'Прил.5 Расчет СМР и ОБ'!F36</f>
        <v/>
      </c>
      <c r="G18" s="14">
        <f>ROUND(E18*F18,2)</f>
        <v/>
      </c>
    </row>
    <row r="19" ht="38.85" customHeight="1" s="128">
      <c r="A19" s="180">
        <f>A18+1</f>
        <v/>
      </c>
      <c r="B19" s="185">
        <f>'Прил.5 Расчет СМР и ОБ'!B37</f>
        <v/>
      </c>
      <c r="C19" s="185">
        <f>'Прил.5 Расчет СМР и ОБ'!C37</f>
        <v/>
      </c>
      <c r="D19" s="180">
        <f>'Прил.5 Расчет СМР и ОБ'!D37</f>
        <v/>
      </c>
      <c r="E19" s="180">
        <f>'Прил.5 Расчет СМР и ОБ'!E37</f>
        <v/>
      </c>
      <c r="F19" s="187">
        <f>'Прил.5 Расчет СМР и ОБ'!F37</f>
        <v/>
      </c>
      <c r="G19" s="14">
        <f>ROUND(E19*F19,2)</f>
        <v/>
      </c>
    </row>
    <row r="20">
      <c r="A20" s="180">
        <f>A19+1</f>
        <v/>
      </c>
      <c r="B20" s="185">
        <f>'Прил.5 Расчет СМР и ОБ'!B39</f>
        <v/>
      </c>
      <c r="C20" s="185">
        <f>'Прил.5 Расчет СМР и ОБ'!C39</f>
        <v/>
      </c>
      <c r="D20" s="180">
        <f>'Прил.5 Расчет СМР и ОБ'!D39</f>
        <v/>
      </c>
      <c r="E20" s="180">
        <f>'Прил.5 Расчет СМР и ОБ'!E39</f>
        <v/>
      </c>
      <c r="F20" s="187">
        <f>'Прил.5 Расчет СМР и ОБ'!F39</f>
        <v/>
      </c>
      <c r="G20" s="14">
        <f>ROUND(E20*F20,2)</f>
        <v/>
      </c>
    </row>
    <row r="21" ht="25.9" customHeight="1" s="128">
      <c r="A21" s="180">
        <f>A20+1</f>
        <v/>
      </c>
      <c r="B21" s="185">
        <f>'Прил.5 Расчет СМР и ОБ'!B40</f>
        <v/>
      </c>
      <c r="C21" s="185">
        <f>'Прил.5 Расчет СМР и ОБ'!C40</f>
        <v/>
      </c>
      <c r="D21" s="180">
        <f>'Прил.5 Расчет СМР и ОБ'!D40</f>
        <v/>
      </c>
      <c r="E21" s="180">
        <f>'Прил.5 Расчет СМР и ОБ'!E40</f>
        <v/>
      </c>
      <c r="F21" s="187">
        <f>'Прил.5 Расчет СМР и ОБ'!F40</f>
        <v/>
      </c>
      <c r="G21" s="14">
        <f>ROUND(E21*F21,2)</f>
        <v/>
      </c>
    </row>
    <row r="22">
      <c r="A22" s="180">
        <f>A21+1</f>
        <v/>
      </c>
      <c r="B22" s="185">
        <f>'Прил.5 Расчет СМР и ОБ'!B41</f>
        <v/>
      </c>
      <c r="C22" s="185">
        <f>'Прил.5 Расчет СМР и ОБ'!C41</f>
        <v/>
      </c>
      <c r="D22" s="180">
        <f>'Прил.5 Расчет СМР и ОБ'!D41</f>
        <v/>
      </c>
      <c r="E22" s="180">
        <f>'Прил.5 Расчет СМР и ОБ'!E41</f>
        <v/>
      </c>
      <c r="F22" s="187">
        <f>'Прил.5 Расчет СМР и ОБ'!F41</f>
        <v/>
      </c>
      <c r="G22" s="14">
        <f>ROUND(E22*F22,2)</f>
        <v/>
      </c>
    </row>
    <row r="23">
      <c r="A23" s="180">
        <f>A22+1</f>
        <v/>
      </c>
      <c r="B23" s="185">
        <f>'Прил.5 Расчет СМР и ОБ'!B42</f>
        <v/>
      </c>
      <c r="C23" s="185">
        <f>'Прил.5 Расчет СМР и ОБ'!C42</f>
        <v/>
      </c>
      <c r="D23" s="180">
        <f>'Прил.5 Расчет СМР и ОБ'!D42</f>
        <v/>
      </c>
      <c r="E23" s="180">
        <f>'Прил.5 Расчет СМР и ОБ'!E42</f>
        <v/>
      </c>
      <c r="F23" s="187">
        <f>'Прил.5 Расчет СМР и ОБ'!F42</f>
        <v/>
      </c>
      <c r="G23" s="14">
        <f>ROUND(E23*F23,2)</f>
        <v/>
      </c>
    </row>
    <row r="24" ht="25.5" customHeight="1" s="128">
      <c r="A24" s="180" t="n"/>
      <c r="B24" s="12" t="n"/>
      <c r="C24" s="12" t="inlineStr">
        <is>
          <t>ИТОГО ТЕХНОЛОГИЧЕСКОЕ ОБОРУДОВАНИЕ</t>
        </is>
      </c>
      <c r="D24" s="12" t="n"/>
      <c r="E24" s="13" t="n"/>
      <c r="F24" s="187" t="n"/>
      <c r="G24" s="14">
        <f>SUM(G14:G23)</f>
        <v/>
      </c>
    </row>
    <row r="25" ht="19.5" customHeight="1" s="128">
      <c r="A25" s="180" t="n"/>
      <c r="B25" s="185" t="n"/>
      <c r="C25" s="185" t="inlineStr">
        <is>
          <t>Всего по разделу «Оборудование»</t>
        </is>
      </c>
      <c r="D25" s="185" t="n"/>
      <c r="E25" s="199" t="n"/>
      <c r="F25" s="187" t="n"/>
      <c r="G25" s="14">
        <f>G12+G24</f>
        <v/>
      </c>
    </row>
    <row r="26">
      <c r="A26" s="137" t="n"/>
      <c r="B26" s="138" t="n"/>
      <c r="C26" s="137" t="n"/>
      <c r="D26" s="137" t="n"/>
      <c r="E26" s="137" t="n"/>
      <c r="F26" s="137" t="n"/>
      <c r="G26" s="137" t="n"/>
    </row>
    <row r="27">
      <c r="A27" s="150" t="inlineStr">
        <is>
          <t>Составил ______________________        Е.А. Князева</t>
        </is>
      </c>
      <c r="B27" s="151" t="n"/>
      <c r="C27" s="151" t="n"/>
      <c r="D27" s="137" t="n"/>
      <c r="E27" s="137" t="n"/>
      <c r="F27" s="137" t="n"/>
      <c r="G27" s="137" t="n"/>
    </row>
    <row r="28">
      <c r="A28" s="152" t="inlineStr">
        <is>
          <t xml:space="preserve">                         (подпись, инициалы, фамилия)</t>
        </is>
      </c>
      <c r="B28" s="151" t="n"/>
      <c r="C28" s="151" t="n"/>
      <c r="D28" s="137" t="n"/>
      <c r="E28" s="137" t="n"/>
      <c r="F28" s="137" t="n"/>
      <c r="G28" s="137" t="n"/>
    </row>
    <row r="29">
      <c r="A29" s="150" t="n"/>
      <c r="B29" s="151" t="n"/>
      <c r="C29" s="151" t="n"/>
      <c r="D29" s="137" t="n"/>
      <c r="E29" s="137" t="n"/>
      <c r="F29" s="137" t="n"/>
      <c r="G29" s="137" t="n"/>
    </row>
    <row r="30">
      <c r="A30" s="150" t="inlineStr">
        <is>
          <t>Проверил ______________________        А.В. Костянецкая</t>
        </is>
      </c>
      <c r="B30" s="151" t="n"/>
      <c r="C30" s="151" t="n"/>
      <c r="D30" s="137" t="n"/>
      <c r="E30" s="137" t="n"/>
      <c r="F30" s="137" t="n"/>
      <c r="G30" s="137" t="n"/>
    </row>
    <row r="31">
      <c r="A31" s="152" t="inlineStr">
        <is>
          <t xml:space="preserve">                        (подпись, инициалы, фамилия)</t>
        </is>
      </c>
      <c r="B31" s="151" t="n"/>
      <c r="C31" s="151" t="n"/>
      <c r="D31" s="137" t="n"/>
      <c r="E31" s="137" t="n"/>
      <c r="F31" s="137" t="n"/>
      <c r="G31" s="137" t="n"/>
    </row>
  </sheetData>
  <mergeCells count="11">
    <mergeCell ref="A8:A9"/>
    <mergeCell ref="A1:G1"/>
    <mergeCell ref="E8:E9"/>
    <mergeCell ref="C8:C9"/>
    <mergeCell ref="B11:G11"/>
    <mergeCell ref="D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128" min="1" max="1"/>
    <col width="29.7109375" customWidth="1" style="128" min="2" max="2"/>
    <col width="35" customWidth="1" style="128" min="3" max="3"/>
    <col width="27.5703125" customWidth="1" style="128" min="4" max="4"/>
    <col width="24.85546875" customWidth="1" style="128" min="5" max="5"/>
    <col width="8.85546875" customWidth="1" style="128" min="6" max="6"/>
  </cols>
  <sheetData>
    <row r="1">
      <c r="B1" s="150" t="n"/>
      <c r="C1" s="150" t="n"/>
      <c r="D1" s="200" t="inlineStr">
        <is>
          <t>Приложение №7</t>
        </is>
      </c>
    </row>
    <row r="2">
      <c r="A2" s="200" t="n"/>
      <c r="B2" s="200" t="n"/>
      <c r="C2" s="200" t="n"/>
      <c r="D2" s="200" t="n"/>
    </row>
    <row r="3" ht="24.75" customHeight="1" s="128">
      <c r="A3" s="178" t="inlineStr">
        <is>
          <t>Расчет показателя УНЦ</t>
        </is>
      </c>
    </row>
    <row r="4" ht="24.75" customHeight="1" s="128">
      <c r="A4" s="178" t="n"/>
      <c r="B4" s="178" t="n"/>
      <c r="C4" s="178" t="n"/>
      <c r="D4" s="178" t="n"/>
    </row>
    <row r="5" ht="36" customHeight="1" s="128">
      <c r="A5" s="203" t="inlineStr">
        <is>
          <t xml:space="preserve">Наименование разрабатываемого показателя УНЦ - </t>
        </is>
      </c>
      <c r="D5" s="203">
        <f>'Прил.5 Расчет СМР и ОБ'!D6</f>
        <v/>
      </c>
    </row>
    <row r="6" ht="19.9" customHeight="1" s="128">
      <c r="A6" s="203" t="inlineStr">
        <is>
          <t>Единица измерения  — 1 ячейка</t>
        </is>
      </c>
      <c r="D6" s="203" t="n"/>
    </row>
    <row r="7">
      <c r="A7" s="150" t="n"/>
      <c r="B7" s="150" t="n"/>
      <c r="C7" s="150" t="n"/>
      <c r="D7" s="150" t="n"/>
    </row>
    <row r="8" ht="14.45" customHeight="1" s="128">
      <c r="A8" s="173" t="inlineStr">
        <is>
          <t>Код показателя</t>
        </is>
      </c>
      <c r="B8" s="173" t="inlineStr">
        <is>
          <t>Наименование показателя</t>
        </is>
      </c>
      <c r="C8" s="173" t="inlineStr">
        <is>
          <t>Наименование РМ, входящих в состав показателя</t>
        </is>
      </c>
      <c r="D8" s="173" t="inlineStr">
        <is>
          <t>Норматив цены на 01.01.2023, тыс.руб.</t>
        </is>
      </c>
    </row>
    <row r="9" ht="15" customHeight="1" s="128">
      <c r="A9" s="212" t="n"/>
      <c r="B9" s="212" t="n"/>
      <c r="C9" s="212" t="n"/>
      <c r="D9" s="212" t="n"/>
    </row>
    <row r="10">
      <c r="A10" s="180" t="n">
        <v>1</v>
      </c>
      <c r="B10" s="180" t="n">
        <v>2</v>
      </c>
      <c r="C10" s="180" t="n">
        <v>3</v>
      </c>
      <c r="D10" s="180" t="n">
        <v>4</v>
      </c>
    </row>
    <row r="11" ht="41.45" customHeight="1" s="128">
      <c r="A11" s="180" t="inlineStr">
        <is>
          <t>В1-В4-В5 750кВ РЗА</t>
        </is>
      </c>
      <c r="B11" s="180" t="inlineStr">
        <is>
          <t>УНЦ ячейки выключателя</t>
        </is>
      </c>
      <c r="C11" s="134">
        <f>D5</f>
        <v/>
      </c>
      <c r="D11" s="135">
        <f>'Прил.4 РМ'!C41/1000</f>
        <v/>
      </c>
      <c r="E11" s="136" t="n"/>
    </row>
    <row r="12">
      <c r="A12" s="137" t="n"/>
      <c r="B12" s="138" t="n"/>
      <c r="C12" s="137" t="n"/>
      <c r="D12" s="137" t="n"/>
    </row>
    <row r="13">
      <c r="A13" s="150" t="inlineStr">
        <is>
          <t>Составил ______________________        Е.А. Князева</t>
        </is>
      </c>
      <c r="B13" s="151" t="n"/>
      <c r="C13" s="151" t="n"/>
      <c r="D13" s="137" t="n"/>
    </row>
    <row r="14">
      <c r="A14" s="152" t="inlineStr">
        <is>
          <t xml:space="preserve">                         (подпись, инициалы, фамилия)</t>
        </is>
      </c>
      <c r="B14" s="151" t="n"/>
      <c r="C14" s="151" t="n"/>
      <c r="D14" s="137" t="n"/>
    </row>
    <row r="15">
      <c r="A15" s="150" t="n"/>
      <c r="B15" s="151" t="n"/>
      <c r="C15" s="151" t="n"/>
      <c r="D15" s="137" t="n"/>
    </row>
    <row r="16">
      <c r="A16" s="150" t="inlineStr">
        <is>
          <t>Проверил ______________________        А.В. Костянецкая</t>
        </is>
      </c>
      <c r="B16" s="151" t="n"/>
      <c r="C16" s="151" t="n"/>
      <c r="D16" s="137" t="n"/>
    </row>
    <row r="17">
      <c r="A17" s="152" t="inlineStr">
        <is>
          <t xml:space="preserve">                        (подпись, инициалы, фамилия)</t>
        </is>
      </c>
      <c r="B17" s="151" t="n"/>
      <c r="C17" s="151" t="n"/>
      <c r="D17" s="1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4" zoomScale="60" zoomScaleNormal="100" workbookViewId="0">
      <selection activeCell="D23" sqref="D23"/>
    </sheetView>
  </sheetViews>
  <sheetFormatPr baseColWidth="8" defaultRowHeight="15"/>
  <cols>
    <col width="40.7109375" customWidth="1" style="128" min="2" max="2"/>
    <col width="37" customWidth="1" style="128" min="3" max="3"/>
    <col width="32" customWidth="1" style="128" min="4" max="4"/>
  </cols>
  <sheetData>
    <row r="4" ht="15.75" customHeight="1" s="128">
      <c r="B4" s="160" t="inlineStr">
        <is>
          <t>Приложение № 10</t>
        </is>
      </c>
    </row>
    <row r="5" ht="18.75" customHeight="1" s="128">
      <c r="B5" s="35" t="n"/>
    </row>
    <row r="6" ht="15.75" customHeight="1" s="128">
      <c r="B6" s="165" t="inlineStr">
        <is>
          <t>Используемые индексы изменений сметной стоимости и нормы сопутствующих затрат</t>
        </is>
      </c>
    </row>
    <row r="7" ht="18.75" customHeight="1" s="128">
      <c r="B7" s="36" t="n"/>
    </row>
    <row r="8" ht="47.25" customHeight="1" s="128">
      <c r="B8" s="173" t="inlineStr">
        <is>
          <t>Наименование индекса / норм сопутствующих затрат</t>
        </is>
      </c>
      <c r="C8" s="173" t="inlineStr">
        <is>
          <t>Дата применения и обоснование индекса / норм сопутствующих затрат</t>
        </is>
      </c>
      <c r="D8" s="173" t="inlineStr">
        <is>
          <t>Размер индекса / норма сопутствующих затрат</t>
        </is>
      </c>
    </row>
    <row r="9" ht="15.75" customHeight="1" s="128">
      <c r="B9" s="173" t="n">
        <v>1</v>
      </c>
      <c r="C9" s="173" t="n">
        <v>2</v>
      </c>
      <c r="D9" s="173" t="n">
        <v>3</v>
      </c>
    </row>
    <row r="10" ht="45" customHeight="1" s="128">
      <c r="B10" s="173" t="inlineStr">
        <is>
          <t xml:space="preserve">Индекс изменения сметной стоимости на 1 квартал 2023 года. ОЗП </t>
        </is>
      </c>
      <c r="C10" s="173" t="inlineStr">
        <is>
          <t>Письмо Минстроя России от 30.03.2023г. №17106-ИФ/09  прил.1</t>
        </is>
      </c>
      <c r="D10" s="173" t="n">
        <v>44.29</v>
      </c>
    </row>
    <row r="11" ht="29.25" customHeight="1" s="128">
      <c r="B11" s="173" t="inlineStr">
        <is>
          <t>Индекс изменения сметной стоимости на 1 квартал 2023 года. ЭМ</t>
        </is>
      </c>
      <c r="C11" s="173" t="inlineStr">
        <is>
          <t>Письмо Минстроя России от 30.03.2023г. №17106-ИФ/09  прил.1</t>
        </is>
      </c>
      <c r="D11" s="173" t="n">
        <v>13.47</v>
      </c>
    </row>
    <row r="12" ht="29.25" customHeight="1" s="128">
      <c r="B12" s="173" t="inlineStr">
        <is>
          <t>Индекс изменения сметной стоимости на 1 квартал 2023 года. МАТ</t>
        </is>
      </c>
      <c r="C12" s="173" t="inlineStr">
        <is>
          <t>Письмо Минстроя России от 30.03.2023г. №17106-ИФ/09  прил.1</t>
        </is>
      </c>
      <c r="D12" s="173" t="n">
        <v>8.039999999999999</v>
      </c>
    </row>
    <row r="13" ht="30.75" customHeight="1" s="128">
      <c r="B13" s="173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73" t="n">
        <v>6.26</v>
      </c>
    </row>
    <row r="14" ht="89.45" customHeight="1" s="128">
      <c r="B14" s="173" t="inlineStr">
        <is>
          <t>Временные здания и сооружения</t>
        </is>
      </c>
      <c r="C14" s="1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0.039</v>
      </c>
    </row>
    <row r="15" ht="78.75" customHeight="1" s="128">
      <c r="B15" s="173" t="inlineStr">
        <is>
          <t>Дополнительные затраты при производстве строительно-монтажных работ в зимнее время</t>
        </is>
      </c>
      <c r="C15" s="1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0.021</v>
      </c>
    </row>
    <row r="16" ht="34.5" customHeight="1" s="128">
      <c r="B16" s="173" t="inlineStr">
        <is>
          <t>Пусконаладочные работы</t>
        </is>
      </c>
      <c r="C16" s="173" t="n"/>
      <c r="D16" s="173" t="inlineStr">
        <is>
          <t>Расчёт</t>
        </is>
      </c>
    </row>
    <row r="17" ht="31.7" customHeight="1" s="128">
      <c r="B17" s="173" t="inlineStr">
        <is>
          <t>Строительный контроль</t>
        </is>
      </c>
      <c r="C17" s="173" t="inlineStr">
        <is>
          <t>Постановление Правительства РФ от 21.06.10 г. № 468</t>
        </is>
      </c>
      <c r="D17" s="42" t="n">
        <v>0.0214</v>
      </c>
    </row>
    <row r="18" ht="31.7" customHeight="1" s="128">
      <c r="B18" s="173" t="inlineStr">
        <is>
          <t>Авторский надзор - 0,2%</t>
        </is>
      </c>
      <c r="C18" s="173" t="inlineStr">
        <is>
          <t>Приказ от 4.08.2020 № 421/пр п.173</t>
        </is>
      </c>
      <c r="D18" s="42" t="n">
        <v>0.002</v>
      </c>
    </row>
    <row r="19" ht="24" customHeight="1" s="128">
      <c r="B19" s="173" t="inlineStr">
        <is>
          <t>Непредвиденные расходы</t>
        </is>
      </c>
      <c r="C19" s="173" t="inlineStr">
        <is>
          <t>Приказ от 4.08.2020 № 421/пр п.179</t>
        </is>
      </c>
      <c r="D19" s="42" t="n">
        <v>0.03</v>
      </c>
    </row>
    <row r="20" ht="18.75" customHeight="1" s="128">
      <c r="B20" s="36" t="n"/>
    </row>
    <row r="21" ht="18.75" customHeight="1" s="128">
      <c r="B21" s="36" t="n"/>
    </row>
    <row r="22" ht="18.75" customHeight="1" s="128">
      <c r="B22" s="36" t="n"/>
    </row>
    <row r="23" ht="18.75" customHeight="1" s="128">
      <c r="B23" s="36" t="n"/>
    </row>
    <row r="26">
      <c r="B26" s="150" t="inlineStr">
        <is>
          <t>Составил ______________________        Е.А. Князева</t>
        </is>
      </c>
      <c r="C26" s="151" t="n"/>
    </row>
    <row r="27">
      <c r="B27" s="152" t="inlineStr">
        <is>
          <t xml:space="preserve">                         (подпись, инициалы, фамилия)</t>
        </is>
      </c>
      <c r="C27" s="151" t="n"/>
    </row>
    <row r="28">
      <c r="B28" s="150" t="n"/>
      <c r="C28" s="151" t="n"/>
    </row>
    <row r="29">
      <c r="B29" s="150" t="inlineStr">
        <is>
          <t>Проверил ______________________        А.В. Костянецкая</t>
        </is>
      </c>
      <c r="C29" s="151" t="n"/>
    </row>
    <row r="30">
      <c r="B30" s="152" t="inlineStr">
        <is>
          <t xml:space="preserve">                        (подпись, инициалы, фамилия)</t>
        </is>
      </c>
      <c r="C30" s="15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2" sqref="D22"/>
    </sheetView>
  </sheetViews>
  <sheetFormatPr baseColWidth="8" defaultRowHeight="15"/>
  <cols>
    <col width="9.140625" customWidth="1" style="128" min="1" max="1"/>
    <col width="44.85546875" customWidth="1" style="128" min="2" max="2"/>
    <col width="13" customWidth="1" style="128" min="3" max="3"/>
    <col width="22.85546875" customWidth="1" style="128" min="4" max="4"/>
    <col width="21.5703125" customWidth="1" style="128" min="5" max="5"/>
    <col width="43.85546875" customWidth="1" style="128" min="6" max="6"/>
    <col width="9.140625" customWidth="1" style="128" min="7" max="7"/>
  </cols>
  <sheetData>
    <row r="2" ht="18" customHeight="1" s="128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28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 s="128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4" t="inlineStr">
        <is>
          <t>С1ср</t>
        </is>
      </c>
      <c r="D7" s="154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28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154" t="inlineStr">
        <is>
          <t>tср</t>
        </is>
      </c>
      <c r="D8" s="154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154" t="inlineStr">
        <is>
          <t>Кув</t>
        </is>
      </c>
      <c r="D9" s="154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154" t="n"/>
      <c r="D10" s="154" t="n"/>
      <c r="E10" s="28" t="n">
        <v>3.9</v>
      </c>
      <c r="F10" s="24" t="inlineStr">
        <is>
          <t>РТМ</t>
        </is>
      </c>
      <c r="G10" s="27" t="n"/>
    </row>
    <row r="11" ht="75.2" customHeight="1" s="128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154" t="inlineStr">
        <is>
          <t>КТ</t>
        </is>
      </c>
      <c r="D11" s="154" t="inlineStr">
        <is>
          <t>-</t>
        </is>
      </c>
      <c r="E11" s="29" t="n">
        <v>1.324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28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154" t="inlineStr">
        <is>
          <t>Кинф</t>
        </is>
      </c>
      <c r="D12" s="154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28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154" t="inlineStr">
        <is>
          <t>ФОТр.тек.</t>
        </is>
      </c>
      <c r="D13" s="154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2025-01-24T11:54:32Z</dcterms:modified>
  <cp:lastModifiedBy>Danil</cp:lastModifiedBy>
  <cp:lastPrinted>2023-11-24T08:02:43Z</cp:lastPrinted>
</cp:coreProperties>
</file>