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A5A5A5"/>
      <sz val="11"/>
    </font>
    <font>
      <name val="Calibri"/>
      <b val="1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vertical="center" wrapText="1"/>
    </xf>
    <xf numFmtId="164" fontId="2" fillId="0" borderId="1" applyAlignment="1" pivotButton="0" quotePrefix="0" xfId="0">
      <alignment horizontal="right" vertical="center" wrapText="1"/>
    </xf>
    <xf numFmtId="168" fontId="17" fillId="0" borderId="0" pivotButton="0" quotePrefix="0" xfId="0"/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3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4" fontId="2" fillId="0" borderId="0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4" fontId="10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49" fontId="9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righ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85" zoomScaleNormal="85" workbookViewId="0">
      <selection activeCell="C30" sqref="C30"/>
    </sheetView>
  </sheetViews>
  <sheetFormatPr baseColWidth="8" defaultRowHeight="15"/>
  <cols>
    <col width="36.85546875" customWidth="1" style="116" min="3" max="3"/>
    <col width="39.42578125" customWidth="1" style="116" min="4" max="4"/>
    <col width="14.28515625" customWidth="1" style="116" min="7" max="7"/>
    <col width="15" customWidth="1" style="116" min="10" max="10"/>
  </cols>
  <sheetData>
    <row r="3" ht="15.75" customHeight="1" s="116">
      <c r="B3" s="202" t="inlineStr">
        <is>
          <t>Приложение № 1</t>
        </is>
      </c>
    </row>
    <row r="4" ht="18.75" customHeight="1" s="116">
      <c r="B4" s="203" t="inlineStr">
        <is>
          <t>Сравнительная таблица отбора объекта-представителя</t>
        </is>
      </c>
    </row>
    <row r="5" ht="84.2" customHeight="1" s="116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6">
      <c r="B6" s="106" t="n"/>
      <c r="C6" s="106" t="n"/>
      <c r="D6" s="106" t="n"/>
    </row>
    <row r="7" ht="64.5" customHeight="1" s="116">
      <c r="B7" s="201" t="inlineStr">
        <is>
          <t>Наименование разрабатываемого показателя УНЦ - Ячейка выключателя НУ 110кВ, ном.ток 2500А, ном.ток отключения 40кА</t>
        </is>
      </c>
    </row>
    <row r="8" ht="31.7" customHeight="1" s="116">
      <c r="B8" s="201" t="inlineStr">
        <is>
          <t>Сопоставимый уровень цен: 3 квартал 2014 года</t>
        </is>
      </c>
    </row>
    <row r="9" ht="15.75" customHeight="1" s="116">
      <c r="B9" s="201" t="inlineStr">
        <is>
          <t>Единица измерения  — 1 ячейка</t>
        </is>
      </c>
    </row>
    <row r="10" ht="18.75" customHeight="1" s="116">
      <c r="B10" s="80" t="n"/>
    </row>
    <row r="11" ht="15.75" customHeight="1" s="116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 xml:space="preserve">Объект-представитель </t>
        </is>
      </c>
    </row>
    <row r="12" ht="31.7" customHeight="1" s="116">
      <c r="B12" s="206" t="n">
        <v>1</v>
      </c>
      <c r="C12" s="110" t="inlineStr">
        <is>
          <t>Наименование объекта-представителя</t>
        </is>
      </c>
      <c r="D12" s="206" t="inlineStr">
        <is>
          <t>ПС Святогор (МЭС Западная Сибирь)</t>
        </is>
      </c>
    </row>
    <row r="13" ht="46.9" customHeight="1" s="116">
      <c r="B13" s="206" t="n">
        <v>2</v>
      </c>
      <c r="C13" s="110" t="inlineStr">
        <is>
          <t>Наименование субъекта Российской Федерации</t>
        </is>
      </c>
      <c r="D13" s="206" t="inlineStr">
        <is>
          <t>Тюменская область 
ХМАО — Югра
Нефтеюганский район</t>
        </is>
      </c>
    </row>
    <row r="14" ht="15.75" customHeight="1" s="116">
      <c r="B14" s="206" t="n">
        <v>3</v>
      </c>
      <c r="C14" s="110" t="inlineStr">
        <is>
          <t>Климатический район и подрайон</t>
        </is>
      </c>
      <c r="D14" s="206" t="inlineStr">
        <is>
          <t>IД</t>
        </is>
      </c>
    </row>
    <row r="15" ht="15.75" customHeight="1" s="116">
      <c r="B15" s="206" t="n">
        <v>4</v>
      </c>
      <c r="C15" s="110" t="inlineStr">
        <is>
          <t>Мощность объекта</t>
        </is>
      </c>
      <c r="D15" s="206" t="n">
        <v>11</v>
      </c>
    </row>
    <row r="16" ht="102.75" customHeight="1" s="116">
      <c r="B16" s="206" t="n">
        <v>5</v>
      </c>
      <c r="C16" s="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6" t="inlineStr">
        <is>
          <t>Схема РУ 110-9 "Одна рабочая секционированная выключателем система шин" 
тип выключателя- элегазовый колонковый
I откл. (кА)/I ном (А) - 40/2500</t>
        </is>
      </c>
    </row>
    <row r="17" ht="78.75" customHeight="1" s="116">
      <c r="B17" s="206" t="n">
        <v>6</v>
      </c>
      <c r="C17" s="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>
        <f>SUM(D18:D21)</f>
        <v/>
      </c>
    </row>
    <row r="18" ht="15.75" customHeight="1" s="116">
      <c r="B18" s="197" t="inlineStr">
        <is>
          <t>6.1</t>
        </is>
      </c>
      <c r="C18" s="110" t="inlineStr">
        <is>
          <t>строительно-монтажные работы</t>
        </is>
      </c>
      <c r="D18" s="192" t="n">
        <v>4342.47</v>
      </c>
    </row>
    <row r="19" ht="15.75" customHeight="1" s="116">
      <c r="B19" s="197" t="inlineStr">
        <is>
          <t>6.2</t>
        </is>
      </c>
      <c r="C19" s="110" t="inlineStr">
        <is>
          <t>оборудование и инвентарь</t>
        </is>
      </c>
      <c r="D19" s="192" t="n">
        <v>13049.06</v>
      </c>
    </row>
    <row r="20" ht="15.75" customHeight="1" s="116">
      <c r="B20" s="197" t="inlineStr">
        <is>
          <t>6.3</t>
        </is>
      </c>
      <c r="C20" s="110" t="inlineStr">
        <is>
          <t>пусконаладочные работы</t>
        </is>
      </c>
      <c r="D20" s="192" t="n"/>
    </row>
    <row r="21" ht="15.75" customHeight="1" s="116">
      <c r="B21" s="197" t="inlineStr">
        <is>
          <t>6.4</t>
        </is>
      </c>
      <c r="C21" s="110" t="inlineStr">
        <is>
          <t>прочие и лимитированные затраты</t>
        </is>
      </c>
      <c r="D21" s="192" t="n">
        <v>3149</v>
      </c>
    </row>
    <row r="22" ht="15.75" customHeight="1" s="116">
      <c r="B22" s="206" t="n">
        <v>7</v>
      </c>
      <c r="C22" s="110" t="inlineStr">
        <is>
          <t>Сопоставимый уровень цен</t>
        </is>
      </c>
      <c r="D22" s="197" t="inlineStr">
        <is>
          <t>3 квартал 2014 года</t>
        </is>
      </c>
      <c r="G22" s="119" t="n"/>
    </row>
    <row r="23" ht="110.25" customHeight="1" s="116">
      <c r="B23" s="206" t="n">
        <v>8</v>
      </c>
      <c r="C23" s="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>
        <f>D17</f>
        <v/>
      </c>
    </row>
    <row r="24" ht="47.25" customHeight="1" s="116">
      <c r="B24" s="206" t="n">
        <v>9</v>
      </c>
      <c r="C24" s="83" t="inlineStr">
        <is>
          <t>Приведенная сметная стоимость на единицу мощности, тыс. руб. (строка 8/строку 4)</t>
        </is>
      </c>
      <c r="D24" s="192">
        <f>D23/D15</f>
        <v/>
      </c>
      <c r="G24" s="119" t="n"/>
    </row>
    <row r="25" hidden="1" ht="110.25" customHeight="1" s="116">
      <c r="B25" s="206" t="n">
        <v>10</v>
      </c>
      <c r="C25" s="110" t="inlineStr">
        <is>
          <t>Примечание</t>
        </is>
      </c>
      <c r="D25" s="11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16">
      <c r="B26" s="111" t="n"/>
      <c r="C26" s="112" t="n"/>
      <c r="D26" s="112" t="n"/>
    </row>
    <row r="27" hidden="1" s="116">
      <c r="B27" s="187" t="inlineStr">
        <is>
          <t>Составил ______________________        Е.А. Князева</t>
        </is>
      </c>
      <c r="C27" s="188" t="n"/>
    </row>
    <row r="28" hidden="1" s="116">
      <c r="B28" s="176" t="inlineStr">
        <is>
          <t xml:space="preserve">                         (подпись, инициалы, фамилия)</t>
        </is>
      </c>
      <c r="C28" s="188" t="n"/>
    </row>
    <row r="29" hidden="1" s="116">
      <c r="B29" s="176" t="n"/>
      <c r="C29" s="188" t="n"/>
    </row>
    <row r="30">
      <c r="B30" s="187" t="inlineStr">
        <is>
          <t>Составил ______________________        Р.Р. Шагеева</t>
        </is>
      </c>
      <c r="C30" s="188" t="n"/>
    </row>
    <row r="31">
      <c r="B31" s="176" t="inlineStr">
        <is>
          <t xml:space="preserve">                         (подпись, инициалы, фамилия)</t>
        </is>
      </c>
      <c r="C31" s="188" t="n"/>
    </row>
    <row r="32">
      <c r="B32" s="187" t="n"/>
      <c r="C32" s="188" t="n"/>
    </row>
    <row r="33">
      <c r="B33" s="187" t="inlineStr">
        <is>
          <t>Проверил ______________________        А.В. Костянецкая</t>
        </is>
      </c>
      <c r="C33" s="188" t="n"/>
    </row>
    <row r="34">
      <c r="B34" s="176" t="inlineStr">
        <is>
          <t xml:space="preserve">                        (подпись, инициалы, фамилия)</t>
        </is>
      </c>
      <c r="C34" s="188" t="n"/>
    </row>
    <row r="35" ht="15.75" customHeight="1" s="116">
      <c r="B35" s="112" t="n"/>
      <c r="C35" s="112" t="n"/>
      <c r="D35" s="11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workbookViewId="0">
      <selection activeCell="C17" sqref="C17"/>
    </sheetView>
  </sheetViews>
  <sheetFormatPr baseColWidth="8" defaultRowHeight="15"/>
  <cols>
    <col width="5.5703125" customWidth="1" style="116" min="1" max="1"/>
    <col width="35.28515625" customWidth="1" style="116" min="3" max="3"/>
    <col width="13.85546875" customWidth="1" style="116" min="4" max="4"/>
    <col width="17.42578125" customWidth="1" style="116" min="5" max="5"/>
    <col width="12.710937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18" customWidth="1" style="116" min="11" max="11"/>
  </cols>
  <sheetData>
    <row r="3" ht="15.75" customHeight="1" s="116">
      <c r="B3" s="202" t="inlineStr">
        <is>
          <t>Приложение № 2</t>
        </is>
      </c>
    </row>
    <row r="4" ht="15.75" customHeight="1" s="116">
      <c r="B4" s="207" t="inlineStr">
        <is>
          <t>Расчет стоимости основных видов работ для выбора объекта-представителя</t>
        </is>
      </c>
    </row>
    <row r="5" ht="15.75" customHeight="1" s="116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16">
      <c r="B6" s="201">
        <f>'Прил.1 Сравнит табл'!B7</f>
        <v/>
      </c>
    </row>
    <row r="7" ht="15.75" customHeight="1" s="116">
      <c r="B7" s="201">
        <f>'Прил.1 Сравнит табл'!B9</f>
        <v/>
      </c>
    </row>
    <row r="8" ht="18.75" customHeight="1" s="116">
      <c r="B8" s="80" t="n"/>
    </row>
    <row r="9" ht="15.75" customHeight="1" s="116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244" t="n"/>
      <c r="F9" s="244" t="n"/>
      <c r="G9" s="244" t="n"/>
      <c r="H9" s="244" t="n"/>
      <c r="I9" s="244" t="n"/>
      <c r="J9" s="245" t="n"/>
    </row>
    <row r="10" ht="15.75" customHeight="1" s="116">
      <c r="B10" s="246" t="n"/>
      <c r="C10" s="246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3 кв. 2014 г., тыс. руб.</t>
        </is>
      </c>
      <c r="G10" s="244" t="n"/>
      <c r="H10" s="244" t="n"/>
      <c r="I10" s="244" t="n"/>
      <c r="J10" s="245" t="n"/>
    </row>
    <row r="11" ht="31.7" customHeight="1" s="116">
      <c r="B11" s="247" t="n"/>
      <c r="C11" s="247" t="n"/>
      <c r="D11" s="247" t="n"/>
      <c r="E11" s="247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97.90000000000001" customHeight="1" s="116">
      <c r="B12" s="193" t="n">
        <v>1</v>
      </c>
      <c r="C12" s="193" t="inlineStr">
        <is>
          <t>Схема РУ 110-9 "Одна рабочая секционированная выключателем система шин" 
тип выключателя- элегазовый колонковый
I откл. (кА)/I ном (А) - 40/2500</t>
        </is>
      </c>
      <c r="D12" s="193" t="inlineStr">
        <is>
          <t>02-01-02 ОРУ 110кВ
02-01-01ОРУ 110кВ
02-01-01ОРУ 110кВ</t>
        </is>
      </c>
      <c r="E12" s="193" t="inlineStr">
        <is>
          <t>Электротехнические решения; Конструктивно-строительные решения; КСР. с метал</t>
        </is>
      </c>
      <c r="F12" s="194">
        <f>587615*7.39/1000</f>
        <v/>
      </c>
      <c r="G12" s="194" t="n"/>
      <c r="H12" s="194">
        <f>3229965*4.04/1000</f>
        <v/>
      </c>
      <c r="I12" s="194">
        <f>397099*7.93/1000</f>
        <v/>
      </c>
      <c r="J12" s="194">
        <f>SUM(F12:I12)</f>
        <v/>
      </c>
    </row>
    <row r="13" ht="15.75" customHeight="1" s="116">
      <c r="B13" s="208" t="inlineStr">
        <is>
          <t>Всего по объекту:</t>
        </is>
      </c>
      <c r="C13" s="248" t="n"/>
      <c r="D13" s="248" t="n"/>
      <c r="E13" s="249" t="n"/>
      <c r="F13" s="195">
        <f>SUM(F12)</f>
        <v/>
      </c>
      <c r="G13" s="195" t="n"/>
      <c r="H13" s="195">
        <f>SUM(H12)</f>
        <v/>
      </c>
      <c r="I13" s="195">
        <f>SUM(I12)</f>
        <v/>
      </c>
      <c r="J13" s="195">
        <f>SUM(J12)</f>
        <v/>
      </c>
    </row>
    <row r="14" ht="15.75" customHeight="1" s="116">
      <c r="B14" s="205" t="inlineStr">
        <is>
          <t>Всего по объекту в сопоставимом уровне цен 3 кв. 2014г:</t>
        </is>
      </c>
      <c r="C14" s="244" t="n"/>
      <c r="D14" s="244" t="n"/>
      <c r="E14" s="245" t="n"/>
      <c r="F14" s="196">
        <f>F13</f>
        <v/>
      </c>
      <c r="G14" s="196" t="n"/>
      <c r="H14" s="196">
        <f>H13</f>
        <v/>
      </c>
      <c r="I14" s="196">
        <f>I13</f>
        <v/>
      </c>
      <c r="J14" s="196">
        <f>J13</f>
        <v/>
      </c>
    </row>
    <row r="18">
      <c r="C18" s="187" t="inlineStr">
        <is>
          <t>Составил ______________________        Р.Р. Шагеева</t>
        </is>
      </c>
      <c r="D18" s="188" t="n"/>
    </row>
    <row r="19">
      <c r="C19" s="176" t="inlineStr">
        <is>
          <t xml:space="preserve">                         (подпись, инициалы, фамилия)</t>
        </is>
      </c>
      <c r="D19" s="188" t="n"/>
    </row>
    <row r="20">
      <c r="C20" s="187" t="n"/>
      <c r="D20" s="188" t="n"/>
    </row>
    <row r="21">
      <c r="C21" s="187" t="inlineStr">
        <is>
          <t>Проверил ______________________        А.В. Костянецкая</t>
        </is>
      </c>
      <c r="D21" s="188" t="n"/>
    </row>
    <row r="22">
      <c r="C22" s="176" t="inlineStr">
        <is>
          <t xml:space="preserve">                        (подпись, инициалы, фамилия)</t>
        </is>
      </c>
      <c r="D22" s="18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4"/>
  <sheetViews>
    <sheetView view="pageBreakPreview" topLeftCell="A158" zoomScale="85" workbookViewId="0">
      <selection activeCell="C182" sqref="C182"/>
    </sheetView>
  </sheetViews>
  <sheetFormatPr baseColWidth="8" defaultRowHeight="15"/>
  <cols>
    <col width="12.5703125" customWidth="1" style="116" min="2" max="2"/>
    <col width="17" customWidth="1" style="116" min="3" max="3"/>
    <col width="49.7109375" customWidth="1" style="116" min="4" max="4"/>
    <col width="16.28515625" customWidth="1" style="116" min="5" max="5"/>
    <col width="20.7109375" customWidth="1" style="116" min="6" max="6"/>
    <col width="16.140625" customWidth="1" style="116" min="7" max="7"/>
    <col width="17.7109375" customWidth="1" style="116" min="8" max="8"/>
    <col width="4.5703125" customWidth="1" style="116" min="9" max="9"/>
    <col width="12.42578125" customWidth="1" style="116" min="10" max="10"/>
    <col width="13" customWidth="1" style="116" min="11" max="11"/>
    <col width="9.140625" customWidth="1" style="116" min="12" max="12"/>
  </cols>
  <sheetData>
    <row r="2" ht="15.75" customHeight="1" s="116">
      <c r="A2" s="202" t="inlineStr">
        <is>
          <t xml:space="preserve">Приложение № 3 </t>
        </is>
      </c>
    </row>
    <row r="3" ht="18.75" customHeight="1" s="116">
      <c r="A3" s="203" t="inlineStr">
        <is>
          <t>Объектная ресурсная ведомость</t>
        </is>
      </c>
    </row>
    <row r="4">
      <c r="B4" s="117" t="n"/>
    </row>
    <row r="5" ht="18.75" customHeight="1" s="116">
      <c r="A5" s="203" t="n"/>
      <c r="B5" s="203" t="n"/>
      <c r="C5" s="211" t="n"/>
    </row>
    <row r="6" ht="18.75" customHeight="1" s="116">
      <c r="A6" s="80" t="n"/>
    </row>
    <row r="7" ht="32.25" customHeight="1" s="116">
      <c r="A7" s="214">
        <f>'Прил.1 Сравнит табл'!B7</f>
        <v/>
      </c>
    </row>
    <row r="8" ht="15.75" customHeight="1" s="116">
      <c r="A8" s="45" t="n"/>
      <c r="B8" s="45" t="n"/>
      <c r="C8" s="45" t="n"/>
      <c r="D8" s="45" t="n"/>
      <c r="E8" s="45" t="n"/>
      <c r="F8" s="45" t="n"/>
      <c r="G8" s="45" t="n"/>
      <c r="H8" s="78" t="n"/>
    </row>
    <row r="9" ht="38.25" customHeight="1" s="116">
      <c r="A9" s="206" t="inlineStr">
        <is>
          <t>п/п</t>
        </is>
      </c>
      <c r="B9" s="206" t="inlineStr">
        <is>
          <t>№ЛСР</t>
        </is>
      </c>
      <c r="C9" s="206" t="inlineStr">
        <is>
          <t>Код ресурса</t>
        </is>
      </c>
      <c r="D9" s="206" t="inlineStr">
        <is>
          <t>Наименование ресурса</t>
        </is>
      </c>
      <c r="E9" s="206" t="inlineStr">
        <is>
          <t>Ед. изм.</t>
        </is>
      </c>
      <c r="F9" s="206" t="inlineStr">
        <is>
          <t>Кол-во единиц по данным объекта-представителя</t>
        </is>
      </c>
      <c r="G9" s="206" t="inlineStr">
        <is>
          <t>Сметная стоимость в ценах на 01.01.2000 (руб.)</t>
        </is>
      </c>
      <c r="H9" s="245" t="n"/>
    </row>
    <row r="10" ht="40.7" customHeight="1" s="116">
      <c r="A10" s="247" t="n"/>
      <c r="B10" s="247" t="n"/>
      <c r="C10" s="247" t="n"/>
      <c r="D10" s="247" t="n"/>
      <c r="E10" s="247" t="n"/>
      <c r="F10" s="247" t="n"/>
      <c r="G10" s="206" t="inlineStr">
        <is>
          <t>на ед.изм.</t>
        </is>
      </c>
      <c r="H10" s="206" t="inlineStr">
        <is>
          <t>общая</t>
        </is>
      </c>
    </row>
    <row r="11" ht="15.75" customHeight="1" s="116">
      <c r="A11" s="206" t="n">
        <v>1</v>
      </c>
      <c r="B11" s="193" t="n"/>
      <c r="C11" s="206" t="n">
        <v>2</v>
      </c>
      <c r="D11" s="206" t="inlineStr">
        <is>
          <t>З</t>
        </is>
      </c>
      <c r="E11" s="206" t="n">
        <v>4</v>
      </c>
      <c r="F11" s="206" t="n">
        <v>5</v>
      </c>
      <c r="G11" s="193" t="n">
        <v>6</v>
      </c>
      <c r="H11" s="193" t="n">
        <v>7</v>
      </c>
    </row>
    <row r="12" ht="15" customHeight="1" s="116">
      <c r="A12" s="209" t="inlineStr">
        <is>
          <t>Затраты труда рабочих</t>
        </is>
      </c>
      <c r="B12" s="244" t="n"/>
      <c r="C12" s="244" t="n"/>
      <c r="D12" s="244" t="n"/>
      <c r="E12" s="244" t="n"/>
      <c r="F12" s="55">
        <f>SUM(F13:F24)</f>
        <v/>
      </c>
      <c r="G12" s="56" t="n"/>
      <c r="H12" s="190">
        <f>SUM(H13:H24)</f>
        <v/>
      </c>
      <c r="J12" s="84" t="n"/>
      <c r="K12" s="121" t="n"/>
    </row>
    <row r="13">
      <c r="A13" s="160" t="n">
        <v>1</v>
      </c>
      <c r="B13" s="24" t="n"/>
      <c r="C13" s="160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19" t="inlineStr">
        <is>
          <t>чел.-ч</t>
        </is>
      </c>
      <c r="F13" s="182">
        <f>H13/G13</f>
        <v/>
      </c>
      <c r="G13" s="141" t="n">
        <v>9.619999999999999</v>
      </c>
      <c r="H13" s="141" t="n">
        <v>75564.019364648</v>
      </c>
      <c r="J13" s="127" t="n"/>
    </row>
    <row r="14">
      <c r="A14" s="183">
        <f>A13+1</f>
        <v/>
      </c>
      <c r="B14" s="24" t="n"/>
      <c r="C14" s="160" t="inlineStr">
        <is>
          <t>1-4-9</t>
        </is>
      </c>
      <c r="D14" s="218" t="inlineStr">
        <is>
          <t>Затраты труда рабочих (средний разряд работы 4,9)</t>
        </is>
      </c>
      <c r="E14" s="219" t="inlineStr">
        <is>
          <t>чел.-ч</t>
        </is>
      </c>
      <c r="F14" s="182">
        <f>H14/G14</f>
        <v/>
      </c>
      <c r="G14" s="141" t="n">
        <v>10.94</v>
      </c>
      <c r="H14" s="141" t="n">
        <v>31260.26721276</v>
      </c>
    </row>
    <row r="15">
      <c r="A15" s="183">
        <f>A14+1</f>
        <v/>
      </c>
      <c r="B15" s="24" t="n"/>
      <c r="C15" s="160" t="inlineStr">
        <is>
          <t>1-4-3</t>
        </is>
      </c>
      <c r="D15" s="218" t="inlineStr">
        <is>
          <t>Затраты труда рабочих (средний разряд работы 4,3)</t>
        </is>
      </c>
      <c r="E15" s="219" t="inlineStr">
        <is>
          <t>чел.-ч</t>
        </is>
      </c>
      <c r="F15" s="182">
        <f>H15/G15</f>
        <v/>
      </c>
      <c r="G15" s="141" t="n">
        <v>10.06</v>
      </c>
      <c r="H15" s="141" t="n">
        <v>15219.104195693</v>
      </c>
    </row>
    <row r="16">
      <c r="A16" s="183">
        <f>A15+1</f>
        <v/>
      </c>
      <c r="B16" s="24" t="n"/>
      <c r="C16" s="160" t="inlineStr">
        <is>
          <t>1-3-9</t>
        </is>
      </c>
      <c r="D16" s="218" t="inlineStr">
        <is>
          <t>Затраты труда рабочих (средний разряд работы 3,9)</t>
        </is>
      </c>
      <c r="E16" s="219" t="inlineStr">
        <is>
          <t>чел.-ч</t>
        </is>
      </c>
      <c r="F16" s="182">
        <f>H16/G16</f>
        <v/>
      </c>
      <c r="G16" s="141" t="n">
        <v>9.51</v>
      </c>
      <c r="H16" s="141" t="n">
        <v>13200.034543198</v>
      </c>
    </row>
    <row r="17">
      <c r="A17" s="183">
        <f>A16+1</f>
        <v/>
      </c>
      <c r="B17" s="24" t="n"/>
      <c r="C17" s="160" t="inlineStr">
        <is>
          <t>1-4-1</t>
        </is>
      </c>
      <c r="D17" s="218" t="inlineStr">
        <is>
          <t>Затраты труда рабочих (средний разряд работы 4,1)</t>
        </is>
      </c>
      <c r="E17" s="219" t="inlineStr">
        <is>
          <t>чел.-ч</t>
        </is>
      </c>
      <c r="F17" s="182">
        <f>H17/G17</f>
        <v/>
      </c>
      <c r="G17" s="141" t="n">
        <v>9.76</v>
      </c>
      <c r="H17" s="141" t="n">
        <v>8618.7146240847</v>
      </c>
    </row>
    <row r="18">
      <c r="A18" s="183">
        <f>A17+1</f>
        <v/>
      </c>
      <c r="B18" s="24" t="n"/>
      <c r="C18" s="160" t="inlineStr">
        <is>
          <t>1-3-8</t>
        </is>
      </c>
      <c r="D18" s="218" t="inlineStr">
        <is>
          <t>Затраты труда рабочих (средний разряд работы 3,8)</t>
        </is>
      </c>
      <c r="E18" s="219" t="inlineStr">
        <is>
          <t>чел.-ч</t>
        </is>
      </c>
      <c r="F18" s="182">
        <f>H18/G18</f>
        <v/>
      </c>
      <c r="G18" s="141" t="n">
        <v>9.4</v>
      </c>
      <c r="H18" s="141" t="n">
        <v>3856.3855002652</v>
      </c>
    </row>
    <row r="19">
      <c r="A19" s="183">
        <f>A18+1</f>
        <v/>
      </c>
      <c r="B19" s="24" t="n"/>
      <c r="C19" s="160" t="inlineStr">
        <is>
          <t>1-4-2</t>
        </is>
      </c>
      <c r="D19" s="218" t="inlineStr">
        <is>
          <t>Затраты труда рабочих (средний разряд работы 4,2)</t>
        </is>
      </c>
      <c r="E19" s="219" t="inlineStr">
        <is>
          <t>чел.-ч</t>
        </is>
      </c>
      <c r="F19" s="182">
        <f>H19/G19</f>
        <v/>
      </c>
      <c r="G19" s="141" t="n">
        <v>9.92</v>
      </c>
      <c r="H19" s="141" t="n">
        <v>3197.0064831215</v>
      </c>
    </row>
    <row r="20">
      <c r="A20" s="183">
        <f>A19+1</f>
        <v/>
      </c>
      <c r="B20" s="24" t="n"/>
      <c r="C20" s="160" t="inlineStr">
        <is>
          <t>1-3-6</t>
        </is>
      </c>
      <c r="D20" s="218" t="inlineStr">
        <is>
          <t>Затраты труда рабочих (средний разряд работы 3,6)</t>
        </is>
      </c>
      <c r="E20" s="219" t="inlineStr">
        <is>
          <t>чел.-ч</t>
        </is>
      </c>
      <c r="F20" s="182">
        <f>H20/G20</f>
        <v/>
      </c>
      <c r="G20" s="141" t="n">
        <v>9.18</v>
      </c>
      <c r="H20" s="141" t="n">
        <v>2297.3562597308</v>
      </c>
    </row>
    <row r="21">
      <c r="A21" s="183">
        <f>A20+1</f>
        <v/>
      </c>
      <c r="B21" s="24" t="n"/>
      <c r="C21" s="160" t="inlineStr">
        <is>
          <t>1-1-5</t>
        </is>
      </c>
      <c r="D21" s="218" t="inlineStr">
        <is>
          <t>Затраты труда рабочих (средний разряд работы 1,5)</t>
        </is>
      </c>
      <c r="E21" s="219" t="inlineStr">
        <is>
          <t>чел.-ч</t>
        </is>
      </c>
      <c r="F21" s="182">
        <f>H21/G21</f>
        <v/>
      </c>
      <c r="G21" s="141" t="n">
        <v>7.5</v>
      </c>
      <c r="H21" s="141" t="n">
        <v>450.73801171909</v>
      </c>
    </row>
    <row r="22">
      <c r="A22" s="183">
        <f>A21+1</f>
        <v/>
      </c>
      <c r="B22" s="24" t="n"/>
      <c r="C22" s="160" t="inlineStr">
        <is>
          <t>1-4-7</t>
        </is>
      </c>
      <c r="D22" s="218" t="inlineStr">
        <is>
          <t>Затраты труда рабочих (средний разряд работы 4,7)</t>
        </is>
      </c>
      <c r="E22" s="219" t="inlineStr">
        <is>
          <t>чел.-ч</t>
        </is>
      </c>
      <c r="F22" s="182">
        <f>H22/G22</f>
        <v/>
      </c>
      <c r="G22" s="141" t="n">
        <v>10.65</v>
      </c>
      <c r="H22" s="141" t="n">
        <v>115.36200299939</v>
      </c>
    </row>
    <row r="23">
      <c r="A23" s="183">
        <f>A22+1</f>
        <v/>
      </c>
      <c r="B23" s="24" t="n"/>
      <c r="C23" s="160" t="inlineStr">
        <is>
          <t>1-2-0</t>
        </is>
      </c>
      <c r="D23" s="218" t="inlineStr">
        <is>
          <t>Затраты труда рабочих (средний разряд работы 2,0)</t>
        </is>
      </c>
      <c r="E23" s="219" t="inlineStr">
        <is>
          <t>чел.-ч</t>
        </is>
      </c>
      <c r="F23" s="182">
        <f>H23/G23</f>
        <v/>
      </c>
      <c r="G23" s="141" t="n">
        <v>7.8</v>
      </c>
      <c r="H23" s="141" t="n">
        <v>45.583801185169</v>
      </c>
    </row>
    <row r="24">
      <c r="A24" s="183">
        <f>A23+1</f>
        <v/>
      </c>
      <c r="B24" s="24" t="n"/>
      <c r="C24" s="160" t="inlineStr">
        <is>
          <t>1-3-5</t>
        </is>
      </c>
      <c r="D24" s="218" t="inlineStr">
        <is>
          <t>Затраты труда рабочих (средний разряд работы 3,5)</t>
        </is>
      </c>
      <c r="E24" s="219" t="inlineStr">
        <is>
          <t>чел.-ч</t>
        </is>
      </c>
      <c r="F24" s="182">
        <f>H24/G24</f>
        <v/>
      </c>
      <c r="G24" s="141" t="n">
        <v>9.07</v>
      </c>
      <c r="H24" s="141" t="n">
        <v>22.848000594043</v>
      </c>
    </row>
    <row r="25" ht="15" customHeight="1" s="116">
      <c r="A25" s="213" t="inlineStr">
        <is>
          <t>Затраты труда машинистов</t>
        </is>
      </c>
      <c r="B25" s="244" t="n"/>
      <c r="C25" s="244" t="n"/>
      <c r="D25" s="244" t="n"/>
      <c r="E25" s="245" t="n"/>
      <c r="F25" s="56" t="n"/>
      <c r="G25" s="56" t="n"/>
      <c r="H25" s="190">
        <f>H26</f>
        <v/>
      </c>
    </row>
    <row r="26">
      <c r="A26" s="183">
        <f>A24+1</f>
        <v/>
      </c>
      <c r="B26" s="24" t="n"/>
      <c r="C26" s="160" t="n">
        <v>2</v>
      </c>
      <c r="D26" s="218" t="inlineStr">
        <is>
          <t>Затраты труда машинистов</t>
        </is>
      </c>
      <c r="E26" s="219" t="inlineStr">
        <is>
          <t>чел.-ч</t>
        </is>
      </c>
      <c r="F26" s="143" t="n">
        <v>27.5502</v>
      </c>
      <c r="G26" s="141" t="n"/>
      <c r="H26" s="141" t="n">
        <v>345.2496</v>
      </c>
      <c r="L26" s="48" t="n"/>
    </row>
    <row r="27" ht="15" customHeight="1" s="116">
      <c r="A27" s="213" t="inlineStr">
        <is>
          <t>Машины и механизмы</t>
        </is>
      </c>
      <c r="B27" s="244" t="n"/>
      <c r="C27" s="244" t="n"/>
      <c r="D27" s="244" t="n"/>
      <c r="E27" s="245" t="n"/>
      <c r="F27" s="56" t="n"/>
      <c r="G27" s="56" t="n"/>
      <c r="H27" s="190">
        <f>SUM(H28:H65)</f>
        <v/>
      </c>
      <c r="K27" s="121" t="n"/>
    </row>
    <row r="28" ht="25.5" customHeight="1" s="116">
      <c r="A28" s="160">
        <f>A26+1</f>
        <v/>
      </c>
      <c r="B28" s="24" t="n"/>
      <c r="C28" s="160" t="inlineStr">
        <is>
          <t>91.05.05-014</t>
        </is>
      </c>
      <c r="D28" s="218" t="inlineStr">
        <is>
          <t>Краны на автомобильном ходу, грузоподъемность 10 т</t>
        </is>
      </c>
      <c r="E28" s="219" t="inlineStr">
        <is>
          <t>маш.-ч</t>
        </is>
      </c>
      <c r="F28" s="219" t="n">
        <v>1006.32</v>
      </c>
      <c r="G28" s="141" t="n">
        <v>111.99</v>
      </c>
      <c r="H28" s="141">
        <f>ROUND(F28*G28,2)</f>
        <v/>
      </c>
    </row>
    <row r="29" ht="25.5" customHeight="1" s="116">
      <c r="A29" s="160">
        <f>A28+1</f>
        <v/>
      </c>
      <c r="B29" s="24" t="n"/>
      <c r="C29" s="160" t="inlineStr">
        <is>
          <t>91.02.02-003</t>
        </is>
      </c>
      <c r="D29" s="218" t="inlineStr">
        <is>
          <t>Агрегаты копровые без дизель-молота на базе экскаватора с емкостью ковша 1 м3</t>
        </is>
      </c>
      <c r="E29" s="219" t="inlineStr">
        <is>
          <t>маш.-ч</t>
        </is>
      </c>
      <c r="F29" s="219" t="n">
        <v>514.08</v>
      </c>
      <c r="G29" s="141" t="n">
        <v>200.67</v>
      </c>
      <c r="H29" s="141">
        <f>ROUND(F29*G29,2)</f>
        <v/>
      </c>
    </row>
    <row r="30" ht="38.25" customHeight="1" s="116">
      <c r="A30" s="160">
        <f>A29+1</f>
        <v/>
      </c>
      <c r="B30" s="24" t="n"/>
      <c r="C30" s="160" t="inlineStr">
        <is>
          <t>91.04.01-021</t>
        </is>
      </c>
      <c r="D30" s="21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19" t="inlineStr">
        <is>
          <t>маш.-ч</t>
        </is>
      </c>
      <c r="F30" s="219" t="n">
        <v>991.63</v>
      </c>
      <c r="G30" s="141" t="n">
        <v>87.59999999999999</v>
      </c>
      <c r="H30" s="141">
        <f>ROUND(F30*G30,2)</f>
        <v/>
      </c>
    </row>
    <row r="31">
      <c r="A31" s="160">
        <f>A30+1</f>
        <v/>
      </c>
      <c r="B31" s="24" t="n"/>
      <c r="C31" s="160" t="inlineStr">
        <is>
          <t>91.21.22-447</t>
        </is>
      </c>
      <c r="D31" s="218" t="inlineStr">
        <is>
          <t>Установки электрометаллизационные</t>
        </is>
      </c>
      <c r="E31" s="219" t="inlineStr">
        <is>
          <t>маш.-ч</t>
        </is>
      </c>
      <c r="F31" s="219" t="n">
        <v>941.85</v>
      </c>
      <c r="G31" s="141" t="n">
        <v>74.23999999999999</v>
      </c>
      <c r="H31" s="141">
        <f>ROUND(F31*G31,2)</f>
        <v/>
      </c>
    </row>
    <row r="32">
      <c r="A32" s="160">
        <f>A31+1</f>
        <v/>
      </c>
      <c r="B32" s="24" t="n"/>
      <c r="C32" s="160" t="inlineStr">
        <is>
          <t>91.14.02-004</t>
        </is>
      </c>
      <c r="D32" s="218" t="inlineStr">
        <is>
          <t>Автомобили бортовые, грузоподъемность до 15 т</t>
        </is>
      </c>
      <c r="E32" s="219" t="inlineStr">
        <is>
          <t>маш.-ч</t>
        </is>
      </c>
      <c r="F32" s="219" t="n">
        <v>748.23</v>
      </c>
      <c r="G32" s="141" t="n">
        <v>92.94</v>
      </c>
      <c r="H32" s="141">
        <f>ROUND(F32*G32,2)</f>
        <v/>
      </c>
    </row>
    <row r="33">
      <c r="A33" s="160">
        <f>A32+1</f>
        <v/>
      </c>
      <c r="B33" s="24" t="n"/>
      <c r="C33" s="160" t="inlineStr">
        <is>
          <t>91.02.03-024</t>
        </is>
      </c>
      <c r="D33" s="218" t="inlineStr">
        <is>
          <t>Дизель-молоты 2,5 т</t>
        </is>
      </c>
      <c r="E33" s="219" t="inlineStr">
        <is>
          <t>маш.-ч</t>
        </is>
      </c>
      <c r="F33" s="219" t="n">
        <v>514.08</v>
      </c>
      <c r="G33" s="141" t="n">
        <v>70.67</v>
      </c>
      <c r="H33" s="141">
        <f>ROUND(F33*G33,2)</f>
        <v/>
      </c>
    </row>
    <row r="34" ht="25.5" customHeight="1" s="116">
      <c r="A34" s="160">
        <f>A33+1</f>
        <v/>
      </c>
      <c r="B34" s="24" t="n"/>
      <c r="C34" s="160" t="inlineStr">
        <is>
          <t>91.10.05-001</t>
        </is>
      </c>
      <c r="D34" s="218" t="inlineStr">
        <is>
          <t>Трубоукладчики для труб диаметром 800-1000 мм, грузоподъемность 35 т</t>
        </is>
      </c>
      <c r="E34" s="219" t="inlineStr">
        <is>
          <t>маш.-ч</t>
        </is>
      </c>
      <c r="F34" s="219" t="n">
        <v>136.08</v>
      </c>
      <c r="G34" s="141" t="n">
        <v>175.35</v>
      </c>
      <c r="H34" s="141">
        <f>ROUND(F34*G34,2)</f>
        <v/>
      </c>
    </row>
    <row r="35" ht="25.5" customHeight="1" s="116">
      <c r="A35" s="160">
        <f>A34+1</f>
        <v/>
      </c>
      <c r="B35" s="24" t="n"/>
      <c r="C35" s="160" t="inlineStr">
        <is>
          <t>91.15.02-029</t>
        </is>
      </c>
      <c r="D35" s="218" t="inlineStr">
        <is>
          <t>Тракторы на гусеничном ходу с лебедкой 132 кВт (180 л.с.)</t>
        </is>
      </c>
      <c r="E35" s="219" t="inlineStr">
        <is>
          <t>маш.-ч</t>
        </is>
      </c>
      <c r="F35" s="219" t="n">
        <v>129.37</v>
      </c>
      <c r="G35" s="141" t="n">
        <v>147.43</v>
      </c>
      <c r="H35" s="141">
        <f>ROUND(F35*G35,2)</f>
        <v/>
      </c>
    </row>
    <row r="36">
      <c r="A36" s="160">
        <f>A35+1</f>
        <v/>
      </c>
      <c r="B36" s="24" t="n"/>
      <c r="C36" s="160" t="inlineStr">
        <is>
          <t>91.06.06-042</t>
        </is>
      </c>
      <c r="D36" s="218" t="inlineStr">
        <is>
          <t>Подъемники гидравлические, высота подъема 10 м</t>
        </is>
      </c>
      <c r="E36" s="219" t="inlineStr">
        <is>
          <t>маш.-ч</t>
        </is>
      </c>
      <c r="F36" s="219" t="n">
        <v>588.89</v>
      </c>
      <c r="G36" s="141" t="n">
        <v>29.6</v>
      </c>
      <c r="H36" s="141">
        <f>ROUND(F36*G36,2)</f>
        <v/>
      </c>
    </row>
    <row r="37">
      <c r="A37" s="160">
        <f>A36+1</f>
        <v/>
      </c>
      <c r="B37" s="24" t="n"/>
      <c r="C37" s="160" t="inlineStr">
        <is>
          <t>91.05.06-007</t>
        </is>
      </c>
      <c r="D37" s="218" t="inlineStr">
        <is>
          <t>Краны на гусеничном ходу, грузоподъемность 25 т</t>
        </is>
      </c>
      <c r="E37" s="219" t="inlineStr">
        <is>
          <t>маш.-ч</t>
        </is>
      </c>
      <c r="F37" s="219" t="n">
        <v>138.45</v>
      </c>
      <c r="G37" s="141" t="n">
        <v>120.04</v>
      </c>
      <c r="H37" s="141">
        <f>ROUND(F37*G37,2)</f>
        <v/>
      </c>
    </row>
    <row r="38">
      <c r="A38" s="160">
        <f>A37+1</f>
        <v/>
      </c>
      <c r="B38" s="24" t="n"/>
      <c r="C38" s="160" t="n">
        <v>150102</v>
      </c>
      <c r="D38" s="218" t="inlineStr">
        <is>
          <t>Агрегаты наполнительно-опрессовочные до 300 м3/ч</t>
        </is>
      </c>
      <c r="E38" s="219" t="inlineStr">
        <is>
          <t>маш.час</t>
        </is>
      </c>
      <c r="F38" s="219" t="n">
        <v>57.68</v>
      </c>
      <c r="G38" s="141" t="n">
        <v>287.99</v>
      </c>
      <c r="H38" s="141">
        <f>ROUND(F38*G38,2)</f>
        <v/>
      </c>
    </row>
    <row r="39">
      <c r="A39" s="160">
        <f>A38+1</f>
        <v/>
      </c>
      <c r="B39" s="24" t="n"/>
      <c r="C39" s="160" t="n">
        <v>400001</v>
      </c>
      <c r="D39" s="218" t="inlineStr">
        <is>
          <t>Автомобили бортовые, грузоподъемность до 5 т</t>
        </is>
      </c>
      <c r="E39" s="219" t="inlineStr">
        <is>
          <t>маш.час</t>
        </is>
      </c>
      <c r="F39" s="219" t="n">
        <v>158.45</v>
      </c>
      <c r="G39" s="141" t="n">
        <v>87.17</v>
      </c>
      <c r="H39" s="141">
        <f>ROUND(F39*G39,2)</f>
        <v/>
      </c>
    </row>
    <row r="40">
      <c r="A40" s="160">
        <f>A39+1</f>
        <v/>
      </c>
      <c r="B40" s="24" t="n"/>
      <c r="C40" s="160" t="n">
        <v>31004</v>
      </c>
      <c r="D40" s="218" t="inlineStr">
        <is>
          <t>Автогидроподъемники высотой подъема 28 м</t>
        </is>
      </c>
      <c r="E40" s="219" t="inlineStr">
        <is>
          <t>маш.час</t>
        </is>
      </c>
      <c r="F40" s="219" t="n">
        <v>40.71</v>
      </c>
      <c r="G40" s="141" t="n">
        <v>243.49</v>
      </c>
      <c r="H40" s="141">
        <f>ROUND(F40*G40,2)</f>
        <v/>
      </c>
    </row>
    <row r="41" ht="25.5" customHeight="1" s="116">
      <c r="A41" s="160">
        <f>A40+1</f>
        <v/>
      </c>
      <c r="B41" s="24" t="n"/>
      <c r="C41" s="160" t="n">
        <v>30408</v>
      </c>
      <c r="D41" s="218" t="inlineStr">
        <is>
          <t>Лебедки электрические тяговым усилием 156,96 кН (16 т)</t>
        </is>
      </c>
      <c r="E41" s="219" t="inlineStr">
        <is>
          <t>маш.час</t>
        </is>
      </c>
      <c r="F41" s="219" t="n">
        <v>57.68</v>
      </c>
      <c r="G41" s="141" t="n">
        <v>131.44</v>
      </c>
      <c r="H41" s="141">
        <f>ROUND(F41*G41,2)</f>
        <v/>
      </c>
    </row>
    <row r="42">
      <c r="A42" s="160">
        <f>A41+1</f>
        <v/>
      </c>
      <c r="B42" s="24" t="n"/>
      <c r="C42" s="160" t="inlineStr">
        <is>
          <t>91.14.02-001</t>
        </is>
      </c>
      <c r="D42" s="218" t="inlineStr">
        <is>
          <t>Автомобили бортовые, грузоподъемность: до 5 т</t>
        </is>
      </c>
      <c r="E42" s="219" t="inlineStr">
        <is>
          <t>маш.час</t>
        </is>
      </c>
      <c r="F42" s="219" t="n">
        <v>72.45</v>
      </c>
      <c r="G42" s="141" t="n">
        <v>65.70999999999999</v>
      </c>
      <c r="H42" s="141">
        <f>ROUND(F42*G42,2)</f>
        <v/>
      </c>
    </row>
    <row r="43" ht="38.25" customHeight="1" s="116">
      <c r="A43" s="160">
        <f>A42+1</f>
        <v/>
      </c>
      <c r="B43" s="24" t="n"/>
      <c r="C43" s="160" t="inlineStr">
        <is>
          <t>03-21-02-025</t>
        </is>
      </c>
      <c r="D43" s="218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E43" s="219" t="inlineStr">
        <is>
          <t>1 т груза</t>
        </is>
      </c>
      <c r="F43" s="219" t="n">
        <v>214.5</v>
      </c>
      <c r="G43" s="141" t="n">
        <v>20.38</v>
      </c>
      <c r="H43" s="141">
        <f>ROUND(F43*G43,2)</f>
        <v/>
      </c>
    </row>
    <row r="44" ht="25.5" customHeight="1" s="116">
      <c r="A44" s="160">
        <f>A43+1</f>
        <v/>
      </c>
      <c r="B44" s="24" t="n"/>
      <c r="C44" s="160" t="n">
        <v>40202</v>
      </c>
      <c r="D44" s="218" t="inlineStr">
        <is>
          <t>Агрегаты сварочные передвижные с номинальным сварочным током 250-400 А с дизельным двигателем</t>
        </is>
      </c>
      <c r="E44" s="219" t="inlineStr">
        <is>
          <t>маш.час</t>
        </is>
      </c>
      <c r="F44" s="219" t="n">
        <v>229.39</v>
      </c>
      <c r="G44" s="141" t="n">
        <v>14</v>
      </c>
      <c r="H44" s="141">
        <f>ROUND(F44*G44,2)</f>
        <v/>
      </c>
    </row>
    <row r="45">
      <c r="A45" s="160">
        <f>A44+1</f>
        <v/>
      </c>
      <c r="B45" s="24" t="n"/>
      <c r="C45" s="160" t="inlineStr">
        <is>
          <t>91.06.05-011</t>
        </is>
      </c>
      <c r="D45" s="218" t="inlineStr">
        <is>
          <t>Погрузчик, грузоподъемность 5 т</t>
        </is>
      </c>
      <c r="E45" s="219" t="inlineStr">
        <is>
          <t>маш.час</t>
        </is>
      </c>
      <c r="F45" s="219" t="n">
        <v>24.15</v>
      </c>
      <c r="G45" s="141" t="n">
        <v>89.98999999999999</v>
      </c>
      <c r="H45" s="141">
        <f>ROUND(F45*G45,2)</f>
        <v/>
      </c>
    </row>
    <row r="46" ht="25.5" customHeight="1" s="116">
      <c r="A46" s="160">
        <f>A45+1</f>
        <v/>
      </c>
      <c r="B46" s="24" t="n"/>
      <c r="C46" s="160" t="n">
        <v>40502</v>
      </c>
      <c r="D46" s="218" t="inlineStr">
        <is>
          <t>Установки для сварки ручной дуговой (постоянного тока)</t>
        </is>
      </c>
      <c r="E46" s="219" t="inlineStr">
        <is>
          <t>маш.час</t>
        </is>
      </c>
      <c r="F46" s="219" t="n">
        <v>255.7</v>
      </c>
      <c r="G46" s="141" t="n">
        <v>8.1</v>
      </c>
      <c r="H46" s="141">
        <f>ROUND(F46*G46,2)</f>
        <v/>
      </c>
    </row>
    <row r="47">
      <c r="A47" s="160">
        <f>A46+1</f>
        <v/>
      </c>
      <c r="B47" s="24" t="n"/>
      <c r="C47" s="160" t="n">
        <v>400101</v>
      </c>
      <c r="D47" s="218" t="inlineStr">
        <is>
          <t>Тягачи седельные, грузоподъемность 12 т</t>
        </is>
      </c>
      <c r="E47" s="219" t="inlineStr">
        <is>
          <t>маш.час</t>
        </is>
      </c>
      <c r="F47" s="219" t="n">
        <v>15.12</v>
      </c>
      <c r="G47" s="141" t="n">
        <v>127.82</v>
      </c>
      <c r="H47" s="141">
        <f>ROUND(F47*G47,2)</f>
        <v/>
      </c>
    </row>
    <row r="48" ht="25.5" customHeight="1" s="116">
      <c r="A48" s="160">
        <f>A47+1</f>
        <v/>
      </c>
      <c r="B48" s="24" t="n"/>
      <c r="C48" s="160" t="n">
        <v>21243</v>
      </c>
      <c r="D48" s="218" t="inlineStr">
        <is>
          <t>Краны на гусеничном ходу при работе на других видах строительства до 16 т</t>
        </is>
      </c>
      <c r="E48" s="219" t="inlineStr">
        <is>
          <t>маш.час</t>
        </is>
      </c>
      <c r="F48" s="219" t="n">
        <v>13.3</v>
      </c>
      <c r="G48" s="141" t="n">
        <v>96.89</v>
      </c>
      <c r="H48" s="141">
        <f>ROUND(F48*G48,2)</f>
        <v/>
      </c>
    </row>
    <row r="49" ht="25.5" customHeight="1" s="116">
      <c r="A49" s="160">
        <f>A48+1</f>
        <v/>
      </c>
      <c r="B49" s="24" t="n"/>
      <c r="C49" s="160" t="n">
        <v>41000</v>
      </c>
      <c r="D49" s="218" t="inlineStr">
        <is>
          <t>Преобразователи сварочные с номинальным сварочным током 315-500 А</t>
        </is>
      </c>
      <c r="E49" s="219" t="inlineStr">
        <is>
          <t>маш.час</t>
        </is>
      </c>
      <c r="F49" s="219" t="n">
        <v>47.75</v>
      </c>
      <c r="G49" s="141" t="n">
        <v>12.31</v>
      </c>
      <c r="H49" s="141">
        <f>ROUND(F49*G49,2)</f>
        <v/>
      </c>
    </row>
    <row r="50" ht="25.5" customHeight="1" s="116">
      <c r="A50" s="160">
        <f>A49+1</f>
        <v/>
      </c>
      <c r="B50" s="24" t="n"/>
      <c r="C50" s="160" t="n">
        <v>30203</v>
      </c>
      <c r="D50" s="218" t="inlineStr">
        <is>
          <t>Домкраты гидравлические грузоподъемностью 63-100 т</t>
        </is>
      </c>
      <c r="E50" s="219" t="inlineStr">
        <is>
          <t>маш.час</t>
        </is>
      </c>
      <c r="F50" s="219" t="n">
        <v>257.88</v>
      </c>
      <c r="G50" s="141" t="n">
        <v>0.9</v>
      </c>
      <c r="H50" s="141">
        <f>ROUND(F50*G50,2)</f>
        <v/>
      </c>
    </row>
    <row r="51">
      <c r="A51" s="160">
        <f>A50+1</f>
        <v/>
      </c>
      <c r="B51" s="24" t="n"/>
      <c r="C51" s="160" t="n">
        <v>400002</v>
      </c>
      <c r="D51" s="218" t="inlineStr">
        <is>
          <t>Автомобили бортовые, грузоподъемность до 8 т</t>
        </is>
      </c>
      <c r="E51" s="219" t="inlineStr">
        <is>
          <t>маш.час</t>
        </is>
      </c>
      <c r="F51" s="219" t="n">
        <v>1.91</v>
      </c>
      <c r="G51" s="141" t="n">
        <v>107.3</v>
      </c>
      <c r="H51" s="141">
        <f>ROUND(F51*G51,2)</f>
        <v/>
      </c>
    </row>
    <row r="52" ht="25.5" customHeight="1" s="116">
      <c r="A52" s="160">
        <f>A51+1</f>
        <v/>
      </c>
      <c r="B52" s="24" t="n"/>
      <c r="C52" s="160" t="n">
        <v>400111</v>
      </c>
      <c r="D52" s="218" t="inlineStr">
        <is>
          <t>Полуприцепы общего назначения, грузоподъемность 12 т</t>
        </is>
      </c>
      <c r="E52" s="219" t="inlineStr">
        <is>
          <t>маш.час</t>
        </is>
      </c>
      <c r="F52" s="219" t="n">
        <v>15.12</v>
      </c>
      <c r="G52" s="141" t="n">
        <v>12</v>
      </c>
      <c r="H52" s="141">
        <f>ROUND(F52*G52,2)</f>
        <v/>
      </c>
    </row>
    <row r="53" ht="25.5" customHeight="1" s="116">
      <c r="A53" s="160">
        <f>A52+1</f>
        <v/>
      </c>
      <c r="B53" s="24" t="n"/>
      <c r="C53" s="160" t="n">
        <v>20403</v>
      </c>
      <c r="D53" s="218" t="inlineStr">
        <is>
          <t>Краны козловые при работе на монтаже технологического оборудования 32 т</t>
        </is>
      </c>
      <c r="E53" s="219" t="inlineStr">
        <is>
          <t>маш.час</t>
        </is>
      </c>
      <c r="F53" s="219" t="n">
        <v>0.67</v>
      </c>
      <c r="G53" s="141" t="n">
        <v>120.52</v>
      </c>
      <c r="H53" s="141">
        <f>ROUND(F53*G53,2)</f>
        <v/>
      </c>
    </row>
    <row r="54" ht="25.5" customHeight="1" s="116">
      <c r="A54" s="160">
        <f>A53+1</f>
        <v/>
      </c>
      <c r="B54" s="24" t="n"/>
      <c r="C54" s="160" t="n">
        <v>20129</v>
      </c>
      <c r="D54" s="218" t="inlineStr">
        <is>
          <t>Краны башенные при работе на других видах строительства 8 т</t>
        </is>
      </c>
      <c r="E54" s="219" t="inlineStr">
        <is>
          <t>маш.час</t>
        </is>
      </c>
      <c r="F54" s="219" t="n">
        <v>0.54</v>
      </c>
      <c r="G54" s="141" t="n">
        <v>86.40000000000001</v>
      </c>
      <c r="H54" s="141">
        <f>ROUND(F54*G54,2)</f>
        <v/>
      </c>
    </row>
    <row r="55">
      <c r="A55" s="160">
        <f>A54+1</f>
        <v/>
      </c>
      <c r="B55" s="24" t="n"/>
      <c r="C55" s="160" t="n">
        <v>331451</v>
      </c>
      <c r="D55" s="218" t="inlineStr">
        <is>
          <t>Перфораторы электрические</t>
        </is>
      </c>
      <c r="E55" s="219" t="inlineStr">
        <is>
          <t>маш.час</t>
        </is>
      </c>
      <c r="F55" s="219" t="n">
        <v>14.91</v>
      </c>
      <c r="G55" s="141" t="n">
        <v>2.08</v>
      </c>
      <c r="H55" s="141">
        <f>ROUND(F55*G55,2)</f>
        <v/>
      </c>
    </row>
    <row r="56" ht="25.5" customHeight="1" s="116">
      <c r="A56" s="160">
        <f>A55+1</f>
        <v/>
      </c>
      <c r="B56" s="24" t="n"/>
      <c r="C56" s="160" t="n">
        <v>70149</v>
      </c>
      <c r="D56" s="218" t="inlineStr">
        <is>
          <t>Бульдозеры при работе на других видах строительства 79 кВт (108 л.с.)</t>
        </is>
      </c>
      <c r="E56" s="219" t="inlineStr">
        <is>
          <t>маш.час</t>
        </is>
      </c>
      <c r="F56" s="219" t="n">
        <v>0.36</v>
      </c>
      <c r="G56" s="141" t="n">
        <v>79.06999999999999</v>
      </c>
      <c r="H56" s="141">
        <f>ROUND(F56*G56,2)</f>
        <v/>
      </c>
    </row>
    <row r="57" ht="25.5" customHeight="1" s="116">
      <c r="A57" s="160">
        <f>A56+1</f>
        <v/>
      </c>
      <c r="B57" s="24" t="n"/>
      <c r="C57" s="160" t="n">
        <v>340101</v>
      </c>
      <c r="D57" s="218" t="inlineStr">
        <is>
          <t>Агрегаты окрасочные высокого давления для окраски поверхностей конструкций мощностью 1 кВт</t>
        </is>
      </c>
      <c r="E57" s="219" t="inlineStr">
        <is>
          <t>маш.час</t>
        </is>
      </c>
      <c r="F57" s="219" t="n">
        <v>2.89</v>
      </c>
      <c r="G57" s="141" t="n">
        <v>6.82</v>
      </c>
      <c r="H57" s="141">
        <f>ROUND(F57*G57,2)</f>
        <v/>
      </c>
    </row>
    <row r="58" ht="38.25" customHeight="1" s="116">
      <c r="A58" s="160">
        <f>A57+1</f>
        <v/>
      </c>
      <c r="B58" s="24" t="n"/>
      <c r="C58" s="160" t="n">
        <v>41400</v>
      </c>
      <c r="D58" s="218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19" t="inlineStr">
        <is>
          <t>маш.час</t>
        </is>
      </c>
      <c r="F58" s="219" t="n">
        <v>2.36</v>
      </c>
      <c r="G58" s="141" t="n">
        <v>6.7</v>
      </c>
      <c r="H58" s="141">
        <f>ROUND(F58*G58,2)</f>
        <v/>
      </c>
    </row>
    <row r="59">
      <c r="A59" s="160">
        <f>A58+1</f>
        <v/>
      </c>
      <c r="B59" s="24" t="n"/>
      <c r="C59" s="160" t="n">
        <v>40504</v>
      </c>
      <c r="D59" s="218" t="inlineStr">
        <is>
          <t>Аппарат для газовой сварки и резки</t>
        </is>
      </c>
      <c r="E59" s="219" t="inlineStr">
        <is>
          <t>маш.час</t>
        </is>
      </c>
      <c r="F59" s="219" t="n">
        <v>11.21</v>
      </c>
      <c r="G59" s="141" t="n">
        <v>1.2</v>
      </c>
      <c r="H59" s="141">
        <f>ROUND(F59*G59,2)</f>
        <v/>
      </c>
    </row>
    <row r="60">
      <c r="A60" s="160">
        <f>A59+1</f>
        <v/>
      </c>
      <c r="B60" s="24" t="n"/>
      <c r="C60" s="160" t="n">
        <v>330301</v>
      </c>
      <c r="D60" s="218" t="inlineStr">
        <is>
          <t>Машины шлифовальные электрические</t>
        </is>
      </c>
      <c r="E60" s="219" t="inlineStr">
        <is>
          <t>маш.час</t>
        </is>
      </c>
      <c r="F60" s="219" t="n">
        <v>1.99</v>
      </c>
      <c r="G60" s="141" t="n">
        <v>5.13</v>
      </c>
      <c r="H60" s="141">
        <f>ROUND(F60*G60,2)</f>
        <v/>
      </c>
    </row>
    <row r="61" ht="25.5" customHeight="1" s="116">
      <c r="A61" s="160">
        <f>A60+1</f>
        <v/>
      </c>
      <c r="B61" s="24" t="n"/>
      <c r="C61" s="160" t="n">
        <v>30402</v>
      </c>
      <c r="D61" s="218" t="inlineStr">
        <is>
          <t>Лебедки электрические тяговым усилием до 12,26 кН (1,25 т)</t>
        </is>
      </c>
      <c r="E61" s="219" t="inlineStr">
        <is>
          <t>маш.час</t>
        </is>
      </c>
      <c r="F61" s="219" t="n">
        <v>1.19</v>
      </c>
      <c r="G61" s="141" t="n">
        <v>3.28</v>
      </c>
      <c r="H61" s="141">
        <f>ROUND(F61*G61,2)</f>
        <v/>
      </c>
    </row>
    <row r="62">
      <c r="A62" s="160">
        <f>A61+1</f>
        <v/>
      </c>
      <c r="B62" s="24" t="n"/>
      <c r="C62" s="160" t="n">
        <v>30101</v>
      </c>
      <c r="D62" s="218" t="inlineStr">
        <is>
          <t>Автопогрузчики 5 т</t>
        </is>
      </c>
      <c r="E62" s="219" t="inlineStr">
        <is>
          <t>маш.час</t>
        </is>
      </c>
      <c r="F62" s="219" t="n">
        <v>0.03</v>
      </c>
      <c r="G62" s="141" t="n">
        <v>89.98999999999999</v>
      </c>
      <c r="H62" s="141">
        <f>ROUND(F62*G62,2)</f>
        <v/>
      </c>
    </row>
    <row r="63">
      <c r="A63" s="160">
        <f>A62+1</f>
        <v/>
      </c>
      <c r="B63" s="24" t="n"/>
      <c r="C63" s="160" t="n">
        <v>400051</v>
      </c>
      <c r="D63" s="218" t="inlineStr">
        <is>
          <t>Автомобиль-самосвал, грузоподъемность до 7 т</t>
        </is>
      </c>
      <c r="E63" s="219" t="inlineStr">
        <is>
          <t>маш.час</t>
        </is>
      </c>
      <c r="F63" s="219" t="n">
        <v>0.01</v>
      </c>
      <c r="G63" s="141" t="n">
        <v>111</v>
      </c>
      <c r="H63" s="141">
        <f>ROUND(F63*G63,2)</f>
        <v/>
      </c>
    </row>
    <row r="64">
      <c r="A64" s="160">
        <f>A63+1</f>
        <v/>
      </c>
      <c r="B64" s="24" t="n"/>
      <c r="C64" s="160" t="n">
        <v>111301</v>
      </c>
      <c r="D64" s="218" t="inlineStr">
        <is>
          <t>Вибратор поверхностный</t>
        </is>
      </c>
      <c r="E64" s="219" t="inlineStr">
        <is>
          <t>маш.час</t>
        </is>
      </c>
      <c r="F64" s="219" t="n">
        <v>1.44</v>
      </c>
      <c r="G64" s="141" t="n">
        <v>0.5</v>
      </c>
      <c r="H64" s="141">
        <f>ROUND(F64*G64,2)</f>
        <v/>
      </c>
    </row>
    <row r="65" ht="25.5" customHeight="1" s="116">
      <c r="A65" s="160">
        <f>A64+1</f>
        <v/>
      </c>
      <c r="B65" s="24" t="n"/>
      <c r="C65" s="160" t="n">
        <v>30401</v>
      </c>
      <c r="D65" s="218" t="inlineStr">
        <is>
          <t>Лебедки электрические тяговым усилием до 5,79 кН (0,59 т)</t>
        </is>
      </c>
      <c r="E65" s="219" t="inlineStr">
        <is>
          <t>маш.час</t>
        </is>
      </c>
      <c r="F65" s="219" t="n">
        <v>0.03</v>
      </c>
      <c r="G65" s="141" t="n">
        <v>1.7</v>
      </c>
      <c r="H65" s="141">
        <f>ROUND(F65*G65,2)</f>
        <v/>
      </c>
    </row>
    <row r="66" ht="15" customHeight="1" s="116">
      <c r="A66" s="213" t="inlineStr">
        <is>
          <t>Оборудование</t>
        </is>
      </c>
      <c r="B66" s="244" t="n"/>
      <c r="C66" s="244" t="n"/>
      <c r="D66" s="244" t="n"/>
      <c r="E66" s="245" t="n"/>
      <c r="F66" s="56" t="n"/>
      <c r="G66" s="198" t="n"/>
      <c r="H66" s="199">
        <f>SUM(H67:H74)</f>
        <v/>
      </c>
    </row>
    <row r="67" ht="25.5" customHeight="1" s="116">
      <c r="A67" s="183">
        <f>A65+1</f>
        <v/>
      </c>
      <c r="B67" s="213" t="n"/>
      <c r="C67" s="220" t="inlineStr">
        <is>
          <t>Прайс из СД ОП</t>
        </is>
      </c>
      <c r="D67" s="218" t="inlineStr">
        <is>
          <t>Разъединитель трехполюсный с двумя комплектами заз ножей РГНП.2-110/2500 ном. ток отключения 40 кА</t>
        </is>
      </c>
      <c r="E67" s="219" t="inlineStr">
        <is>
          <t>шт</t>
        </is>
      </c>
      <c r="F67" s="219" t="n">
        <v>14</v>
      </c>
      <c r="G67" s="141" t="n">
        <v>1086945</v>
      </c>
      <c r="H67" s="141">
        <f>ROUND(F67*G67,2)</f>
        <v/>
      </c>
      <c r="J67" s="184" t="n"/>
    </row>
    <row r="68" ht="25.5" customHeight="1" s="116">
      <c r="A68" s="183">
        <f>A67+1</f>
        <v/>
      </c>
      <c r="B68" s="213" t="n"/>
      <c r="C68" s="220" t="inlineStr">
        <is>
          <t>Прайс из СД ОП</t>
        </is>
      </c>
      <c r="D68" s="218" t="inlineStr">
        <is>
          <t>Трансформатор тока 110кВ, СА-123 УХЛ1, ном. ток 2500 А, ном. ток отключения 40 кА</t>
        </is>
      </c>
      <c r="E68" s="219" t="inlineStr">
        <is>
          <t>шт</t>
        </is>
      </c>
      <c r="F68" s="219" t="n">
        <v>33</v>
      </c>
      <c r="G68" s="141" t="n">
        <v>419850</v>
      </c>
      <c r="H68" s="141">
        <f>ROUND(F68*G68,2)</f>
        <v/>
      </c>
      <c r="J68" s="184" t="n"/>
    </row>
    <row r="69" ht="38.25" customHeight="1" s="116">
      <c r="A69" s="183">
        <f>A68+1</f>
        <v/>
      </c>
      <c r="B69" s="213" t="n"/>
      <c r="C69" s="220" t="inlineStr">
        <is>
          <t>Прайс из СД ОП</t>
        </is>
      </c>
      <c r="D69" s="218" t="inlineStr">
        <is>
          <t>Выключатель элегазовый трёхполюсный , колонковый 110 кВ, ВГТ-110 ном. ток 2500 А, ном. ток отключения 40 кА</t>
        </is>
      </c>
      <c r="E69" s="219" t="inlineStr">
        <is>
          <t>компл.</t>
        </is>
      </c>
      <c r="F69" s="219" t="n">
        <v>8</v>
      </c>
      <c r="G69" s="141" t="n">
        <v>1726050</v>
      </c>
      <c r="H69" s="141">
        <f>ROUND(F69*G69,2)</f>
        <v/>
      </c>
      <c r="J69" s="184" t="n"/>
    </row>
    <row r="70" ht="38.25" customHeight="1" s="116">
      <c r="A70" s="183">
        <f>A69+1</f>
        <v/>
      </c>
      <c r="B70" s="213" t="n"/>
      <c r="C70" s="220" t="inlineStr">
        <is>
          <t>Прайс из СД ОП</t>
        </is>
      </c>
      <c r="D70" s="218" t="inlineStr">
        <is>
          <t>Разъединитель трехполюсный с одним комплектом заз ножей РГНП.1-110/2500, ном. ток отключения 40 кА</t>
        </is>
      </c>
      <c r="E70" s="219" t="inlineStr">
        <is>
          <t>шт</t>
        </is>
      </c>
      <c r="F70" s="219" t="n">
        <v>8</v>
      </c>
      <c r="G70" s="141" t="n">
        <v>830370</v>
      </c>
      <c r="H70" s="141">
        <f>ROUND(F70*G70,2)</f>
        <v/>
      </c>
      <c r="J70" s="184" t="n"/>
    </row>
    <row r="71" ht="25.5" customHeight="1" s="116">
      <c r="A71" s="183">
        <f>A70+1</f>
        <v/>
      </c>
      <c r="B71" s="213" t="n"/>
      <c r="C71" s="220" t="inlineStr">
        <is>
          <t>Прайс из СД ОП</t>
        </is>
      </c>
      <c r="D71" s="218" t="inlineStr">
        <is>
          <t>Выключатель элегазовый трёхполюсный , колонковый 110 кВ, ВГТ-110 Iном 2500, ном. ток отключения 40 кА</t>
        </is>
      </c>
      <c r="E71" s="219" t="inlineStr">
        <is>
          <t>компл</t>
        </is>
      </c>
      <c r="F71" s="219" t="n">
        <v>3</v>
      </c>
      <c r="G71" s="141" t="n">
        <v>1726050</v>
      </c>
      <c r="H71" s="141">
        <f>ROUND(F71*G71,2)</f>
        <v/>
      </c>
      <c r="J71" s="184" t="n"/>
    </row>
    <row r="72">
      <c r="A72" s="183">
        <f>A71+1</f>
        <v/>
      </c>
      <c r="B72" s="213" t="n"/>
      <c r="C72" s="220" t="inlineStr">
        <is>
          <t>Прайс из СД ОП</t>
        </is>
      </c>
      <c r="D72" s="218" t="inlineStr">
        <is>
          <t>Трансформатор напряжения 110кВ</t>
        </is>
      </c>
      <c r="E72" s="219" t="inlineStr">
        <is>
          <t>шт</t>
        </is>
      </c>
      <c r="F72" s="219" t="n">
        <v>6</v>
      </c>
      <c r="G72" s="141" t="n">
        <v>545805</v>
      </c>
      <c r="H72" s="141">
        <f>ROUND(F72*G72,2)</f>
        <v/>
      </c>
      <c r="J72" s="184" t="n"/>
    </row>
    <row r="73">
      <c r="A73" s="183">
        <f>A72+1</f>
        <v/>
      </c>
      <c r="B73" s="213" t="n"/>
      <c r="C73" s="220" t="inlineStr">
        <is>
          <t>Прайс из СД ОП</t>
        </is>
      </c>
      <c r="D73" s="218" t="inlineStr">
        <is>
          <t>Ограничитель напряжения ОПН-110</t>
        </is>
      </c>
      <c r="E73" s="219" t="inlineStr">
        <is>
          <t>шт.</t>
        </is>
      </c>
      <c r="F73" s="219" t="n">
        <v>12</v>
      </c>
      <c r="G73" s="141" t="n">
        <v>71887.64999999999</v>
      </c>
      <c r="H73" s="141">
        <f>ROUND(F73*G73,2)</f>
        <v/>
      </c>
      <c r="J73" s="184" t="n"/>
    </row>
    <row r="74" ht="25.5" customHeight="1" s="116">
      <c r="A74" s="183">
        <f>A73+1</f>
        <v/>
      </c>
      <c r="B74" s="213" t="n"/>
      <c r="C74" s="220" t="inlineStr">
        <is>
          <t>Прайс из СД ОП</t>
        </is>
      </c>
      <c r="D74" s="218" t="inlineStr">
        <is>
          <t>Разъединитель РВО-10/400, Iном 2500, ном. ток отключения 40 кА</t>
        </is>
      </c>
      <c r="E74" s="219" t="inlineStr">
        <is>
          <t>шт</t>
        </is>
      </c>
      <c r="F74" s="219" t="n">
        <v>8</v>
      </c>
      <c r="G74" s="141" t="n">
        <v>4125</v>
      </c>
      <c r="H74" s="141">
        <f>ROUND(F74*G74,2)</f>
        <v/>
      </c>
      <c r="J74" s="184" t="n"/>
    </row>
    <row r="75" ht="15" customHeight="1" s="116">
      <c r="A75" s="213" t="inlineStr">
        <is>
          <t>Материалы</t>
        </is>
      </c>
      <c r="B75" s="244" t="n"/>
      <c r="C75" s="244" t="n"/>
      <c r="D75" s="244" t="n"/>
      <c r="E75" s="245" t="n"/>
      <c r="F75" s="56" t="n"/>
      <c r="G75" s="198" t="n"/>
      <c r="H75" s="199">
        <f>SUM(H76:H174)</f>
        <v/>
      </c>
      <c r="K75" s="121" t="n"/>
    </row>
    <row r="76" ht="25.5" customHeight="1" s="116">
      <c r="A76" s="183">
        <f>A74+1</f>
        <v/>
      </c>
      <c r="B76" s="24" t="n"/>
      <c r="C76" s="160" t="inlineStr">
        <is>
          <t>05.1.05.16-0040</t>
        </is>
      </c>
      <c r="D76" s="218" t="inlineStr">
        <is>
          <t>Сваи железобетонные С35-1-12-1 (бетон B22,5, расход арматуры 185 кг)</t>
        </is>
      </c>
      <c r="E76" s="219" t="inlineStr">
        <is>
          <t>м3</t>
        </is>
      </c>
      <c r="F76" s="219" t="n">
        <v>509</v>
      </c>
      <c r="G76" s="141" t="n">
        <v>5337.26</v>
      </c>
      <c r="H76" s="141">
        <f>ROUND(F76*G76,2)</f>
        <v/>
      </c>
    </row>
    <row r="77">
      <c r="A77" s="183">
        <f>A76+1</f>
        <v/>
      </c>
      <c r="B77" s="24" t="n"/>
      <c r="C77" s="160" t="inlineStr">
        <is>
          <t>22.2.02.07-0003</t>
        </is>
      </c>
      <c r="D77" s="218" t="inlineStr">
        <is>
          <t>Конструкции стальные порталов ОРУ</t>
        </is>
      </c>
      <c r="E77" s="219" t="inlineStr">
        <is>
          <t>т</t>
        </is>
      </c>
      <c r="F77" s="219" t="n">
        <v>55.5453</v>
      </c>
      <c r="G77" s="141" t="n">
        <v>12500</v>
      </c>
      <c r="H77" s="141">
        <f>ROUND(F77*G77,2)</f>
        <v/>
      </c>
    </row>
    <row r="78" ht="25.5" customHeight="1" s="116">
      <c r="A78" s="183">
        <f>A77+1</f>
        <v/>
      </c>
      <c r="B78" s="24" t="n"/>
      <c r="C78" s="160" t="inlineStr">
        <is>
          <t>04.1.02.05-0063</t>
        </is>
      </c>
      <c r="D78" s="218" t="inlineStr">
        <is>
          <t>Смеси бетонные тяжелого бетона (БСТ), крупность заполнителя 40 мм, класс В25 (М350)</t>
        </is>
      </c>
      <c r="E78" s="219" t="inlineStr">
        <is>
          <t>м3</t>
        </is>
      </c>
      <c r="F78" s="219" t="n">
        <v>509</v>
      </c>
      <c r="G78" s="141" t="n">
        <v>700</v>
      </c>
      <c r="H78" s="141">
        <f>ROUND(F78*G78,2)</f>
        <v/>
      </c>
    </row>
    <row r="79">
      <c r="A79" s="183">
        <f>A78+1</f>
        <v/>
      </c>
      <c r="B79" s="24" t="n"/>
      <c r="C79" s="160" t="inlineStr">
        <is>
          <t>22.2.02.07-0004</t>
        </is>
      </c>
      <c r="D79" s="218" t="inlineStr">
        <is>
          <t>Конструкции стальные прожекторных мачт ОРУ</t>
        </is>
      </c>
      <c r="E79" s="219" t="inlineStr">
        <is>
          <t>т</t>
        </is>
      </c>
      <c r="F79" s="219" t="n">
        <v>23.92</v>
      </c>
      <c r="G79" s="141" t="n">
        <v>12500</v>
      </c>
      <c r="H79" s="141">
        <f>ROUND(F79*G79,2)</f>
        <v/>
      </c>
    </row>
    <row r="80">
      <c r="A80" s="183">
        <f>A79+1</f>
        <v/>
      </c>
      <c r="B80" s="24" t="n"/>
      <c r="C80" s="160" t="inlineStr">
        <is>
          <t>22.2.01.07-0001</t>
        </is>
      </c>
      <c r="D80" s="218" t="inlineStr">
        <is>
          <t>Опора шинная ШО-110.II-УХЛ1</t>
        </is>
      </c>
      <c r="E80" s="219" t="inlineStr">
        <is>
          <t>шт</t>
        </is>
      </c>
      <c r="F80" s="219" t="n">
        <v>36</v>
      </c>
      <c r="G80" s="141" t="n">
        <v>5240.6</v>
      </c>
      <c r="H80" s="141">
        <f>ROUND(F80*G80,2)</f>
        <v/>
      </c>
    </row>
    <row r="81" ht="25.5" customHeight="1" s="116">
      <c r="A81" s="183">
        <f>A80+1</f>
        <v/>
      </c>
      <c r="B81" s="24" t="n"/>
      <c r="C81" s="160" t="inlineStr">
        <is>
          <t>21.2.01.02-0094</t>
        </is>
      </c>
      <c r="D81" s="218" t="inlineStr">
        <is>
          <t>Провод неизолированный для воздушных линий электропередачи АС 300/39</t>
        </is>
      </c>
      <c r="E81" s="219" t="inlineStr">
        <is>
          <t>т</t>
        </is>
      </c>
      <c r="F81" s="219" t="n">
        <v>4.90722</v>
      </c>
      <c r="G81" s="141" t="n">
        <v>32758.86</v>
      </c>
      <c r="H81" s="141">
        <f>ROUND(F81*G81,2)</f>
        <v/>
      </c>
    </row>
    <row r="82">
      <c r="A82" s="183">
        <f>A81+1</f>
        <v/>
      </c>
      <c r="B82" s="24" t="n"/>
      <c r="C82" s="160" t="inlineStr">
        <is>
          <t>01.4.01.10-0016</t>
        </is>
      </c>
      <c r="D82" s="218" t="inlineStr">
        <is>
          <t>Шнек, диаметр 135 мм</t>
        </is>
      </c>
      <c r="E82" s="219" t="inlineStr">
        <is>
          <t>шт</t>
        </is>
      </c>
      <c r="F82" s="219" t="n">
        <v>254.89</v>
      </c>
      <c r="G82" s="141" t="n">
        <v>597</v>
      </c>
      <c r="H82" s="141">
        <f>ROUND(F82*G82,2)</f>
        <v/>
      </c>
    </row>
    <row r="83">
      <c r="A83" s="183">
        <f>A82+1</f>
        <v/>
      </c>
      <c r="B83" s="24" t="n"/>
      <c r="C83" s="160" t="inlineStr">
        <is>
          <t>110-0178</t>
        </is>
      </c>
      <c r="D83" s="218" t="inlineStr">
        <is>
          <t>Ростверки стальные массой до 0,2т</t>
        </is>
      </c>
      <c r="E83" s="219" t="inlineStr">
        <is>
          <t>т</t>
        </is>
      </c>
      <c r="F83" s="219" t="n">
        <v>13</v>
      </c>
      <c r="G83" s="141" t="n">
        <v>8200</v>
      </c>
      <c r="H83" s="141">
        <f>ROUND(F83*G83,2)</f>
        <v/>
      </c>
    </row>
    <row r="84">
      <c r="A84" s="183">
        <f>A83+1</f>
        <v/>
      </c>
      <c r="B84" s="24" t="n"/>
      <c r="C84" s="160">
        <f>'Прил.5 Расчет СМР и ОБ'!B83</f>
        <v/>
      </c>
      <c r="D84" s="218">
        <f>'Прил.5 Расчет СМР и ОБ'!C83</f>
        <v/>
      </c>
      <c r="E84" s="219">
        <f>'Прил.5 Расчет СМР и ОБ'!D83</f>
        <v/>
      </c>
      <c r="F84" s="219">
        <f>'Прил.5 Расчет СМР и ОБ'!E83</f>
        <v/>
      </c>
      <c r="G84" s="141">
        <f>'Прил.5 Расчет СМР и ОБ'!F83</f>
        <v/>
      </c>
      <c r="H84" s="141">
        <f>ROUND(F84*G84,2)</f>
        <v/>
      </c>
    </row>
    <row r="85" ht="38.25" customHeight="1" s="116">
      <c r="A85" s="183">
        <f>A84+1</f>
        <v/>
      </c>
      <c r="B85" s="24" t="n"/>
      <c r="C85" s="160" t="inlineStr">
        <is>
          <t>201-0599</t>
        </is>
      </c>
      <c r="D85" s="21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5" s="219" t="inlineStr">
        <is>
          <t>т</t>
        </is>
      </c>
      <c r="F85" s="219" t="n">
        <v>6.522681</v>
      </c>
      <c r="G85" s="141" t="n">
        <v>11879.77</v>
      </c>
      <c r="H85" s="141">
        <f>ROUND(F85*G85,2)</f>
        <v/>
      </c>
    </row>
    <row r="86" ht="38.25" customHeight="1" s="116">
      <c r="A86" s="183">
        <f>A85+1</f>
        <v/>
      </c>
      <c r="B86" s="24" t="n"/>
      <c r="C86" s="160" t="inlineStr">
        <is>
          <t>509-0458</t>
        </is>
      </c>
      <c r="D86" s="218" t="inlineStr">
        <is>
          <t>Зажимы натяжные болтовые НБН алюминиевые для крепления многопроволочных проводов сечением 95-120 мм2</t>
        </is>
      </c>
      <c r="E86" s="219" t="inlineStr">
        <is>
          <t>шт.</t>
        </is>
      </c>
      <c r="F86" s="219" t="n">
        <v>192</v>
      </c>
      <c r="G86" s="141" t="n">
        <v>389.85</v>
      </c>
      <c r="H86" s="141">
        <f>ROUND(F86*G86,2)</f>
        <v/>
      </c>
    </row>
    <row r="87">
      <c r="A87" s="183">
        <f>A86+1</f>
        <v/>
      </c>
      <c r="B87" s="24" t="n"/>
      <c r="C87" s="160" t="inlineStr">
        <is>
          <t>111-0179</t>
        </is>
      </c>
      <c r="D87" s="218" t="inlineStr">
        <is>
          <t>Изоляторы</t>
        </is>
      </c>
      <c r="E87" s="219" t="inlineStr">
        <is>
          <t>шт.</t>
        </is>
      </c>
      <c r="F87" s="219" t="n">
        <v>1325</v>
      </c>
      <c r="G87" s="141" t="n">
        <v>51.5</v>
      </c>
      <c r="H87" s="141">
        <f>ROUND(F87*G87,2)</f>
        <v/>
      </c>
    </row>
    <row r="88" ht="25.5" customHeight="1" s="116">
      <c r="A88" s="183">
        <f>A87+1</f>
        <v/>
      </c>
      <c r="B88" s="24" t="n"/>
      <c r="C88" s="160" t="inlineStr">
        <is>
          <t>110-0256</t>
        </is>
      </c>
      <c r="D88" s="218" t="inlineStr">
        <is>
          <t>Конструкции стальные отдельностоящих молниеотводов ОРУ</t>
        </is>
      </c>
      <c r="E88" s="219" t="inlineStr">
        <is>
          <t>т</t>
        </is>
      </c>
      <c r="F88" s="219" t="n">
        <v>5.67</v>
      </c>
      <c r="G88" s="141" t="n">
        <v>9800</v>
      </c>
      <c r="H88" s="141">
        <f>ROUND(F88*G88,2)</f>
        <v/>
      </c>
    </row>
    <row r="89">
      <c r="A89" s="183">
        <f>A88+1</f>
        <v/>
      </c>
      <c r="B89" s="24" t="n"/>
      <c r="C89" s="160" t="inlineStr">
        <is>
          <t>101-1723</t>
        </is>
      </c>
      <c r="D89" s="218" t="inlineStr">
        <is>
          <t>Звено соединительное 28 мм</t>
        </is>
      </c>
      <c r="E89" s="219" t="inlineStr">
        <is>
          <t>шт.</t>
        </is>
      </c>
      <c r="F89" s="219" t="n">
        <v>192</v>
      </c>
      <c r="G89" s="141" t="n">
        <v>248.78</v>
      </c>
      <c r="H89" s="141">
        <f>ROUND(F89*G89,2)</f>
        <v/>
      </c>
    </row>
    <row r="90">
      <c r="A90" s="183">
        <f>A89+1</f>
        <v/>
      </c>
      <c r="B90" s="24" t="n"/>
      <c r="C90" s="160" t="inlineStr">
        <is>
          <t>10.1.02.03-0001</t>
        </is>
      </c>
      <c r="D90" s="218" t="inlineStr">
        <is>
          <t>Проволока алюминиевая (АМЦ) диаметром 1,4-1,8 мм</t>
        </is>
      </c>
      <c r="E90" s="219" t="inlineStr">
        <is>
          <t>т</t>
        </is>
      </c>
      <c r="F90" s="219" t="n">
        <v>1.473</v>
      </c>
      <c r="G90" s="141" t="n">
        <v>30090</v>
      </c>
      <c r="H90" s="141">
        <f>ROUND(F90*G90,2)</f>
        <v/>
      </c>
    </row>
    <row r="91">
      <c r="A91" s="183">
        <f>A90+1</f>
        <v/>
      </c>
      <c r="B91" s="24" t="n"/>
      <c r="C91" s="160" t="inlineStr">
        <is>
          <t>509-0417</t>
        </is>
      </c>
      <c r="D91" s="218" t="inlineStr">
        <is>
          <t>Зажим фиксирующий 049-5 (КС-329)</t>
        </is>
      </c>
      <c r="E91" s="219" t="inlineStr">
        <is>
          <t>шт.</t>
        </is>
      </c>
      <c r="F91" s="219" t="n">
        <v>476</v>
      </c>
      <c r="G91" s="141" t="n">
        <v>66.68000000000001</v>
      </c>
      <c r="H91" s="141">
        <f>ROUND(F91*G91,2)</f>
        <v/>
      </c>
    </row>
    <row r="92" ht="27" customHeight="1" s="116">
      <c r="A92" s="183">
        <f>A91+1</f>
        <v/>
      </c>
      <c r="B92" s="24" t="n"/>
      <c r="C92" s="160">
        <f>'Прил.5 Расчет СМР и ОБ'!B93</f>
        <v/>
      </c>
      <c r="D92" s="218">
        <f>'Прил.5 Расчет СМР и ОБ'!C93</f>
        <v/>
      </c>
      <c r="E92" s="219">
        <f>'Прил.5 Расчет СМР и ОБ'!D93</f>
        <v/>
      </c>
      <c r="F92" s="219">
        <f>'Прил.5 Расчет СМР и ОБ'!E93</f>
        <v/>
      </c>
      <c r="G92" s="141">
        <f>'Прил.5 Расчет СМР и ОБ'!F93</f>
        <v/>
      </c>
      <c r="H92" s="141">
        <f>'Прил.5 Расчет СМР и ОБ'!G93</f>
        <v/>
      </c>
    </row>
    <row r="93" ht="51" customHeight="1" s="116">
      <c r="A93" s="183">
        <f>A92+1</f>
        <v/>
      </c>
      <c r="B93" s="24" t="n"/>
      <c r="C93" s="160" t="inlineStr">
        <is>
          <t>502-0323</t>
        </is>
      </c>
      <c r="D93" s="21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      </is>
      </c>
      <c r="E93" s="219" t="inlineStr">
        <is>
          <t>т</t>
        </is>
      </c>
      <c r="F93" s="219" t="n">
        <v>0.312273</v>
      </c>
      <c r="G93" s="141" t="n">
        <v>67803.98</v>
      </c>
      <c r="H93" s="141">
        <f>ROUND(F93*G93,2)</f>
        <v/>
      </c>
    </row>
    <row r="94">
      <c r="A94" s="183">
        <f>A93+1</f>
        <v/>
      </c>
      <c r="B94" s="24" t="n"/>
      <c r="C94" s="160" t="inlineStr">
        <is>
          <t>113-0442</t>
        </is>
      </c>
      <c r="D94" s="218" t="inlineStr">
        <is>
          <t>Краска "Цинол"</t>
        </is>
      </c>
      <c r="E94" s="219" t="inlineStr">
        <is>
          <t>кг</t>
        </is>
      </c>
      <c r="F94" s="219" t="n">
        <v>82</v>
      </c>
      <c r="G94" s="141" t="n">
        <v>238.48</v>
      </c>
      <c r="H94" s="141">
        <f>ROUND(F94*G94,2)</f>
        <v/>
      </c>
    </row>
    <row r="95">
      <c r="A95" s="183">
        <f>A94+1</f>
        <v/>
      </c>
      <c r="B95" s="24" t="n"/>
      <c r="C95" s="160" t="inlineStr">
        <is>
          <t>509-0127</t>
        </is>
      </c>
      <c r="D95" s="218" t="inlineStr">
        <is>
          <t>Ушко двухлапчатое У2-12-16</t>
        </is>
      </c>
      <c r="E95" s="219" t="inlineStr">
        <is>
          <t>шт.</t>
        </is>
      </c>
      <c r="F95" s="219" t="n">
        <v>87</v>
      </c>
      <c r="G95" s="141" t="n">
        <v>194.37</v>
      </c>
      <c r="H95" s="141">
        <f>ROUND(F95*G95,2)</f>
        <v/>
      </c>
    </row>
    <row r="96" ht="51" customHeight="1" s="116">
      <c r="A96" s="183">
        <f>A95+1</f>
        <v/>
      </c>
      <c r="B96" s="24" t="n"/>
      <c r="C96" s="160" t="inlineStr">
        <is>
          <t>201-0764</t>
        </is>
      </c>
      <c r="D96" s="218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6" s="219" t="inlineStr">
        <is>
          <t>т</t>
        </is>
      </c>
      <c r="F96" s="219" t="n">
        <v>1.545</v>
      </c>
      <c r="G96" s="141" t="n">
        <v>10508</v>
      </c>
      <c r="H96" s="141">
        <f>ROUND(F96*G96,2)</f>
        <v/>
      </c>
    </row>
    <row r="97">
      <c r="A97" s="183">
        <f>A96+1</f>
        <v/>
      </c>
      <c r="B97" s="24" t="n"/>
      <c r="C97" s="160" t="inlineStr">
        <is>
          <t>509-0067</t>
        </is>
      </c>
      <c r="D97" s="218" t="inlineStr">
        <is>
          <t>Профиль монтажный</t>
        </is>
      </c>
      <c r="E97" s="219" t="inlineStr">
        <is>
          <t>шт.</t>
        </is>
      </c>
      <c r="F97" s="219" t="n">
        <v>221</v>
      </c>
      <c r="G97" s="141" t="n">
        <v>66.81999999999999</v>
      </c>
      <c r="H97" s="141">
        <f>ROUND(F97*G97,2)</f>
        <v/>
      </c>
    </row>
    <row r="98">
      <c r="A98" s="183">
        <f>A97+1</f>
        <v/>
      </c>
      <c r="B98" s="24" t="n"/>
      <c r="C98" s="160" t="inlineStr">
        <is>
          <t>509-0244</t>
        </is>
      </c>
      <c r="D98" s="218" t="inlineStr">
        <is>
          <t>Распорка 125-1</t>
        </is>
      </c>
      <c r="E98" s="219" t="inlineStr">
        <is>
          <t>шт.</t>
        </is>
      </c>
      <c r="F98" s="219" t="n">
        <v>320</v>
      </c>
      <c r="G98" s="141" t="n">
        <v>36.61</v>
      </c>
      <c r="H98" s="141">
        <f>ROUND(F98*G98,2)</f>
        <v/>
      </c>
    </row>
    <row r="99" ht="25.5" customHeight="1" s="116">
      <c r="A99" s="183">
        <f>A98+1</f>
        <v/>
      </c>
      <c r="B99" s="24" t="n"/>
      <c r="C99" s="160" t="inlineStr">
        <is>
          <t>201-0843</t>
        </is>
      </c>
      <c r="D99" s="218" t="inlineStr">
        <is>
          <t>Конструкции стальные индивидуальные решетчатые сварные массой до 0,1 т</t>
        </is>
      </c>
      <c r="E99" s="219" t="inlineStr">
        <is>
          <t>т</t>
        </is>
      </c>
      <c r="F99" s="219" t="n">
        <v>0.9370000000000001</v>
      </c>
      <c r="G99" s="141" t="n">
        <v>11500</v>
      </c>
      <c r="H99" s="141">
        <f>ROUND(F99*G99,2)</f>
        <v/>
      </c>
    </row>
    <row r="100">
      <c r="A100" s="183">
        <f>A99+1</f>
        <v/>
      </c>
      <c r="B100" s="24" t="n"/>
      <c r="C100" s="160" t="inlineStr">
        <is>
          <t>101-3721</t>
        </is>
      </c>
      <c r="D100" s="218" t="inlineStr">
        <is>
          <t>сталь полосовая 50х4 мм, марка Ст3сп</t>
        </is>
      </c>
      <c r="E100" s="219" t="inlineStr">
        <is>
          <t>т</t>
        </is>
      </c>
      <c r="F100" s="219" t="n">
        <v>1.37788</v>
      </c>
      <c r="G100" s="141" t="n">
        <v>7396.23</v>
      </c>
      <c r="H100" s="141">
        <f>ROUND(F100*G100,2)</f>
        <v/>
      </c>
    </row>
    <row r="101" ht="51" customHeight="1" s="116">
      <c r="A101" s="183">
        <f>A100+1</f>
        <v/>
      </c>
      <c r="B101" s="24" t="n"/>
      <c r="C101" s="160" t="inlineStr">
        <is>
          <t>201-0756</t>
        </is>
      </c>
      <c r="D101" s="21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1" s="219" t="inlineStr">
        <is>
          <t>т</t>
        </is>
      </c>
      <c r="F101" s="219" t="n">
        <v>1.298</v>
      </c>
      <c r="G101" s="141" t="n">
        <v>7712</v>
      </c>
      <c r="H101" s="141">
        <f>ROUND(F101*G101,2)</f>
        <v/>
      </c>
    </row>
    <row r="102">
      <c r="A102" s="183">
        <f>A101+1</f>
        <v/>
      </c>
      <c r="B102" s="24" t="n"/>
      <c r="C102" s="160" t="inlineStr">
        <is>
          <t>401-0049</t>
        </is>
      </c>
      <c r="D102" s="218" t="inlineStr">
        <is>
          <t>Надбавка на W8 для М350 3%           617,83х0,03</t>
        </is>
      </c>
      <c r="E102" s="219" t="inlineStr">
        <is>
          <t>м3</t>
        </is>
      </c>
      <c r="F102" s="219" t="n">
        <v>509</v>
      </c>
      <c r="G102" s="141" t="n">
        <v>18.53</v>
      </c>
      <c r="H102" s="141">
        <f>ROUND(F102*G102,2)</f>
        <v/>
      </c>
    </row>
    <row r="103">
      <c r="A103" s="183">
        <f>A102+1</f>
        <v/>
      </c>
      <c r="B103" s="24" t="n"/>
      <c r="C103" s="160" t="inlineStr">
        <is>
          <t>509-1060</t>
        </is>
      </c>
      <c r="D103" s="218" t="inlineStr">
        <is>
          <t>Узел крепления фиксатора окрашенный</t>
        </is>
      </c>
      <c r="E103" s="219" t="inlineStr">
        <is>
          <t>шт.</t>
        </is>
      </c>
      <c r="F103" s="219" t="n">
        <v>127</v>
      </c>
      <c r="G103" s="141" t="n">
        <v>56.95</v>
      </c>
      <c r="H103" s="141">
        <f>ROUND(F103*G103,2)</f>
        <v/>
      </c>
    </row>
    <row r="104" ht="25.5" customHeight="1" s="116">
      <c r="A104" s="183">
        <f>A103+1</f>
        <v/>
      </c>
      <c r="B104" s="24" t="n"/>
      <c r="C104" s="160" t="inlineStr">
        <is>
          <t>509-0221</t>
        </is>
      </c>
      <c r="D104" s="218" t="inlineStr">
        <is>
          <t>Коромысло для анкеровки усиливающих и питающих проводов (КС-122)</t>
        </is>
      </c>
      <c r="E104" s="219" t="inlineStr">
        <is>
          <t>шт.</t>
        </is>
      </c>
      <c r="F104" s="219" t="n">
        <v>87</v>
      </c>
      <c r="G104" s="141" t="n">
        <v>81</v>
      </c>
      <c r="H104" s="141">
        <f>ROUND(F104*G104,2)</f>
        <v/>
      </c>
    </row>
    <row r="105">
      <c r="A105" s="183">
        <f>A104+1</f>
        <v/>
      </c>
      <c r="B105" s="24" t="n"/>
      <c r="C105" s="160" t="inlineStr">
        <is>
          <t>101-1513</t>
        </is>
      </c>
      <c r="D105" s="218" t="inlineStr">
        <is>
          <t>Электроды диаметром 4 мм Э42</t>
        </is>
      </c>
      <c r="E105" s="219" t="inlineStr">
        <is>
          <t>т</t>
        </is>
      </c>
      <c r="F105" s="219" t="n">
        <v>0.6714</v>
      </c>
      <c r="G105" s="141" t="n">
        <v>10315</v>
      </c>
      <c r="H105" s="141">
        <f>ROUND(F105*G105,2)</f>
        <v/>
      </c>
    </row>
    <row r="106">
      <c r="A106" s="183">
        <f>A105+1</f>
        <v/>
      </c>
      <c r="B106" s="24" t="n"/>
      <c r="C106" s="160" t="inlineStr">
        <is>
          <t>101-2162</t>
        </is>
      </c>
      <c r="D106" s="218" t="inlineStr">
        <is>
          <t>Рукава металлические диаметром 27 мм РЗ-Ц-Х</t>
        </is>
      </c>
      <c r="E106" s="219" t="inlineStr">
        <is>
          <t>м</t>
        </is>
      </c>
      <c r="F106" s="219" t="n">
        <v>420</v>
      </c>
      <c r="G106" s="141" t="n">
        <v>13.56</v>
      </c>
      <c r="H106" s="141">
        <f>ROUND(F106*G106,2)</f>
        <v/>
      </c>
    </row>
    <row r="107">
      <c r="A107" s="183">
        <f>A106+1</f>
        <v/>
      </c>
      <c r="B107" s="24" t="n"/>
      <c r="C107" s="160" t="inlineStr">
        <is>
          <t>101-1977</t>
        </is>
      </c>
      <c r="D107" s="218" t="inlineStr">
        <is>
          <t>Болты с гайками и шайбами строительные</t>
        </is>
      </c>
      <c r="E107" s="219" t="inlineStr">
        <is>
          <t>кг</t>
        </is>
      </c>
      <c r="F107" s="219" t="n">
        <v>553.079</v>
      </c>
      <c r="G107" s="141" t="n">
        <v>9.039999999999999</v>
      </c>
      <c r="H107" s="141">
        <f>ROUND(F107*G107,2)</f>
        <v/>
      </c>
    </row>
    <row r="108">
      <c r="A108" s="183">
        <f>A107+1</f>
        <v/>
      </c>
      <c r="B108" s="24" t="n"/>
      <c r="C108" s="160" t="inlineStr">
        <is>
          <t>101-2355</t>
        </is>
      </c>
      <c r="D108" s="218" t="inlineStr">
        <is>
          <t>Бумага шлифовальная</t>
        </is>
      </c>
      <c r="E108" s="219" t="inlineStr">
        <is>
          <t>кг</t>
        </is>
      </c>
      <c r="F108" s="219" t="n">
        <v>96</v>
      </c>
      <c r="G108" s="141" t="n">
        <v>50</v>
      </c>
      <c r="H108" s="141">
        <f>ROUND(F108*G108,2)</f>
        <v/>
      </c>
    </row>
    <row r="109" ht="25.5" customHeight="1" s="116">
      <c r="A109" s="183">
        <f>A108+1</f>
        <v/>
      </c>
      <c r="B109" s="24" t="n"/>
      <c r="C109" s="160" t="inlineStr">
        <is>
          <t>201-0650</t>
        </is>
      </c>
      <c r="D109" s="218" t="inlineStr">
        <is>
          <t>Ограждения лестничных проемов, лестничные марши, пожарные лестницы</t>
        </is>
      </c>
      <c r="E109" s="219" t="inlineStr">
        <is>
          <t>т</t>
        </is>
      </c>
      <c r="F109" s="219" t="n">
        <v>0.613777</v>
      </c>
      <c r="G109" s="141" t="n">
        <v>7571</v>
      </c>
      <c r="H109" s="141">
        <f>ROUND(F109*G109,2)</f>
        <v/>
      </c>
    </row>
    <row r="110" ht="25.5" customHeight="1" s="116">
      <c r="A110" s="183">
        <f>A109+1</f>
        <v/>
      </c>
      <c r="B110" s="24" t="n"/>
      <c r="C110" s="160" t="inlineStr">
        <is>
          <t>101-1755</t>
        </is>
      </c>
      <c r="D110" s="218" t="inlineStr">
        <is>
          <t>сталь полосовая, марка стали Ст3сп шириной 50-200 мм толщиной 4-5 мм</t>
        </is>
      </c>
      <c r="E110" s="219" t="inlineStr">
        <is>
          <t>т</t>
        </is>
      </c>
      <c r="F110" s="219" t="n">
        <v>0.9073</v>
      </c>
      <c r="G110" s="141" t="n">
        <v>5000</v>
      </c>
      <c r="H110" s="141">
        <f>ROUND(F110*G110,2)</f>
        <v/>
      </c>
    </row>
    <row r="111" ht="25.5" customHeight="1" s="116">
      <c r="A111" s="160">
        <f>A110+1</f>
        <v/>
      </c>
      <c r="B111" s="24" t="n"/>
      <c r="C111" s="160" t="inlineStr">
        <is>
          <t>101-2065</t>
        </is>
      </c>
      <c r="D111" s="218" t="inlineStr">
        <is>
          <t>Болты с гайками и шайбами оцинкованные, диаметр 24 мм</t>
        </is>
      </c>
      <c r="E111" s="219" t="inlineStr">
        <is>
          <t>кг</t>
        </is>
      </c>
      <c r="F111" s="219" t="n">
        <v>150</v>
      </c>
      <c r="G111" s="141" t="n">
        <v>24.79</v>
      </c>
      <c r="H111" s="141">
        <f>ROUND(F111*G111,2)</f>
        <v/>
      </c>
    </row>
    <row r="112" ht="38.25" customHeight="1" s="116">
      <c r="A112" s="160">
        <f>A111+1</f>
        <v/>
      </c>
      <c r="B112" s="24" t="n"/>
      <c r="C112" s="160" t="inlineStr">
        <is>
          <t>502-0505</t>
        </is>
      </c>
      <c r="D112" s="218" t="inlineStr">
        <is>
          <t>Провода силовые для электрических установок на напряжение до 450 В с медной жилой марки ПВ1, сечением 25 мм2</t>
        </is>
      </c>
      <c r="E112" s="219" t="inlineStr">
        <is>
          <t>1000 м</t>
        </is>
      </c>
      <c r="F112" s="219" t="n">
        <v>0.1836</v>
      </c>
      <c r="G112" s="141" t="n">
        <v>19363.45</v>
      </c>
      <c r="H112" s="141">
        <f>ROUND(F112*G112,2)</f>
        <v/>
      </c>
    </row>
    <row r="113">
      <c r="A113" s="160">
        <f>A112+1</f>
        <v/>
      </c>
      <c r="B113" s="24" t="n"/>
      <c r="C113" s="160" t="inlineStr">
        <is>
          <t>101-2143</t>
        </is>
      </c>
      <c r="D113" s="218" t="inlineStr">
        <is>
          <t>Краска</t>
        </is>
      </c>
      <c r="E113" s="219" t="inlineStr">
        <is>
          <t>кг</t>
        </is>
      </c>
      <c r="F113" s="219" t="n">
        <v>117.27</v>
      </c>
      <c r="G113" s="141" t="n">
        <v>28.6</v>
      </c>
      <c r="H113" s="141">
        <f>ROUND(F113*G113,2)</f>
        <v/>
      </c>
    </row>
    <row r="114">
      <c r="A114" s="160">
        <f>A113+1</f>
        <v/>
      </c>
      <c r="B114" s="24" t="n"/>
      <c r="C114" s="160" t="inlineStr">
        <is>
          <t>14.5.09.11-0101</t>
        </is>
      </c>
      <c r="D114" s="218" t="inlineStr">
        <is>
          <t>Уайт-спирит</t>
        </is>
      </c>
      <c r="E114" s="219" t="inlineStr">
        <is>
          <t>т</t>
        </is>
      </c>
      <c r="F114" s="219" t="n">
        <v>0.483</v>
      </c>
      <c r="G114" s="141" t="n">
        <v>6667</v>
      </c>
      <c r="H114" s="141">
        <f>ROUND(F114*G114,2)</f>
        <v/>
      </c>
    </row>
    <row r="115">
      <c r="A115" s="160">
        <f>A114+1</f>
        <v/>
      </c>
      <c r="B115" s="24" t="n"/>
      <c r="C115" s="160" t="inlineStr">
        <is>
          <t>503-0544</t>
        </is>
      </c>
      <c r="D115" s="218" t="inlineStr">
        <is>
          <t>Бокс ЩРН-9 навесной (250х350х120)</t>
        </is>
      </c>
      <c r="E115" s="219" t="inlineStr">
        <is>
          <t>шт.</t>
        </is>
      </c>
      <c r="F115" s="219" t="n">
        <v>30</v>
      </c>
      <c r="G115" s="141" t="n">
        <v>92.25</v>
      </c>
      <c r="H115" s="141">
        <f>ROUND(F115*G115,2)</f>
        <v/>
      </c>
    </row>
    <row r="116" ht="25.5" customHeight="1" s="116">
      <c r="A116" s="160">
        <f>A115+1</f>
        <v/>
      </c>
      <c r="B116" s="24" t="n"/>
      <c r="C116" s="160" t="inlineStr">
        <is>
          <t>113-0561</t>
        </is>
      </c>
      <c r="D116" s="218" t="inlineStr">
        <is>
          <t>Композиция "Алпол" (на основе термопластичных полимеров)</t>
        </is>
      </c>
      <c r="E116" s="219" t="inlineStr">
        <is>
          <t>кг</t>
        </is>
      </c>
      <c r="F116" s="219" t="n">
        <v>39</v>
      </c>
      <c r="G116" s="141" t="n">
        <v>54.99</v>
      </c>
      <c r="H116" s="141">
        <f>ROUND(F116*G116,2)</f>
        <v/>
      </c>
    </row>
    <row r="117">
      <c r="A117" s="160">
        <f>A116+1</f>
        <v/>
      </c>
      <c r="B117" s="24" t="n"/>
      <c r="C117" s="160" t="inlineStr">
        <is>
          <t>102-8009</t>
        </is>
      </c>
      <c r="D117" s="218" t="inlineStr">
        <is>
          <t>Доски дубовые II сорта</t>
        </is>
      </c>
      <c r="E117" s="219" t="inlineStr">
        <is>
          <t>м3</t>
        </is>
      </c>
      <c r="F117" s="219" t="n">
        <v>1.512</v>
      </c>
      <c r="G117" s="141" t="n">
        <v>1410</v>
      </c>
      <c r="H117" s="141">
        <f>ROUND(F117*G117,2)</f>
        <v/>
      </c>
    </row>
    <row r="118">
      <c r="A118" s="160">
        <f>A117+1</f>
        <v/>
      </c>
      <c r="B118" s="24" t="n"/>
      <c r="C118" s="160" t="inlineStr">
        <is>
          <t>101-1924</t>
        </is>
      </c>
      <c r="D118" s="218" t="inlineStr">
        <is>
          <t>Электроды диаметром 4 мм Э42А</t>
        </is>
      </c>
      <c r="E118" s="219" t="inlineStr">
        <is>
          <t>кг</t>
        </is>
      </c>
      <c r="F118" s="219" t="n">
        <v>198.5164</v>
      </c>
      <c r="G118" s="141" t="n">
        <v>10.57</v>
      </c>
      <c r="H118" s="141">
        <f>ROUND(F118*G118,2)</f>
        <v/>
      </c>
    </row>
    <row r="119" ht="25.5" customHeight="1" s="116">
      <c r="A119" s="160">
        <f>A118+1</f>
        <v/>
      </c>
      <c r="B119" s="24" t="n"/>
      <c r="C119" s="160" t="inlineStr">
        <is>
          <t>401-0064</t>
        </is>
      </c>
      <c r="D119" s="218" t="inlineStr">
        <is>
          <t>БЕТОН тяжелый, крупность заполнителя 20 мм, класс В10 (М150)</t>
        </is>
      </c>
      <c r="E119" s="219" t="inlineStr">
        <is>
          <t>м3</t>
        </is>
      </c>
      <c r="F119" s="219" t="n">
        <v>3.06</v>
      </c>
      <c r="G119" s="141" t="n">
        <v>542.24</v>
      </c>
      <c r="H119" s="141">
        <f>ROUND(F119*G119,2)</f>
        <v/>
      </c>
    </row>
    <row r="120" ht="25.5" customHeight="1" s="116">
      <c r="A120" s="160">
        <f>A119+1</f>
        <v/>
      </c>
      <c r="B120" s="24" t="n"/>
      <c r="C120" s="160" t="inlineStr">
        <is>
          <t>401-0061</t>
        </is>
      </c>
      <c r="D120" s="218" t="inlineStr">
        <is>
          <t>БЕТОН тяжелый, крупность заполнителя 20 мм, класс В3,5 (М50)</t>
        </is>
      </c>
      <c r="E120" s="219" t="inlineStr">
        <is>
          <t>м3</t>
        </is>
      </c>
      <c r="F120" s="219" t="n">
        <v>3.06</v>
      </c>
      <c r="G120" s="141" t="n">
        <v>520</v>
      </c>
      <c r="H120" s="141">
        <f>ROUND(F120*G120,2)</f>
        <v/>
      </c>
    </row>
    <row r="121">
      <c r="A121" s="160">
        <f>A120+1</f>
        <v/>
      </c>
      <c r="B121" s="24" t="n"/>
      <c r="C121" s="160" t="inlineStr">
        <is>
          <t>509-0237</t>
        </is>
      </c>
      <c r="D121" s="218" t="inlineStr">
        <is>
          <t>Серьга Ср-4,5 075</t>
        </is>
      </c>
      <c r="E121" s="219" t="inlineStr">
        <is>
          <t>шт.</t>
        </is>
      </c>
      <c r="F121" s="219" t="n">
        <v>127</v>
      </c>
      <c r="G121" s="141" t="n">
        <v>11.39</v>
      </c>
      <c r="H121" s="141">
        <f>ROUND(F121*G121,2)</f>
        <v/>
      </c>
    </row>
    <row r="122">
      <c r="A122" s="160">
        <f>A121+1</f>
        <v/>
      </c>
      <c r="B122" s="24" t="n"/>
      <c r="C122" s="160" t="inlineStr">
        <is>
          <t>101-0113</t>
        </is>
      </c>
      <c r="D122" s="218" t="inlineStr">
        <is>
          <t>Бязь суровая арт. 6804</t>
        </is>
      </c>
      <c r="E122" s="219" t="inlineStr">
        <is>
          <t>10 м2</t>
        </is>
      </c>
      <c r="F122" s="219" t="n">
        <v>17.4</v>
      </c>
      <c r="G122" s="141" t="n">
        <v>79.09999999999999</v>
      </c>
      <c r="H122" s="141">
        <f>ROUND(F122*G122,2)</f>
        <v/>
      </c>
    </row>
    <row r="123">
      <c r="A123" s="160">
        <f>A122+1</f>
        <v/>
      </c>
      <c r="B123" s="24" t="n"/>
      <c r="C123" s="160" t="inlineStr">
        <is>
          <t>109-0145</t>
        </is>
      </c>
      <c r="D123" s="218" t="inlineStr">
        <is>
          <t>Коронки буровые типа К-100В</t>
        </is>
      </c>
      <c r="E123" s="219" t="inlineStr">
        <is>
          <t>шт.</t>
        </is>
      </c>
      <c r="F123" s="219" t="n">
        <v>7.426</v>
      </c>
      <c r="G123" s="141" t="n">
        <v>176.51</v>
      </c>
      <c r="H123" s="141">
        <f>ROUND(F123*G123,2)</f>
        <v/>
      </c>
    </row>
    <row r="124">
      <c r="A124" s="160">
        <f>A123+1</f>
        <v/>
      </c>
      <c r="B124" s="24" t="n"/>
      <c r="C124" s="160" t="inlineStr">
        <is>
          <t>101-2353</t>
        </is>
      </c>
      <c r="D124" s="218" t="inlineStr">
        <is>
          <t>Спирт этиловый ректификованный технический, сорт I</t>
        </is>
      </c>
      <c r="E124" s="219" t="inlineStr">
        <is>
          <t>т</t>
        </is>
      </c>
      <c r="F124" s="219" t="n">
        <v>0.0334</v>
      </c>
      <c r="G124" s="141" t="n">
        <v>38890</v>
      </c>
      <c r="H124" s="141">
        <f>ROUND(F124*G124,2)</f>
        <v/>
      </c>
    </row>
    <row r="125" ht="25.5" customHeight="1" s="116">
      <c r="A125" s="160">
        <f>A124+1</f>
        <v/>
      </c>
      <c r="B125" s="24" t="n"/>
      <c r="C125" s="160" t="inlineStr">
        <is>
          <t>101-2343</t>
        </is>
      </c>
      <c r="D125" s="218" t="inlineStr">
        <is>
          <t>Смазка универсальная тугоплавкая УТ (консталин жировой)</t>
        </is>
      </c>
      <c r="E125" s="219" t="inlineStr">
        <is>
          <t>т</t>
        </is>
      </c>
      <c r="F125" s="219" t="n">
        <v>0.07099999999999999</v>
      </c>
      <c r="G125" s="141" t="n">
        <v>17500</v>
      </c>
      <c r="H125" s="141">
        <f>ROUND(F125*G125,2)</f>
        <v/>
      </c>
    </row>
    <row r="126" ht="38.25" customHeight="1" s="116">
      <c r="A126" s="160">
        <f>A125+1</f>
        <v/>
      </c>
      <c r="B126" s="24" t="n"/>
      <c r="C126" s="160" t="inlineStr">
        <is>
          <t>201-0755</t>
        </is>
      </c>
      <c r="D126" s="21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26" s="219" t="inlineStr">
        <is>
          <t>т</t>
        </is>
      </c>
      <c r="F126" s="219" t="n">
        <v>0.1494</v>
      </c>
      <c r="G126" s="141" t="n">
        <v>8060</v>
      </c>
      <c r="H126" s="141">
        <f>ROUND(F126*G126,2)</f>
        <v/>
      </c>
    </row>
    <row r="127" ht="25.5" customHeight="1" s="116">
      <c r="A127" s="160">
        <f>A126+1</f>
        <v/>
      </c>
      <c r="B127" s="24" t="n"/>
      <c r="C127" s="160" t="inlineStr">
        <is>
          <t>999-9950</t>
        </is>
      </c>
      <c r="D127" s="218" t="inlineStr">
        <is>
          <t>Вспомогательные ненормируемые материальные ресурсы (2% от оплаты труда рабочих)</t>
        </is>
      </c>
      <c r="E127" s="219" t="inlineStr">
        <is>
          <t>руб.</t>
        </is>
      </c>
      <c r="F127" s="219" t="n">
        <v>1199.9356</v>
      </c>
      <c r="G127" s="141" t="n">
        <v>1</v>
      </c>
      <c r="H127" s="141">
        <f>ROUND(F127*G127,2)</f>
        <v/>
      </c>
    </row>
    <row r="128">
      <c r="A128" s="160">
        <f>A127+1</f>
        <v/>
      </c>
      <c r="B128" s="24" t="n"/>
      <c r="C128" s="160" t="inlineStr">
        <is>
          <t>101-1714</t>
        </is>
      </c>
      <c r="D128" s="218" t="inlineStr">
        <is>
          <t>Болты с гайками и шайбами строительные</t>
        </is>
      </c>
      <c r="E128" s="219" t="inlineStr">
        <is>
          <t>т</t>
        </is>
      </c>
      <c r="F128" s="219" t="n">
        <v>0.131</v>
      </c>
      <c r="G128" s="141" t="n">
        <v>9040</v>
      </c>
      <c r="H128" s="141">
        <f>ROUND(F128*G128,2)</f>
        <v/>
      </c>
    </row>
    <row r="129">
      <c r="A129" s="160">
        <f>A128+1</f>
        <v/>
      </c>
      <c r="B129" s="24" t="n"/>
      <c r="C129" s="160" t="inlineStr">
        <is>
          <t>301-0041</t>
        </is>
      </c>
      <c r="D129" s="218" t="inlineStr">
        <is>
          <t>Патрубки</t>
        </is>
      </c>
      <c r="E129" s="219" t="inlineStr">
        <is>
          <t>10 шт.</t>
        </is>
      </c>
      <c r="F129" s="219" t="n">
        <v>4.2</v>
      </c>
      <c r="G129" s="141" t="n">
        <v>277.5</v>
      </c>
      <c r="H129" s="141">
        <f>ROUND(F129*G129,2)</f>
        <v/>
      </c>
    </row>
    <row r="130">
      <c r="A130" s="160">
        <f>A129+1</f>
        <v/>
      </c>
      <c r="B130" s="24" t="n"/>
      <c r="C130" s="160" t="inlineStr">
        <is>
          <t>503-0543</t>
        </is>
      </c>
      <c r="D130" s="218" t="inlineStr">
        <is>
          <t>Бокс ЩРН-9 навесной (250х300х120)</t>
        </is>
      </c>
      <c r="E130" s="219" t="inlineStr">
        <is>
          <t>шт.</t>
        </is>
      </c>
      <c r="F130" s="219" t="n">
        <v>11</v>
      </c>
      <c r="G130" s="141" t="n">
        <v>85.45999999999999</v>
      </c>
      <c r="H130" s="141">
        <f>ROUND(F130*G130,2)</f>
        <v/>
      </c>
    </row>
    <row r="131" ht="25.5" customHeight="1" s="116">
      <c r="A131" s="160">
        <f>A130+1</f>
        <v/>
      </c>
      <c r="B131" s="24" t="n"/>
      <c r="C131" s="160" t="inlineStr">
        <is>
          <t>101-1755</t>
        </is>
      </c>
      <c r="D131" s="218" t="inlineStr">
        <is>
          <t>сталь полосовая, марка стали Ст3сп шириной 50-200 мм толщиной 4-5 мм</t>
        </is>
      </c>
      <c r="E131" s="219" t="inlineStr">
        <is>
          <t>т</t>
        </is>
      </c>
      <c r="F131" s="219" t="n">
        <v>0.157</v>
      </c>
      <c r="G131" s="141" t="n">
        <v>5000</v>
      </c>
      <c r="H131" s="141">
        <f>ROUND(F131*G131,2)</f>
        <v/>
      </c>
    </row>
    <row r="132">
      <c r="A132" s="160">
        <f>A131+1</f>
        <v/>
      </c>
      <c r="B132" s="24" t="n"/>
      <c r="C132" s="160" t="inlineStr">
        <is>
          <t>509-0129</t>
        </is>
      </c>
      <c r="D132" s="218" t="inlineStr">
        <is>
          <t>Ушко однолапчатое 012</t>
        </is>
      </c>
      <c r="E132" s="219" t="inlineStr">
        <is>
          <t>шт.</t>
        </is>
      </c>
      <c r="F132" s="219" t="n">
        <v>18</v>
      </c>
      <c r="G132" s="141" t="n">
        <v>38.79</v>
      </c>
      <c r="H132" s="141">
        <f>ROUND(F132*G132,2)</f>
        <v/>
      </c>
    </row>
    <row r="133">
      <c r="A133" s="160">
        <f>A132+1</f>
        <v/>
      </c>
      <c r="B133" s="24" t="n"/>
      <c r="C133" s="160" t="inlineStr">
        <is>
          <t>509-0102</t>
        </is>
      </c>
      <c r="D133" s="218" t="inlineStr">
        <is>
          <t>Скобы</t>
        </is>
      </c>
      <c r="E133" s="219" t="inlineStr">
        <is>
          <t>10 шт.</t>
        </is>
      </c>
      <c r="F133" s="219" t="n">
        <v>8.4</v>
      </c>
      <c r="G133" s="141" t="n">
        <v>64.8</v>
      </c>
      <c r="H133" s="141">
        <f>ROUND(F133*G133,2)</f>
        <v/>
      </c>
    </row>
    <row r="134">
      <c r="A134" s="160">
        <f>A133+1</f>
        <v/>
      </c>
      <c r="B134" s="24" t="n"/>
      <c r="C134" s="160" t="inlineStr">
        <is>
          <t>113-0226</t>
        </is>
      </c>
      <c r="D134" s="218" t="inlineStr">
        <is>
          <t>Эмаль ХВ-124 голубая</t>
        </is>
      </c>
      <c r="E134" s="219" t="inlineStr">
        <is>
          <t>т</t>
        </is>
      </c>
      <c r="F134" s="219" t="n">
        <v>0.019</v>
      </c>
      <c r="G134" s="141" t="n">
        <v>22050</v>
      </c>
      <c r="H134" s="141">
        <f>ROUND(F134*G134,2)</f>
        <v/>
      </c>
    </row>
    <row r="135">
      <c r="A135" s="160">
        <f>A134+1</f>
        <v/>
      </c>
      <c r="B135" s="24" t="n"/>
      <c r="C135" s="160" t="inlineStr">
        <is>
          <t>113-0021</t>
        </is>
      </c>
      <c r="D135" s="218" t="inlineStr">
        <is>
          <t>Грунтовка ГФ-021 красно-коричневая</t>
        </is>
      </c>
      <c r="E135" s="219" t="inlineStr">
        <is>
          <t>т</t>
        </is>
      </c>
      <c r="F135" s="219" t="n">
        <v>0.0261</v>
      </c>
      <c r="G135" s="141" t="n">
        <v>15620</v>
      </c>
      <c r="H135" s="141">
        <f>ROUND(F135*G135,2)</f>
        <v/>
      </c>
    </row>
    <row r="136" ht="63.75" customHeight="1" s="116">
      <c r="A136" s="160">
        <f>A135+1</f>
        <v/>
      </c>
      <c r="B136" s="24" t="n"/>
      <c r="C136" s="160" t="inlineStr">
        <is>
          <t>201-0774</t>
        </is>
      </c>
      <c r="D136" s="21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6" s="219" t="inlineStr">
        <is>
          <t>т</t>
        </is>
      </c>
      <c r="F136" s="219" t="n">
        <v>0.0302</v>
      </c>
      <c r="G136" s="141" t="n">
        <v>11255</v>
      </c>
      <c r="H136" s="141">
        <f>ROUND(F136*G136,2)</f>
        <v/>
      </c>
    </row>
    <row r="137">
      <c r="A137" s="160">
        <f>A136+1</f>
        <v/>
      </c>
      <c r="B137" s="24" t="n"/>
      <c r="C137" s="160" t="inlineStr">
        <is>
          <t>101-1515</t>
        </is>
      </c>
      <c r="D137" s="218" t="inlineStr">
        <is>
          <t>Электроды диаметром 4 мм Э46</t>
        </is>
      </c>
      <c r="E137" s="219" t="inlineStr">
        <is>
          <t>т</t>
        </is>
      </c>
      <c r="F137" s="219" t="n">
        <v>0.0275</v>
      </c>
      <c r="G137" s="141" t="n">
        <v>10749</v>
      </c>
      <c r="H137" s="141">
        <f>ROUND(F137*G137,2)</f>
        <v/>
      </c>
    </row>
    <row r="138">
      <c r="A138" s="160">
        <f>A137+1</f>
        <v/>
      </c>
      <c r="B138" s="24" t="n"/>
      <c r="C138" s="160" t="inlineStr">
        <is>
          <t>502-0639</t>
        </is>
      </c>
      <c r="D138" s="218" t="inlineStr">
        <is>
          <t>Муфта</t>
        </is>
      </c>
      <c r="E138" s="219" t="inlineStr">
        <is>
          <t>шт.</t>
        </is>
      </c>
      <c r="F138" s="219" t="n">
        <v>58</v>
      </c>
      <c r="G138" s="141" t="n">
        <v>5</v>
      </c>
      <c r="H138" s="141">
        <f>ROUND(F138*G138,2)</f>
        <v/>
      </c>
    </row>
    <row r="139" ht="25.5" customHeight="1" s="116">
      <c r="A139" s="160">
        <f>A138+1</f>
        <v/>
      </c>
      <c r="B139" s="24" t="n"/>
      <c r="C139" s="160" t="inlineStr">
        <is>
          <t>506-0641</t>
        </is>
      </c>
      <c r="D139" s="218" t="inlineStr">
        <is>
          <t>Проволока латунная марки Л68 круглая, твердая, нормальной точности, диаметром 0,50 мм</t>
        </is>
      </c>
      <c r="E139" s="219" t="inlineStr">
        <is>
          <t>т</t>
        </is>
      </c>
      <c r="F139" s="219" t="n">
        <v>0.0033</v>
      </c>
      <c r="G139" s="141" t="n">
        <v>62000</v>
      </c>
      <c r="H139" s="141">
        <f>ROUND(F139*G139,2)</f>
        <v/>
      </c>
    </row>
    <row r="140" ht="25.5" customHeight="1" s="116">
      <c r="A140" s="160">
        <f>A139+1</f>
        <v/>
      </c>
      <c r="B140" s="24" t="n"/>
      <c r="C140" s="160" t="inlineStr">
        <is>
          <t>101-1627</t>
        </is>
      </c>
      <c r="D140" s="218" t="inlineStr">
        <is>
          <t>сталь листовая углеродистая обыкновенного качества марки ВСт3пс5 толщиной 4-6 мм</t>
        </is>
      </c>
      <c r="E140" s="219" t="inlineStr">
        <is>
          <t>т</t>
        </is>
      </c>
      <c r="F140" s="219" t="n">
        <v>0.0281</v>
      </c>
      <c r="G140" s="141" t="n">
        <v>5763</v>
      </c>
      <c r="H140" s="141">
        <f>ROUND(F140*G140,2)</f>
        <v/>
      </c>
    </row>
    <row r="141" ht="25.5" customHeight="1" s="116">
      <c r="A141" s="160">
        <f>A140+1</f>
        <v/>
      </c>
      <c r="B141" s="24" t="n"/>
      <c r="C141" s="160" t="inlineStr">
        <is>
          <t>102-0154</t>
        </is>
      </c>
      <c r="D141" s="218" t="inlineStr">
        <is>
          <t>Доски обрезные (береза, липа) длиной 4-6,5 м, все ширины, толщиной 19-22 мм, II сорта</t>
        </is>
      </c>
      <c r="E141" s="219" t="inlineStr">
        <is>
          <t>м3</t>
        </is>
      </c>
      <c r="F141" s="219" t="n">
        <v>0.08799999999999999</v>
      </c>
      <c r="G141" s="141" t="n">
        <v>1784</v>
      </c>
      <c r="H141" s="141">
        <f>ROUND(F141*G141,2)</f>
        <v/>
      </c>
    </row>
    <row r="142" ht="25.5" customHeight="1" s="116">
      <c r="A142" s="160">
        <f>A141+1</f>
        <v/>
      </c>
      <c r="B142" s="24" t="n"/>
      <c r="C142" s="160" t="inlineStr">
        <is>
          <t>101-0388</t>
        </is>
      </c>
      <c r="D142" s="218" t="inlineStr">
        <is>
          <t>Краски масляные земляные марки МА-0115 мумия, сурик железный</t>
        </is>
      </c>
      <c r="E142" s="219" t="inlineStr">
        <is>
          <t>т</t>
        </is>
      </c>
      <c r="F142" s="219" t="n">
        <v>0.0101</v>
      </c>
      <c r="G142" s="141" t="n">
        <v>15119</v>
      </c>
      <c r="H142" s="141">
        <f>ROUND(F142*G142,2)</f>
        <v/>
      </c>
    </row>
    <row r="143">
      <c r="A143" s="160">
        <f>A142+1</f>
        <v/>
      </c>
      <c r="B143" s="24" t="n"/>
      <c r="C143" s="160" t="inlineStr">
        <is>
          <t>101-3914</t>
        </is>
      </c>
      <c r="D143" s="218" t="inlineStr">
        <is>
          <t>Дюбели распорные полипропиленовые</t>
        </is>
      </c>
      <c r="E143" s="219" t="inlineStr">
        <is>
          <t>100 шт.</t>
        </is>
      </c>
      <c r="F143" s="219" t="n">
        <v>1.768</v>
      </c>
      <c r="G143" s="141" t="n">
        <v>86</v>
      </c>
      <c r="H143" s="141">
        <f>ROUND(F143*G143,2)</f>
        <v/>
      </c>
    </row>
    <row r="144">
      <c r="A144" s="160">
        <f>A143+1</f>
        <v/>
      </c>
      <c r="B144" s="24" t="n"/>
      <c r="C144" s="160" t="inlineStr">
        <is>
          <t>101-1805</t>
        </is>
      </c>
      <c r="D144" s="218" t="inlineStr">
        <is>
          <t>Гвозди строительные</t>
        </is>
      </c>
      <c r="E144" s="219" t="inlineStr">
        <is>
          <t>т</t>
        </is>
      </c>
      <c r="F144" s="219" t="n">
        <v>0.0102</v>
      </c>
      <c r="G144" s="141" t="n">
        <v>11978</v>
      </c>
      <c r="H144" s="141">
        <f>ROUND(F144*G144,2)</f>
        <v/>
      </c>
    </row>
    <row r="145">
      <c r="A145" s="160">
        <f>A144+1</f>
        <v/>
      </c>
      <c r="B145" s="24" t="n"/>
      <c r="C145" s="160" t="inlineStr">
        <is>
          <t>101-2467</t>
        </is>
      </c>
      <c r="D145" s="218" t="inlineStr">
        <is>
          <t>Растворитель марки Р-4</t>
        </is>
      </c>
      <c r="E145" s="219" t="inlineStr">
        <is>
          <t>т</t>
        </is>
      </c>
      <c r="F145" s="219" t="n">
        <v>0.0122</v>
      </c>
      <c r="G145" s="141" t="n">
        <v>9420</v>
      </c>
      <c r="H145" s="141">
        <f>ROUND(F145*G145,2)</f>
        <v/>
      </c>
    </row>
    <row r="146">
      <c r="A146" s="160">
        <f>A145+1</f>
        <v/>
      </c>
      <c r="B146" s="24" t="n"/>
      <c r="C146" s="160" t="inlineStr">
        <is>
          <t>101-0115</t>
        </is>
      </c>
      <c r="D146" s="218" t="inlineStr">
        <is>
          <t>Винты с полукруглой головкой длиной 50 мм</t>
        </is>
      </c>
      <c r="E146" s="219" t="inlineStr">
        <is>
          <t>т</t>
        </is>
      </c>
      <c r="F146" s="219" t="n">
        <v>0.0092</v>
      </c>
      <c r="G146" s="141" t="n">
        <v>12430</v>
      </c>
      <c r="H146" s="141">
        <f>ROUND(F146*G146,2)</f>
        <v/>
      </c>
    </row>
    <row r="147">
      <c r="A147" s="160">
        <f>A146+1</f>
        <v/>
      </c>
      <c r="B147" s="24" t="n"/>
      <c r="C147" s="160" t="inlineStr">
        <is>
          <t>101-2278</t>
        </is>
      </c>
      <c r="D147" s="218" t="inlineStr">
        <is>
          <t>Пропан-бутан, смесь техническая</t>
        </is>
      </c>
      <c r="E147" s="219" t="inlineStr">
        <is>
          <t>кг</t>
        </is>
      </c>
      <c r="F147" s="219" t="n">
        <v>13.8129</v>
      </c>
      <c r="G147" s="141" t="n">
        <v>6.09</v>
      </c>
      <c r="H147" s="141">
        <f>ROUND(F147*G147,2)</f>
        <v/>
      </c>
    </row>
    <row r="148">
      <c r="A148" s="160">
        <f>A147+1</f>
        <v/>
      </c>
      <c r="B148" s="24" t="n"/>
      <c r="C148" s="160" t="inlineStr">
        <is>
          <t>509-0090</t>
        </is>
      </c>
      <c r="D148" s="218" t="inlineStr">
        <is>
          <t>Перемычки гибкие, тип ПГС-50</t>
        </is>
      </c>
      <c r="E148" s="219" t="inlineStr">
        <is>
          <t>шт.</t>
        </is>
      </c>
      <c r="F148" s="219" t="n">
        <v>21</v>
      </c>
      <c r="G148" s="141" t="n">
        <v>3.9</v>
      </c>
      <c r="H148" s="141">
        <f>ROUND(F148*G148,2)</f>
        <v/>
      </c>
    </row>
    <row r="149">
      <c r="A149" s="160">
        <f>A148+1</f>
        <v/>
      </c>
      <c r="B149" s="24" t="n"/>
      <c r="C149" s="160" t="inlineStr">
        <is>
          <t>101-1668</t>
        </is>
      </c>
      <c r="D149" s="218" t="inlineStr">
        <is>
          <t>Рогожа</t>
        </is>
      </c>
      <c r="E149" s="219" t="inlineStr">
        <is>
          <t>м2</t>
        </is>
      </c>
      <c r="F149" s="219" t="n">
        <v>7.5</v>
      </c>
      <c r="G149" s="141" t="n">
        <v>10.2</v>
      </c>
      <c r="H149" s="141">
        <f>ROUND(F149*G149,2)</f>
        <v/>
      </c>
    </row>
    <row r="150">
      <c r="A150" s="160">
        <f>A149+1</f>
        <v/>
      </c>
      <c r="B150" s="24" t="n"/>
      <c r="C150" s="160" t="inlineStr">
        <is>
          <t>101-0324</t>
        </is>
      </c>
      <c r="D150" s="218" t="inlineStr">
        <is>
          <t>Кислород технический газообразный</t>
        </is>
      </c>
      <c r="E150" s="219" t="inlineStr">
        <is>
          <t>м3</t>
        </is>
      </c>
      <c r="F150" s="219" t="n">
        <v>12.0383</v>
      </c>
      <c r="G150" s="141" t="n">
        <v>6.22</v>
      </c>
      <c r="H150" s="141">
        <f>ROUND(F150*G150,2)</f>
        <v/>
      </c>
    </row>
    <row r="151">
      <c r="A151" s="160">
        <f>A150+1</f>
        <v/>
      </c>
      <c r="B151" s="24" t="n"/>
      <c r="C151" s="160" t="inlineStr">
        <is>
          <t>101-1019</t>
        </is>
      </c>
      <c r="D151" s="218" t="inlineStr">
        <is>
          <t>Швеллеры № 40 из стали марки Ст0</t>
        </is>
      </c>
      <c r="E151" s="219" t="inlineStr">
        <is>
          <t>т</t>
        </is>
      </c>
      <c r="F151" s="219" t="n">
        <v>0.0133</v>
      </c>
      <c r="G151" s="141" t="n">
        <v>4920</v>
      </c>
      <c r="H151" s="141">
        <f>ROUND(F151*G151,2)</f>
        <v/>
      </c>
    </row>
    <row r="152">
      <c r="A152" s="160">
        <f>A151+1</f>
        <v/>
      </c>
      <c r="B152" s="24" t="n"/>
      <c r="C152" s="160" t="inlineStr">
        <is>
          <t>509-0032</t>
        </is>
      </c>
      <c r="D152" s="218" t="inlineStr">
        <is>
          <t>Зажимы</t>
        </is>
      </c>
      <c r="E152" s="219" t="inlineStr">
        <is>
          <t>100 шт.</t>
        </is>
      </c>
      <c r="F152" s="219" t="n">
        <v>0.03</v>
      </c>
      <c r="G152" s="141" t="n">
        <v>1776</v>
      </c>
      <c r="H152" s="141">
        <f>ROUND(F152*G152,2)</f>
        <v/>
      </c>
    </row>
    <row r="153" ht="51" customHeight="1" s="116">
      <c r="A153" s="160">
        <f>A152+1</f>
        <v/>
      </c>
      <c r="B153" s="24" t="n"/>
      <c r="C153" s="160" t="inlineStr">
        <is>
          <t>201-0756</t>
        </is>
      </c>
      <c r="D153" s="218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3" s="219" t="inlineStr">
        <is>
          <t>т</t>
        </is>
      </c>
      <c r="F153" s="219" t="n">
        <v>0.0069</v>
      </c>
      <c r="G153" s="141" t="n">
        <v>7712</v>
      </c>
      <c r="H153" s="141">
        <f>ROUND(F153*G153,2)</f>
        <v/>
      </c>
    </row>
    <row r="154">
      <c r="A154" s="160">
        <f>A153+1</f>
        <v/>
      </c>
      <c r="B154" s="24" t="n"/>
      <c r="C154" s="160" t="inlineStr">
        <is>
          <t>101-0179</t>
        </is>
      </c>
      <c r="D154" s="218" t="inlineStr">
        <is>
          <t>Гвозди строительные с плоской головкой 1,6x50 мм</t>
        </is>
      </c>
      <c r="E154" s="219" t="inlineStr">
        <is>
          <t>т</t>
        </is>
      </c>
      <c r="F154" s="219" t="n">
        <v>0.0044</v>
      </c>
      <c r="G154" s="141" t="n">
        <v>8475</v>
      </c>
      <c r="H154" s="141">
        <f>ROUND(F154*G154,2)</f>
        <v/>
      </c>
    </row>
    <row r="155">
      <c r="A155" s="160">
        <f>A154+1</f>
        <v/>
      </c>
      <c r="B155" s="24" t="n"/>
      <c r="C155" s="160" t="inlineStr">
        <is>
          <t>113-0077</t>
        </is>
      </c>
      <c r="D155" s="218" t="inlineStr">
        <is>
          <t>Ксилол нефтяной марки А</t>
        </is>
      </c>
      <c r="E155" s="219" t="inlineStr">
        <is>
          <t>т</t>
        </is>
      </c>
      <c r="F155" s="219" t="n">
        <v>0.004</v>
      </c>
      <c r="G155" s="141" t="n">
        <v>7640</v>
      </c>
      <c r="H155" s="141">
        <f>ROUND(F155*G155,2)</f>
        <v/>
      </c>
    </row>
    <row r="156">
      <c r="A156" s="160">
        <f>A155+1</f>
        <v/>
      </c>
      <c r="B156" s="24" t="n"/>
      <c r="C156" s="160" t="inlineStr">
        <is>
          <t>509-0031</t>
        </is>
      </c>
      <c r="D156" s="218" t="inlineStr">
        <is>
          <t>Муфты соединительные</t>
        </is>
      </c>
      <c r="E156" s="219" t="inlineStr">
        <is>
          <t>шт.</t>
        </is>
      </c>
      <c r="F156" s="219" t="n">
        <v>42</v>
      </c>
      <c r="G156" s="141" t="n">
        <v>0.71</v>
      </c>
      <c r="H156" s="141">
        <f>ROUND(F156*G156,2)</f>
        <v/>
      </c>
    </row>
    <row r="157">
      <c r="A157" s="160">
        <f>A156+1</f>
        <v/>
      </c>
      <c r="B157" s="24" t="n"/>
      <c r="C157" s="160" t="inlineStr">
        <is>
          <t>101-0309</t>
        </is>
      </c>
      <c r="D157" s="218" t="inlineStr">
        <is>
          <t>Канаты пеньковые пропитанные</t>
        </is>
      </c>
      <c r="E157" s="219" t="inlineStr">
        <is>
          <t>т</t>
        </is>
      </c>
      <c r="F157" s="219" t="n">
        <v>0.0007</v>
      </c>
      <c r="G157" s="141" t="n">
        <v>37900</v>
      </c>
      <c r="H157" s="141">
        <f>ROUND(F157*G157,2)</f>
        <v/>
      </c>
    </row>
    <row r="158">
      <c r="A158" s="160">
        <f>A157+1</f>
        <v/>
      </c>
      <c r="B158" s="24" t="n"/>
      <c r="C158" s="160" t="inlineStr">
        <is>
          <t>101-1728</t>
        </is>
      </c>
      <c r="D158" s="218" t="inlineStr">
        <is>
          <t>Дюбели распорные с гайкой</t>
        </is>
      </c>
      <c r="E158" s="219" t="inlineStr">
        <is>
          <t>100 шт.</t>
        </is>
      </c>
      <c r="F158" s="219" t="n">
        <v>0.1256</v>
      </c>
      <c r="G158" s="141" t="n">
        <v>110</v>
      </c>
      <c r="H158" s="141">
        <f>ROUND(F158*G158,2)</f>
        <v/>
      </c>
    </row>
    <row r="159" ht="25.5" customHeight="1" s="116">
      <c r="A159" s="160">
        <f>A158+1</f>
        <v/>
      </c>
      <c r="B159" s="24" t="n"/>
      <c r="C159" s="160" t="inlineStr">
        <is>
          <t>101-1306</t>
        </is>
      </c>
      <c r="D159" s="218" t="inlineStr">
        <is>
          <t>Портландцемент общестроительного назначения бездобавочный, марки 500</t>
        </is>
      </c>
      <c r="E159" s="219" t="inlineStr">
        <is>
          <t>т</t>
        </is>
      </c>
      <c r="F159" s="219" t="n">
        <v>0.0283</v>
      </c>
      <c r="G159" s="141" t="n">
        <v>480</v>
      </c>
      <c r="H159" s="141">
        <f>ROUND(F159*G159,2)</f>
        <v/>
      </c>
    </row>
    <row r="160" ht="25.5" customHeight="1" s="116">
      <c r="A160" s="160">
        <f>A159+1</f>
        <v/>
      </c>
      <c r="B160" s="24" t="n"/>
      <c r="C160" s="160" t="inlineStr">
        <is>
          <t>102-0023</t>
        </is>
      </c>
      <c r="D160" s="218" t="inlineStr">
        <is>
          <t>Бруски обрезные хвойных пород длиной 4-6,5 м, шириной 75-150 мм, толщиной 40-75 мм, I сорта</t>
        </is>
      </c>
      <c r="E160" s="219" t="inlineStr">
        <is>
          <t>м3</t>
        </is>
      </c>
      <c r="F160" s="219" t="n">
        <v>0.0071</v>
      </c>
      <c r="G160" s="141" t="n">
        <v>1700</v>
      </c>
      <c r="H160" s="141">
        <f>ROUND(F160*G160,2)</f>
        <v/>
      </c>
    </row>
    <row r="161">
      <c r="A161" s="160">
        <f>A160+1</f>
        <v/>
      </c>
      <c r="B161" s="24" t="n"/>
      <c r="C161" s="160" t="inlineStr">
        <is>
          <t>509-0783</t>
        </is>
      </c>
      <c r="D161" s="218" t="inlineStr">
        <is>
          <t>Втулки изолирующие</t>
        </is>
      </c>
      <c r="E161" s="219" t="inlineStr">
        <is>
          <t>шт.</t>
        </is>
      </c>
      <c r="F161" s="219" t="n">
        <v>42</v>
      </c>
      <c r="G161" s="141" t="n">
        <v>0.27</v>
      </c>
      <c r="H161" s="141">
        <f>ROUND(F161*G161,2)</f>
        <v/>
      </c>
    </row>
    <row r="162" ht="25.5" customHeight="1" s="116">
      <c r="A162" s="160">
        <f>A161+1</f>
        <v/>
      </c>
      <c r="B162" s="24" t="n"/>
      <c r="C162" s="160" t="inlineStr">
        <is>
          <t>506-1362</t>
        </is>
      </c>
      <c r="D162" s="218" t="inlineStr">
        <is>
          <t>Припои оловянно-свинцовые бессурьмянистые марки ПОС30</t>
        </is>
      </c>
      <c r="E162" s="219" t="inlineStr">
        <is>
          <t>кг</t>
        </is>
      </c>
      <c r="F162" s="219" t="n">
        <v>0.1404</v>
      </c>
      <c r="G162" s="141" t="n">
        <v>68.05</v>
      </c>
      <c r="H162" s="141">
        <f>ROUND(F162*G162,2)</f>
        <v/>
      </c>
    </row>
    <row r="163" ht="51" customHeight="1" s="116">
      <c r="A163" s="160">
        <f>A162+1</f>
        <v/>
      </c>
      <c r="B163" s="24" t="n"/>
      <c r="C163" s="160" t="inlineStr">
        <is>
          <t>508-0097</t>
        </is>
      </c>
      <c r="D163" s="218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19" t="inlineStr">
        <is>
          <t>10 м</t>
        </is>
      </c>
      <c r="F163" s="219" t="n">
        <v>0.1282</v>
      </c>
      <c r="G163" s="141" t="n">
        <v>50.23</v>
      </c>
      <c r="H163" s="141">
        <f>ROUND(F163*G163,2)</f>
        <v/>
      </c>
    </row>
    <row r="164">
      <c r="A164" s="160">
        <f>A163+1</f>
        <v/>
      </c>
      <c r="B164" s="24" t="n"/>
      <c r="C164" s="160" t="inlineStr">
        <is>
          <t>113-0307</t>
        </is>
      </c>
      <c r="D164" s="218" t="inlineStr">
        <is>
          <t>Пленка полиэтиленовая толщиной 0,2-0,5 мм</t>
        </is>
      </c>
      <c r="E164" s="219" t="inlineStr">
        <is>
          <t>т</t>
        </is>
      </c>
      <c r="F164" s="219" t="n">
        <v>0.0002</v>
      </c>
      <c r="G164" s="141" t="n">
        <v>23500</v>
      </c>
      <c r="H164" s="141">
        <f>ROUND(F164*G164,2)</f>
        <v/>
      </c>
    </row>
    <row r="165">
      <c r="A165" s="160">
        <f>A164+1</f>
        <v/>
      </c>
      <c r="B165" s="24" t="n"/>
      <c r="C165" s="160" t="inlineStr">
        <is>
          <t>101-4621</t>
        </is>
      </c>
      <c r="D165" s="218" t="inlineStr">
        <is>
          <t>Шуруп самонарезающий (LN) 3,5/11 мм</t>
        </is>
      </c>
      <c r="E165" s="219" t="inlineStr">
        <is>
          <t>шт.</t>
        </is>
      </c>
      <c r="F165" s="219" t="n">
        <v>176.8</v>
      </c>
      <c r="G165" s="141" t="n">
        <v>0.02</v>
      </c>
      <c r="H165" s="141">
        <f>ROUND(F165*G165,2)</f>
        <v/>
      </c>
    </row>
    <row r="166">
      <c r="A166" s="160">
        <f>A165+1</f>
        <v/>
      </c>
      <c r="B166" s="24" t="n"/>
      <c r="C166" s="160" t="inlineStr">
        <is>
          <t>113-1786</t>
        </is>
      </c>
      <c r="D166" s="218" t="inlineStr">
        <is>
          <t>Лак битумный БТ-123</t>
        </is>
      </c>
      <c r="E166" s="219" t="inlineStr">
        <is>
          <t>т</t>
        </is>
      </c>
      <c r="F166" s="219" t="n">
        <v>0.0004</v>
      </c>
      <c r="G166" s="141" t="n">
        <v>7826.9</v>
      </c>
      <c r="H166" s="141">
        <f>ROUND(F166*G166,2)</f>
        <v/>
      </c>
    </row>
    <row r="167">
      <c r="A167" s="160">
        <f>A166+1</f>
        <v/>
      </c>
      <c r="B167" s="24" t="n"/>
      <c r="C167" s="160" t="inlineStr">
        <is>
          <t>101-2478</t>
        </is>
      </c>
      <c r="D167" s="218" t="inlineStr">
        <is>
          <t>Лента К226</t>
        </is>
      </c>
      <c r="E167" s="219" t="inlineStr">
        <is>
          <t>100 м</t>
        </is>
      </c>
      <c r="F167" s="219" t="n">
        <v>0.0132</v>
      </c>
      <c r="G167" s="141" t="n">
        <v>120</v>
      </c>
      <c r="H167" s="141">
        <f>ROUND(F167*G167,2)</f>
        <v/>
      </c>
    </row>
    <row r="168">
      <c r="A168" s="160">
        <f>A167+1</f>
        <v/>
      </c>
      <c r="B168" s="24" t="n"/>
      <c r="C168" s="160" t="inlineStr">
        <is>
          <t>101-2357</t>
        </is>
      </c>
      <c r="D168" s="218" t="inlineStr">
        <is>
          <t>Бумага шлифовальная</t>
        </is>
      </c>
      <c r="E168" s="219" t="inlineStr">
        <is>
          <t>лист</t>
        </is>
      </c>
      <c r="F168" s="219" t="n">
        <v>0.4</v>
      </c>
      <c r="G168" s="141" t="n">
        <v>3.75</v>
      </c>
      <c r="H168" s="141">
        <f>ROUND(F168*G168,2)</f>
        <v/>
      </c>
    </row>
    <row r="169" ht="25.5" customHeight="1" s="116">
      <c r="A169" s="160">
        <f>A168+1</f>
        <v/>
      </c>
      <c r="B169" s="24" t="n"/>
      <c r="C169" s="160" t="inlineStr">
        <is>
          <t>408-0141</t>
        </is>
      </c>
      <c r="D169" s="218" t="inlineStr">
        <is>
          <t>Песок природный для строительных растворов средний</t>
        </is>
      </c>
      <c r="E169" s="219" t="inlineStr">
        <is>
          <t>м3</t>
        </is>
      </c>
      <c r="F169" s="219" t="n">
        <v>0.0236</v>
      </c>
      <c r="G169" s="141" t="n">
        <v>59.99</v>
      </c>
      <c r="H169" s="141">
        <f>ROUND(F169*G169,2)</f>
        <v/>
      </c>
    </row>
    <row r="170">
      <c r="A170" s="160">
        <f>A169+1</f>
        <v/>
      </c>
      <c r="B170" s="24" t="n"/>
      <c r="C170" s="160" t="inlineStr">
        <is>
          <t>101-1964</t>
        </is>
      </c>
      <c r="D170" s="218" t="inlineStr">
        <is>
          <t>Шпагат бумажный</t>
        </is>
      </c>
      <c r="E170" s="219" t="inlineStr">
        <is>
          <t>кг</t>
        </is>
      </c>
      <c r="F170" s="219" t="n">
        <v>0.11</v>
      </c>
      <c r="G170" s="141" t="n">
        <v>11.5</v>
      </c>
      <c r="H170" s="141">
        <f>ROUND(F170*G170,2)</f>
        <v/>
      </c>
    </row>
    <row r="171">
      <c r="A171" s="160">
        <f>A170+1</f>
        <v/>
      </c>
      <c r="B171" s="24" t="n"/>
      <c r="C171" s="160" t="inlineStr">
        <is>
          <t>101-1481</t>
        </is>
      </c>
      <c r="D171" s="218" t="inlineStr">
        <is>
          <t>Шурупы с полукруглой головкой 4x40 мм</t>
        </is>
      </c>
      <c r="E171" s="219" t="inlineStr">
        <is>
          <t>т</t>
        </is>
      </c>
      <c r="F171" s="219" t="n">
        <v>0.0001</v>
      </c>
      <c r="G171" s="141" t="n">
        <v>12430</v>
      </c>
      <c r="H171" s="141">
        <f>ROUND(F171*G171,2)</f>
        <v/>
      </c>
    </row>
    <row r="172" ht="25.5" customHeight="1" s="116">
      <c r="A172" s="160">
        <f>A171+1</f>
        <v/>
      </c>
      <c r="B172" s="24" t="n"/>
      <c r="C172" s="160" t="inlineStr">
        <is>
          <t>101-0797</t>
        </is>
      </c>
      <c r="D172" s="218" t="inlineStr">
        <is>
          <t>Проволока горячекатаная в мотках, диаметром 6,3-6,5 мм</t>
        </is>
      </c>
      <c r="E172" s="219" t="inlineStr">
        <is>
          <t>т</t>
        </is>
      </c>
      <c r="F172" s="219" t="n">
        <v>0.0002</v>
      </c>
      <c r="G172" s="141" t="n">
        <v>4455.2</v>
      </c>
      <c r="H172" s="141">
        <f>ROUND(F172*G172,2)</f>
        <v/>
      </c>
    </row>
    <row r="173" ht="25.5" customHeight="1" s="116">
      <c r="A173" s="160">
        <f>A172+1</f>
        <v/>
      </c>
      <c r="B173" s="24" t="n"/>
      <c r="C173" s="160" t="inlineStr">
        <is>
          <t>408-0015</t>
        </is>
      </c>
      <c r="D173" s="218" t="inlineStr">
        <is>
          <t>Щебень из природного камня для строительных работ марка 800, фракция 20-40 мм</t>
        </is>
      </c>
      <c r="E173" s="219" t="inlineStr">
        <is>
          <t>м3</t>
        </is>
      </c>
      <c r="F173" s="219" t="n">
        <v>0.0022</v>
      </c>
      <c r="G173" s="141" t="n">
        <v>108.4</v>
      </c>
      <c r="H173" s="141">
        <f>ROUND(F173*G173,2)</f>
        <v/>
      </c>
    </row>
    <row r="174">
      <c r="A174" s="160">
        <f>A173+1</f>
        <v/>
      </c>
      <c r="B174" s="24" t="n"/>
      <c r="C174" s="160" t="inlineStr">
        <is>
          <t>411-0001</t>
        </is>
      </c>
      <c r="D174" s="218" t="inlineStr">
        <is>
          <t>Вода</t>
        </is>
      </c>
      <c r="E174" s="219" t="inlineStr">
        <is>
          <t>м3</t>
        </is>
      </c>
      <c r="F174" s="219" t="n">
        <v>0.006</v>
      </c>
      <c r="G174" s="141" t="n">
        <v>2.44</v>
      </c>
      <c r="H174" s="141">
        <f>ROUND(F174*G174,2)</f>
        <v/>
      </c>
    </row>
    <row r="175">
      <c r="K175" s="115" t="n"/>
    </row>
    <row r="176" ht="25.5" customHeight="1" s="116">
      <c r="B176" s="117" t="inlineStr">
        <is>
          <t xml:space="preserve">Примечание: </t>
        </is>
      </c>
      <c r="C176" s="21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80">
      <c r="B180" s="187" t="inlineStr">
        <is>
          <t>Составил ______________________       Р.Р. Шагеева</t>
        </is>
      </c>
      <c r="C180" s="188" t="n"/>
    </row>
    <row r="181">
      <c r="B181" s="176" t="inlineStr">
        <is>
          <t xml:space="preserve">                         (подпись, инициалы, фамилия)</t>
        </is>
      </c>
      <c r="C181" s="188" t="n"/>
    </row>
    <row r="182">
      <c r="B182" s="187" t="n"/>
      <c r="C182" s="188" t="n"/>
    </row>
    <row r="183">
      <c r="B183" s="187" t="inlineStr">
        <is>
          <t>Проверил ______________________        А.В. Костянецкая</t>
        </is>
      </c>
      <c r="C183" s="188" t="n"/>
    </row>
    <row r="184">
      <c r="B184" s="176" t="inlineStr">
        <is>
          <t xml:space="preserve">                        (подпись, инициалы, фамилия)</t>
        </is>
      </c>
      <c r="C184" s="188" t="n"/>
    </row>
  </sheetData>
  <mergeCells count="17">
    <mergeCell ref="C9:C10"/>
    <mergeCell ref="B9:B10"/>
    <mergeCell ref="A3:H3"/>
    <mergeCell ref="E9:E10"/>
    <mergeCell ref="D9:D10"/>
    <mergeCell ref="A12:E12"/>
    <mergeCell ref="F9:F10"/>
    <mergeCell ref="A7:H7"/>
    <mergeCell ref="A9:A10"/>
    <mergeCell ref="C5:H5"/>
    <mergeCell ref="A2:H2"/>
    <mergeCell ref="A25:E25"/>
    <mergeCell ref="C176:H176"/>
    <mergeCell ref="A75:E75"/>
    <mergeCell ref="A66:E66"/>
    <mergeCell ref="G9:H9"/>
    <mergeCell ref="A27:E27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B45" sqref="B45"/>
    </sheetView>
  </sheetViews>
  <sheetFormatPr baseColWidth="8" defaultRowHeight="15"/>
  <cols>
    <col width="4.140625" customWidth="1" style="116" min="1" max="1"/>
    <col width="36.28515625" customWidth="1" style="116" min="2" max="2"/>
    <col width="18.85546875" customWidth="1" style="116" min="3" max="3"/>
    <col width="18.28515625" customWidth="1" style="116" min="4" max="4"/>
    <col width="18.85546875" customWidth="1" style="116" min="5" max="5"/>
    <col width="9.140625" customWidth="1" style="116" min="6" max="6"/>
    <col width="12.85546875" customWidth="1" style="116" min="7" max="7"/>
    <col width="9.140625" customWidth="1" style="116" min="8" max="11"/>
    <col width="13.5703125" customWidth="1" style="116" min="12" max="12"/>
    <col width="9.140625" customWidth="1" style="116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37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5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27.75" customHeight="1" s="116">
      <c r="B7" s="216">
        <f>'Прил.1 Сравнит табл'!B7</f>
        <v/>
      </c>
    </row>
    <row r="8">
      <c r="B8" s="217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16">
      <c r="B10" s="219" t="inlineStr">
        <is>
          <t>Наименование</t>
        </is>
      </c>
      <c r="C10" s="219" t="inlineStr">
        <is>
          <t>Сметная стоимость в ценах на 01.01.2023
 (руб.)</t>
        </is>
      </c>
      <c r="D10" s="219" t="inlineStr">
        <is>
          <t>Удельный вес, 
(в СМР)</t>
        </is>
      </c>
      <c r="E10" s="219" t="inlineStr">
        <is>
          <t>Удельный вес, % 
(от всего по РМ)</t>
        </is>
      </c>
    </row>
    <row r="11">
      <c r="B11" s="153" t="inlineStr">
        <is>
          <t>Оплата труда рабочих</t>
        </is>
      </c>
      <c r="C11" s="181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153" t="inlineStr">
        <is>
          <t>Эксплуатация машин основных</t>
        </is>
      </c>
      <c r="C12" s="181">
        <f>'Прил.5 Расчет СМР и ОБ'!J28</f>
        <v/>
      </c>
      <c r="D12" s="61">
        <f>C12/$C$24</f>
        <v/>
      </c>
      <c r="E12" s="61">
        <f>C12/$C$40</f>
        <v/>
      </c>
    </row>
    <row r="13">
      <c r="B13" s="153" t="inlineStr">
        <is>
          <t>Эксплуатация машин прочих</t>
        </is>
      </c>
      <c r="C13" s="181">
        <f>'Прил.5 Расчет СМР и ОБ'!J58</f>
        <v/>
      </c>
      <c r="D13" s="61">
        <f>C13/$C$24</f>
        <v/>
      </c>
      <c r="E13" s="61">
        <f>C13/$C$40</f>
        <v/>
      </c>
    </row>
    <row r="14">
      <c r="B14" s="153" t="inlineStr">
        <is>
          <t>ЭКСПЛУАТАЦИЯ МАШИН, ВСЕГО:</t>
        </is>
      </c>
      <c r="C14" s="181">
        <f>C13+C12</f>
        <v/>
      </c>
      <c r="D14" s="61">
        <f>C14/$C$24</f>
        <v/>
      </c>
      <c r="E14" s="61">
        <f>C14/$C$40</f>
        <v/>
      </c>
    </row>
    <row r="15">
      <c r="B15" s="153" t="inlineStr">
        <is>
          <t>в том числе зарплата машинистов</t>
        </is>
      </c>
      <c r="C15" s="181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153" t="inlineStr">
        <is>
          <t>Материалы основные</t>
        </is>
      </c>
      <c r="C16" s="181">
        <f>'Прил.5 Расчет СМР и ОБ'!J84</f>
        <v/>
      </c>
      <c r="D16" s="61">
        <f>C16/$C$24</f>
        <v/>
      </c>
      <c r="E16" s="61">
        <f>C16/$C$40</f>
        <v/>
      </c>
    </row>
    <row r="17">
      <c r="B17" s="153" t="inlineStr">
        <is>
          <t>Материалы прочие</t>
        </is>
      </c>
      <c r="C17" s="181">
        <f>'Прил.5 Расчет СМР и ОБ'!J176</f>
        <v/>
      </c>
      <c r="D17" s="61">
        <f>C17/$C$24</f>
        <v/>
      </c>
      <c r="E17" s="61">
        <f>C17/$C$40</f>
        <v/>
      </c>
      <c r="G17" s="19" t="n"/>
    </row>
    <row r="18">
      <c r="B18" s="153" t="inlineStr">
        <is>
          <t>МАТЕРИАЛЫ, ВСЕГО:</t>
        </is>
      </c>
      <c r="C18" s="181">
        <f>C17+C16</f>
        <v/>
      </c>
      <c r="D18" s="61">
        <f>C18/$C$24</f>
        <v/>
      </c>
      <c r="E18" s="61">
        <f>C18/$C$40</f>
        <v/>
      </c>
    </row>
    <row r="19">
      <c r="B19" s="153" t="inlineStr">
        <is>
          <t>ИТОГО</t>
        </is>
      </c>
      <c r="C19" s="181">
        <f>C18+C14+C11</f>
        <v/>
      </c>
      <c r="D19" s="61" t="n"/>
      <c r="E19" s="153" t="n"/>
    </row>
    <row r="20">
      <c r="B20" s="153" t="inlineStr">
        <is>
          <t>Сметная прибыль, руб.</t>
        </is>
      </c>
      <c r="C20" s="181">
        <f>ROUND(C21*(C11+C15),2)</f>
        <v/>
      </c>
      <c r="D20" s="61">
        <f>C20/$C$24</f>
        <v/>
      </c>
      <c r="E20" s="61">
        <f>C20/$C$40</f>
        <v/>
      </c>
    </row>
    <row r="21">
      <c r="B21" s="153" t="inlineStr">
        <is>
          <t>Сметная прибыль, %</t>
        </is>
      </c>
      <c r="C21" s="64">
        <f>'Прил.5 Расчет СМР и ОБ'!E180</f>
        <v/>
      </c>
      <c r="D21" s="61" t="n"/>
      <c r="E21" s="153" t="n"/>
    </row>
    <row r="22">
      <c r="B22" s="153" t="inlineStr">
        <is>
          <t>Накладные расходы, руб.</t>
        </is>
      </c>
      <c r="C22" s="181">
        <f>ROUND(C23*(C11+C15),2)</f>
        <v/>
      </c>
      <c r="D22" s="61">
        <f>C22/$C$24</f>
        <v/>
      </c>
      <c r="E22" s="61">
        <f>C22/$C$40</f>
        <v/>
      </c>
    </row>
    <row r="23">
      <c r="B23" s="153" t="inlineStr">
        <is>
          <t>Накладные расходы, %</t>
        </is>
      </c>
      <c r="C23" s="64">
        <f>'Прил.5 Расчет СМР и ОБ'!E179</f>
        <v/>
      </c>
      <c r="D23" s="61" t="n"/>
      <c r="E23" s="153" t="n"/>
    </row>
    <row r="24">
      <c r="B24" s="153" t="inlineStr">
        <is>
          <t>ВСЕГО СМР с НР и СП</t>
        </is>
      </c>
      <c r="C24" s="181">
        <f>C19+C20+C22</f>
        <v/>
      </c>
      <c r="D24" s="61">
        <f>C24/$C$24</f>
        <v/>
      </c>
      <c r="E24" s="61">
        <f>C24/$C$40</f>
        <v/>
      </c>
    </row>
    <row r="25" ht="25.5" customHeight="1" s="116">
      <c r="B25" s="153" t="inlineStr">
        <is>
          <t>ВСЕГО стоимость оборудования, в том числе</t>
        </is>
      </c>
      <c r="C25" s="181">
        <f>'Прил.5 Расчет СМР и ОБ'!J73</f>
        <v/>
      </c>
      <c r="D25" s="61" t="n"/>
      <c r="E25" s="61">
        <f>C25/$C$40</f>
        <v/>
      </c>
    </row>
    <row r="26" ht="25.5" customHeight="1" s="116">
      <c r="B26" s="153" t="inlineStr">
        <is>
          <t>стоимость оборудования технологического</t>
        </is>
      </c>
      <c r="C26" s="181">
        <f>C25</f>
        <v/>
      </c>
      <c r="D26" s="61" t="n"/>
      <c r="E26" s="61">
        <f>C26/$C$40</f>
        <v/>
      </c>
    </row>
    <row r="27">
      <c r="B27" s="153" t="inlineStr">
        <is>
          <t>ИТОГО (СМР + ОБОРУДОВАНИЕ)</t>
        </is>
      </c>
      <c r="C27" s="180">
        <f>C24+C25</f>
        <v/>
      </c>
      <c r="D27" s="61" t="n"/>
      <c r="E27" s="61">
        <f>C27/$C$40</f>
        <v/>
      </c>
    </row>
    <row r="28" ht="33" customHeight="1" s="116">
      <c r="B28" s="153" t="inlineStr">
        <is>
          <t>ПРОЧ. ЗАТР., УЧТЕННЫЕ ПОКАЗАТЕЛЕМ,  в том числе</t>
        </is>
      </c>
      <c r="C28" s="153" t="n"/>
      <c r="D28" s="153" t="n"/>
      <c r="E28" s="153" t="n"/>
    </row>
    <row r="29" ht="25.5" customHeight="1" s="116">
      <c r="B29" s="153" t="inlineStr">
        <is>
          <t>Временные здания и сооружения - 3,9%</t>
        </is>
      </c>
      <c r="C29" s="180">
        <f>ROUND(C24*3.9%,2)</f>
        <v/>
      </c>
      <c r="D29" s="153" t="n"/>
      <c r="E29" s="61">
        <f>C29/$C$40</f>
        <v/>
      </c>
    </row>
    <row r="30" ht="38.25" customHeight="1" s="116">
      <c r="B30" s="153" t="inlineStr">
        <is>
          <t>Дополнительные затраты при производстве строительно-монтажных работ в зимнее время - 2,1%</t>
        </is>
      </c>
      <c r="C30" s="180">
        <f>ROUND((C24+C29)*2.1%,2)</f>
        <v/>
      </c>
      <c r="D30" s="153" t="n"/>
      <c r="E30" s="61">
        <f>C30/$C$40</f>
        <v/>
      </c>
    </row>
    <row r="31">
      <c r="B31" s="153" t="inlineStr">
        <is>
          <t>Пусконаладочные работы</t>
        </is>
      </c>
      <c r="C31" s="180" t="n">
        <v>11361499.54</v>
      </c>
      <c r="D31" s="153" t="n"/>
      <c r="E31" s="61">
        <f>C31/$C$40</f>
        <v/>
      </c>
    </row>
    <row r="32" ht="25.5" customHeight="1" s="116">
      <c r="B32" s="153" t="inlineStr">
        <is>
          <t>Затраты по перевозке работников к месту работы и обратно</t>
        </is>
      </c>
      <c r="C32" s="180">
        <f>ROUND($C$27*0%,2)</f>
        <v/>
      </c>
      <c r="D32" s="153" t="n"/>
      <c r="E32" s="61">
        <f>C32/$C$40</f>
        <v/>
      </c>
    </row>
    <row r="33" ht="25.5" customHeight="1" s="116">
      <c r="B33" s="153" t="inlineStr">
        <is>
          <t>Затраты, связанные с осуществлением работ вахтовым методом</t>
        </is>
      </c>
      <c r="C33" s="180">
        <f>ROUND($C$27*0%,2)</f>
        <v/>
      </c>
      <c r="D33" s="153" t="n"/>
      <c r="E33" s="61">
        <f>C33/$C$40</f>
        <v/>
      </c>
    </row>
    <row r="34" ht="51" customHeight="1" s="116">
      <c r="B34" s="1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0">
        <f>ROUND($C$27*0%,2)</f>
        <v/>
      </c>
      <c r="D34" s="153" t="n"/>
      <c r="E34" s="61">
        <f>C34/$C$40</f>
        <v/>
      </c>
    </row>
    <row r="35" ht="76.7" customHeight="1" s="116">
      <c r="B35" s="1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0">
        <f>ROUND($C$27*0%,2)</f>
        <v/>
      </c>
      <c r="D35" s="153" t="n"/>
      <c r="E35" s="61">
        <f>C35/$C$40</f>
        <v/>
      </c>
    </row>
    <row r="36" ht="25.5" customHeight="1" s="116">
      <c r="B36" s="153" t="inlineStr">
        <is>
          <t>Строительный контроль и содержание службы заказчика - 2,14%</t>
        </is>
      </c>
      <c r="C36" s="180">
        <f>ROUND((C27+C32+C33+C34+C35+C29+C31+C30)*2.14%,2)</f>
        <v/>
      </c>
      <c r="D36" s="153" t="n"/>
      <c r="E36" s="61">
        <f>C36/$C$40</f>
        <v/>
      </c>
      <c r="G36" s="79" t="n"/>
      <c r="L36" s="121" t="n"/>
    </row>
    <row r="37">
      <c r="B37" s="153" t="inlineStr">
        <is>
          <t>Авторский надзор - 0,2%</t>
        </is>
      </c>
      <c r="C37" s="180">
        <f>ROUND((C27+C32+C33+C34+C35+C29+C31+C30)*0.2%,2)</f>
        <v/>
      </c>
      <c r="D37" s="153" t="n"/>
      <c r="E37" s="61">
        <f>C37/$C$40</f>
        <v/>
      </c>
      <c r="G37" s="79" t="n"/>
      <c r="L37" s="121" t="n"/>
    </row>
    <row r="38" ht="38.25" customHeight="1" s="116">
      <c r="B38" s="153" t="inlineStr">
        <is>
          <t>ИТОГО (СМР+ОБОРУДОВАНИЕ+ПРОЧ. ЗАТР., УЧТЕННЫЕ ПОКАЗАТЕЛЕМ)</t>
        </is>
      </c>
      <c r="C38" s="181">
        <f>C27+C32+C33+C34+C35+C29+C31+C30+C36+C37</f>
        <v/>
      </c>
      <c r="D38" s="153" t="n"/>
      <c r="E38" s="61">
        <f>C38/$C$40</f>
        <v/>
      </c>
    </row>
    <row r="39" ht="13.7" customHeight="1" s="116">
      <c r="B39" s="153" t="inlineStr">
        <is>
          <t>Непредвиденные расходы</t>
        </is>
      </c>
      <c r="C39" s="181">
        <f>ROUND(C38*3%,2)</f>
        <v/>
      </c>
      <c r="D39" s="153" t="n"/>
      <c r="E39" s="61">
        <f>C39/$C$38</f>
        <v/>
      </c>
    </row>
    <row r="40">
      <c r="B40" s="153" t="inlineStr">
        <is>
          <t>ВСЕГО:</t>
        </is>
      </c>
      <c r="C40" s="181">
        <f>C39+C38</f>
        <v/>
      </c>
      <c r="D40" s="153" t="n"/>
      <c r="E40" s="61">
        <f>C40/$C$40</f>
        <v/>
      </c>
    </row>
    <row r="41">
      <c r="B41" s="153" t="inlineStr">
        <is>
          <t>ИТОГО ПОКАЗАТЕЛЬ НА ЕД. ИЗМ.</t>
        </is>
      </c>
      <c r="C41" s="181">
        <f>C40/'Прил.5 Расчет СМР и ОБ'!E183</f>
        <v/>
      </c>
      <c r="D41" s="153" t="n"/>
      <c r="E41" s="153" t="n"/>
    </row>
    <row r="42">
      <c r="B42" s="173" t="n"/>
      <c r="C42" s="187" t="n"/>
      <c r="D42" s="187" t="n"/>
      <c r="E42" s="187" t="n"/>
    </row>
    <row r="43">
      <c r="B43" s="187" t="inlineStr">
        <is>
          <t>Составил ______________________       Р.Р. Шагеева</t>
        </is>
      </c>
      <c r="C43" s="188" t="n"/>
      <c r="E43" s="187" t="n"/>
    </row>
    <row r="44">
      <c r="B44" s="176" t="inlineStr">
        <is>
          <t xml:space="preserve">                         (подпись, инициалы, фамилия)</t>
        </is>
      </c>
      <c r="C44" s="188" t="n"/>
      <c r="E44" s="187" t="n"/>
    </row>
    <row r="45">
      <c r="B45" s="187" t="n"/>
      <c r="C45" s="188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88" t="n"/>
      <c r="D46" s="187" t="n"/>
      <c r="E46" s="187" t="n"/>
    </row>
    <row r="47">
      <c r="B47" s="176" t="inlineStr">
        <is>
          <t xml:space="preserve">                        (подпись, инициалы, фамилия)</t>
        </is>
      </c>
      <c r="C47" s="188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7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90"/>
  <sheetViews>
    <sheetView view="pageBreakPreview" topLeftCell="A167" zoomScale="85" workbookViewId="0">
      <selection activeCell="B186" sqref="B186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0.7109375" customWidth="1" style="188" min="4" max="4"/>
    <col width="12.7109375" customWidth="1" style="188" min="5" max="5"/>
    <col width="14.5703125" customWidth="1" style="188" min="6" max="6"/>
    <col width="18" customWidth="1" style="188" min="7" max="7"/>
    <col width="12.7109375" customWidth="1" style="188" min="8" max="8"/>
    <col width="14.5703125" customWidth="1" style="188" min="9" max="9"/>
    <col width="15.140625" customWidth="1" style="188" min="10" max="10"/>
    <col width="3.7109375" customWidth="1" style="188" min="11" max="11"/>
    <col width="9.42578125" customWidth="1" style="188" min="12" max="12"/>
    <col width="10.85546875" customWidth="1" style="188" min="13" max="13"/>
    <col width="9.140625" customWidth="1" style="188" min="14" max="14"/>
    <col width="9.140625" customWidth="1" style="116" min="15" max="15"/>
  </cols>
  <sheetData>
    <row r="2" ht="15.75" customHeight="1" s="116">
      <c r="I2" s="105" t="n"/>
      <c r="J2" s="85" t="inlineStr">
        <is>
          <t>Приложение №5</t>
        </is>
      </c>
    </row>
    <row r="4" ht="12.75" customFormat="1" customHeight="1" s="187">
      <c r="A4" s="215" t="inlineStr">
        <is>
          <t>Расчет стоимости СМР и оборудования</t>
        </is>
      </c>
      <c r="I4" s="215" t="n"/>
      <c r="J4" s="215" t="n"/>
    </row>
    <row r="5" ht="12.75" customFormat="1" customHeight="1" s="187">
      <c r="A5" s="215" t="n"/>
      <c r="B5" s="215" t="n"/>
      <c r="C5" s="21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187">
      <c r="A6" s="230" t="inlineStr">
        <is>
          <t>Наименование разрабатываемого показателя УНЦ</t>
        </is>
      </c>
      <c r="D6" s="129" t="inlineStr">
        <is>
          <t>Ячейка выключателя НУ 110кВ, ном.ток 2500А, ном.ток отключения 40кА</t>
        </is>
      </c>
      <c r="E6" s="128" t="n"/>
      <c r="F6" s="128" t="n"/>
      <c r="G6" s="128" t="n"/>
      <c r="H6" s="128" t="n"/>
      <c r="I6" s="128" t="n"/>
      <c r="J6" s="128" t="n"/>
    </row>
    <row r="7" ht="12.75" customFormat="1" customHeight="1" s="187">
      <c r="A7" s="230" t="inlineStr">
        <is>
          <t>Единица измерения  — 1 ячейка</t>
        </is>
      </c>
      <c r="I7" s="216" t="n"/>
      <c r="J7" s="216" t="n"/>
    </row>
    <row r="8" ht="12.75" customFormat="1" customHeight="1" s="187"/>
    <row r="9" ht="27" customHeight="1" s="116">
      <c r="A9" s="219" t="inlineStr">
        <is>
          <t>№ пп.</t>
        </is>
      </c>
      <c r="B9" s="219" t="inlineStr">
        <is>
          <t>Код ресурса</t>
        </is>
      </c>
      <c r="C9" s="219" t="inlineStr">
        <is>
          <t>Наименование</t>
        </is>
      </c>
      <c r="D9" s="219" t="inlineStr">
        <is>
          <t>Ед. изм.</t>
        </is>
      </c>
      <c r="E9" s="219" t="inlineStr">
        <is>
          <t>Кол-во единиц по проектным данным</t>
        </is>
      </c>
      <c r="F9" s="219" t="inlineStr">
        <is>
          <t>Сметная стоимость в ценах на 01.01.2000 (руб.)</t>
        </is>
      </c>
      <c r="G9" s="245" t="n"/>
      <c r="H9" s="219" t="inlineStr">
        <is>
          <t>Удельный вес, %</t>
        </is>
      </c>
      <c r="I9" s="219" t="inlineStr">
        <is>
          <t>Сметная стоимость в ценах на 01.01.2023 (руб.)</t>
        </is>
      </c>
      <c r="J9" s="245" t="n"/>
    </row>
    <row r="10" ht="28.5" customHeight="1" s="116">
      <c r="A10" s="247" t="n"/>
      <c r="B10" s="247" t="n"/>
      <c r="C10" s="247" t="n"/>
      <c r="D10" s="247" t="n"/>
      <c r="E10" s="247" t="n"/>
      <c r="F10" s="219" t="inlineStr">
        <is>
          <t>на ед. изм.</t>
        </is>
      </c>
      <c r="G10" s="219" t="inlineStr">
        <is>
          <t>общая</t>
        </is>
      </c>
      <c r="H10" s="247" t="n"/>
      <c r="I10" s="219" t="inlineStr">
        <is>
          <t>на ед. изм.</t>
        </is>
      </c>
      <c r="J10" s="219" t="inlineStr">
        <is>
          <t>общая</t>
        </is>
      </c>
    </row>
    <row r="11">
      <c r="A11" s="219" t="n">
        <v>1</v>
      </c>
      <c r="B11" s="219" t="n">
        <v>2</v>
      </c>
      <c r="C11" s="219" t="n">
        <v>3</v>
      </c>
      <c r="D11" s="219" t="n">
        <v>4</v>
      </c>
      <c r="E11" s="219" t="n">
        <v>5</v>
      </c>
      <c r="F11" s="219" t="n">
        <v>6</v>
      </c>
      <c r="G11" s="219" t="n">
        <v>7</v>
      </c>
      <c r="H11" s="219" t="n">
        <v>8</v>
      </c>
      <c r="I11" s="219" t="n">
        <v>9</v>
      </c>
      <c r="J11" s="219" t="n">
        <v>10</v>
      </c>
    </row>
    <row r="12">
      <c r="A12" s="219" t="n"/>
      <c r="B12" s="213" t="inlineStr">
        <is>
          <t>Затраты труда рабочих-строителей</t>
        </is>
      </c>
      <c r="C12" s="244" t="n"/>
      <c r="D12" s="244" t="n"/>
      <c r="E12" s="244" t="n"/>
      <c r="F12" s="244" t="n"/>
      <c r="G12" s="244" t="n"/>
      <c r="H12" s="245" t="n"/>
      <c r="I12" s="137" t="n"/>
      <c r="J12" s="137" t="n"/>
    </row>
    <row r="13" ht="25.5" customHeight="1" s="116">
      <c r="A13" s="219" t="n">
        <v>1</v>
      </c>
      <c r="B13" s="160" t="inlineStr">
        <is>
          <t>1-4-2</t>
        </is>
      </c>
      <c r="C13" s="139" t="inlineStr">
        <is>
          <t>Затраты труда рабочих (средний разряд работы 4,2)</t>
        </is>
      </c>
      <c r="D13" s="160">
        <f>Прил.3!E19</f>
        <v/>
      </c>
      <c r="E13" s="189" t="n">
        <v>15508.8125</v>
      </c>
      <c r="F13" s="141">
        <f>G13/E13</f>
        <v/>
      </c>
      <c r="G13" s="126" t="n">
        <v>153847.42</v>
      </c>
      <c r="H13" s="223">
        <f>G13/G14</f>
        <v/>
      </c>
      <c r="I13" s="141">
        <f>ФОТр.тек.!E13</f>
        <v/>
      </c>
      <c r="J13" s="141">
        <f>ROUND(I13*E13,2)</f>
        <v/>
      </c>
    </row>
    <row r="14" ht="25.5" customFormat="1" customHeight="1" s="188">
      <c r="A14" s="219" t="n"/>
      <c r="B14" s="219" t="n"/>
      <c r="C14" s="213" t="inlineStr">
        <is>
          <t>Итого по разделу "Затраты труда рабочих-строителей"</t>
        </is>
      </c>
      <c r="D14" s="219" t="inlineStr">
        <is>
          <t>чел.-ч.</t>
        </is>
      </c>
      <c r="E14" s="189">
        <f>SUM(E13:E13)</f>
        <v/>
      </c>
      <c r="F14" s="141" t="n"/>
      <c r="G14" s="141">
        <f>SUM(G13:G13)</f>
        <v/>
      </c>
      <c r="H14" s="223" t="n">
        <v>1</v>
      </c>
      <c r="I14" s="141" t="n"/>
      <c r="J14" s="141">
        <f>SUM(J13:J13)</f>
        <v/>
      </c>
      <c r="K14" s="70" t="n"/>
      <c r="L14" s="120" t="n"/>
    </row>
    <row r="15" ht="14.25" customFormat="1" customHeight="1" s="188">
      <c r="A15" s="219" t="n"/>
      <c r="B15" s="218" t="inlineStr">
        <is>
          <t>Затраты труда машинистов</t>
        </is>
      </c>
      <c r="C15" s="244" t="n"/>
      <c r="D15" s="244" t="n"/>
      <c r="E15" s="244" t="n"/>
      <c r="F15" s="244" t="n"/>
      <c r="G15" s="244" t="n"/>
      <c r="H15" s="245" t="n"/>
      <c r="I15" s="137" t="n"/>
      <c r="J15" s="137" t="n"/>
    </row>
    <row r="16" ht="14.25" customFormat="1" customHeight="1" s="188">
      <c r="A16" s="219" t="n">
        <v>2</v>
      </c>
      <c r="B16" s="219" t="n">
        <v>2</v>
      </c>
      <c r="C16" s="218" t="inlineStr">
        <is>
          <t>Затраты труда машинистов</t>
        </is>
      </c>
      <c r="D16" s="219" t="inlineStr">
        <is>
          <t>чел.-ч.</t>
        </is>
      </c>
      <c r="E16" s="143" t="n">
        <v>27.5502</v>
      </c>
      <c r="F16" s="141">
        <f>G16/E16</f>
        <v/>
      </c>
      <c r="G16" s="141" t="n">
        <v>345.2496</v>
      </c>
      <c r="H16" s="223" t="n">
        <v>1</v>
      </c>
      <c r="I16" s="141">
        <f>ROUND(F16*Прил.10!D10,2)</f>
        <v/>
      </c>
      <c r="J16" s="141">
        <f>ROUND(I16*E16,2)</f>
        <v/>
      </c>
      <c r="L16" s="76" t="n"/>
    </row>
    <row r="17" ht="14.25" customFormat="1" customHeight="1" s="188">
      <c r="A17" s="219" t="n"/>
      <c r="B17" s="213" t="inlineStr">
        <is>
          <t>Машины и механизмы</t>
        </is>
      </c>
      <c r="C17" s="244" t="n"/>
      <c r="D17" s="244" t="n"/>
      <c r="E17" s="244" t="n"/>
      <c r="F17" s="244" t="n"/>
      <c r="G17" s="244" t="n"/>
      <c r="H17" s="245" t="n"/>
      <c r="I17" s="223" t="n"/>
      <c r="J17" s="223" t="n"/>
    </row>
    <row r="18" ht="14.25" customFormat="1" customHeight="1" s="188">
      <c r="A18" s="219" t="n"/>
      <c r="B18" s="218" t="inlineStr">
        <is>
          <t>Основные машины и механизмы</t>
        </is>
      </c>
      <c r="C18" s="244" t="n"/>
      <c r="D18" s="244" t="n"/>
      <c r="E18" s="244" t="n"/>
      <c r="F18" s="244" t="n"/>
      <c r="G18" s="244" t="n"/>
      <c r="H18" s="245" t="n"/>
      <c r="I18" s="137" t="n"/>
      <c r="J18" s="137" t="n"/>
    </row>
    <row r="19" ht="25.5" customFormat="1" customHeight="1" s="188">
      <c r="A19" s="219" t="n">
        <v>3</v>
      </c>
      <c r="B19" s="160" t="inlineStr">
        <is>
          <t>91.05.05-014</t>
        </is>
      </c>
      <c r="C19" s="139" t="inlineStr">
        <is>
          <t>Краны на автомобильном ходу, грузоподъемность 10 т</t>
        </is>
      </c>
      <c r="D19" s="160" t="inlineStr">
        <is>
          <t>маш.-ч</t>
        </is>
      </c>
      <c r="E19" s="189" t="n">
        <v>1006.32</v>
      </c>
      <c r="F19" s="126" t="n">
        <v>111.99</v>
      </c>
      <c r="G19" s="126">
        <f>E19*F19</f>
        <v/>
      </c>
      <c r="H19" s="223">
        <f>G19/$G$59</f>
        <v/>
      </c>
      <c r="I19" s="141">
        <f>ROUND(F19*Прил.10!$D$11,2)</f>
        <v/>
      </c>
      <c r="J19" s="141">
        <f>ROUND(I19*E19,2)</f>
        <v/>
      </c>
    </row>
    <row r="20" ht="25.5" customFormat="1" customHeight="1" s="188">
      <c r="A20" s="219" t="n">
        <v>4</v>
      </c>
      <c r="B20" s="160" t="inlineStr">
        <is>
          <t>91.02.02-003</t>
        </is>
      </c>
      <c r="C20" s="139" t="inlineStr">
        <is>
          <t>Агрегаты копровые без дизель-молота на базе экскаватора с емкостью ковша 1 м3</t>
        </is>
      </c>
      <c r="D20" s="160" t="inlineStr">
        <is>
          <t>маш.-ч</t>
        </is>
      </c>
      <c r="E20" s="219" t="n">
        <v>514.08</v>
      </c>
      <c r="F20" s="126" t="n">
        <v>200.67</v>
      </c>
      <c r="G20" s="126">
        <f>E20*F20</f>
        <v/>
      </c>
      <c r="H20" s="223">
        <f>G20/$G$59</f>
        <v/>
      </c>
      <c r="I20" s="141">
        <f>ROUND(F20*Прил.10!$D$11,2)</f>
        <v/>
      </c>
      <c r="J20" s="141">
        <f>ROUND(I20*E20,2)</f>
        <v/>
      </c>
    </row>
    <row r="21" ht="51" customFormat="1" customHeight="1" s="188">
      <c r="A21" s="219" t="n">
        <v>5</v>
      </c>
      <c r="B21" s="160" t="inlineStr">
        <is>
          <t>91.04.01-021</t>
        </is>
      </c>
      <c r="C21" s="13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160" t="inlineStr">
        <is>
          <t>маш.-ч</t>
        </is>
      </c>
      <c r="E21" s="219" t="n">
        <v>991.63</v>
      </c>
      <c r="F21" s="126" t="n">
        <v>87.59999999999999</v>
      </c>
      <c r="G21" s="126">
        <f>E21*F21</f>
        <v/>
      </c>
      <c r="H21" s="223">
        <f>G21/$G$59</f>
        <v/>
      </c>
      <c r="I21" s="141">
        <f>ROUND(F21*Прил.10!$D$11,2)</f>
        <v/>
      </c>
      <c r="J21" s="141">
        <f>ROUND(I21*E21,2)</f>
        <v/>
      </c>
    </row>
    <row r="22" ht="14.25" customFormat="1" customHeight="1" s="188">
      <c r="A22" s="219" t="n">
        <v>6</v>
      </c>
      <c r="B22" s="160" t="inlineStr">
        <is>
          <t>91.21.22-447</t>
        </is>
      </c>
      <c r="C22" s="139" t="inlineStr">
        <is>
          <t>Установки электрометаллизационные</t>
        </is>
      </c>
      <c r="D22" s="160" t="inlineStr">
        <is>
          <t>маш.-ч</t>
        </is>
      </c>
      <c r="E22" s="219" t="n">
        <v>941.85</v>
      </c>
      <c r="F22" s="126" t="n">
        <v>74.23999999999999</v>
      </c>
      <c r="G22" s="126">
        <f>E22*F22</f>
        <v/>
      </c>
      <c r="H22" s="223">
        <f>G22/$G$59</f>
        <v/>
      </c>
      <c r="I22" s="141">
        <f>ROUND(F22*Прил.10!$D$11,2)</f>
        <v/>
      </c>
      <c r="J22" s="141">
        <f>ROUND(I22*E22,2)</f>
        <v/>
      </c>
    </row>
    <row r="23" ht="25.5" customFormat="1" customHeight="1" s="188">
      <c r="A23" s="219" t="n">
        <v>7</v>
      </c>
      <c r="B23" s="160" t="inlineStr">
        <is>
          <t>91.14.02-004</t>
        </is>
      </c>
      <c r="C23" s="139" t="inlineStr">
        <is>
          <t>Автомобили бортовые, грузоподъемность до 15 т</t>
        </is>
      </c>
      <c r="D23" s="160" t="inlineStr">
        <is>
          <t>маш.-ч</t>
        </is>
      </c>
      <c r="E23" s="219" t="n">
        <v>748.23</v>
      </c>
      <c r="F23" s="126" t="n">
        <v>92.94</v>
      </c>
      <c r="G23" s="126">
        <f>E23*F23</f>
        <v/>
      </c>
      <c r="H23" s="223">
        <f>G23/$G$59</f>
        <v/>
      </c>
      <c r="I23" s="141">
        <f>ROUND(F23*Прил.10!$D$11,2)</f>
        <v/>
      </c>
      <c r="J23" s="141">
        <f>ROUND(I23*E23,2)</f>
        <v/>
      </c>
    </row>
    <row r="24" ht="14.25" customFormat="1" customHeight="1" s="188">
      <c r="A24" s="219" t="n">
        <v>8</v>
      </c>
      <c r="B24" s="160" t="inlineStr">
        <is>
          <t>91.02.03-024</t>
        </is>
      </c>
      <c r="C24" s="139" t="inlineStr">
        <is>
          <t>Дизель-молоты 2,5 т</t>
        </is>
      </c>
      <c r="D24" s="160" t="inlineStr">
        <is>
          <t>маш.-ч</t>
        </is>
      </c>
      <c r="E24" s="219" t="n">
        <v>514.08</v>
      </c>
      <c r="F24" s="126" t="n">
        <v>70.67</v>
      </c>
      <c r="G24" s="126">
        <f>E24*F24</f>
        <v/>
      </c>
      <c r="H24" s="223">
        <f>G24/$G$59</f>
        <v/>
      </c>
      <c r="I24" s="141">
        <f>ROUND(F24*Прил.10!$D$11,2)</f>
        <v/>
      </c>
      <c r="J24" s="141">
        <f>ROUND(I24*E24,2)</f>
        <v/>
      </c>
    </row>
    <row r="25" ht="25.5" customFormat="1" customHeight="1" s="188">
      <c r="A25" s="219" t="n">
        <v>9</v>
      </c>
      <c r="B25" s="160" t="inlineStr">
        <is>
          <t>91.10.05-001</t>
        </is>
      </c>
      <c r="C25" s="139" t="inlineStr">
        <is>
          <t>Трубоукладчики для труб диаметром 800-1000 мм, грузоподъемность 35 т</t>
        </is>
      </c>
      <c r="D25" s="160" t="inlineStr">
        <is>
          <t>маш.-ч</t>
        </is>
      </c>
      <c r="E25" s="219" t="n">
        <v>136.08</v>
      </c>
      <c r="F25" s="126" t="n">
        <v>175.35</v>
      </c>
      <c r="G25" s="126">
        <f>E25*F25</f>
        <v/>
      </c>
      <c r="H25" s="223">
        <f>G25/$G$59</f>
        <v/>
      </c>
      <c r="I25" s="141">
        <f>ROUND(F25*Прил.10!$D$11,2)</f>
        <v/>
      </c>
      <c r="J25" s="141">
        <f>ROUND(I25*E25,2)</f>
        <v/>
      </c>
    </row>
    <row r="26" ht="25.5" customFormat="1" customHeight="1" s="188">
      <c r="A26" s="219" t="n">
        <v>10</v>
      </c>
      <c r="B26" s="160" t="inlineStr">
        <is>
          <t>91.15.02-029</t>
        </is>
      </c>
      <c r="C26" s="139" t="inlineStr">
        <is>
          <t>Тракторы на гусеничном ходу с лебедкой 132 кВт (180 л.с.)</t>
        </is>
      </c>
      <c r="D26" s="160" t="inlineStr">
        <is>
          <t>маш.-ч</t>
        </is>
      </c>
      <c r="E26" s="219" t="n">
        <v>129.37</v>
      </c>
      <c r="F26" s="126" t="n">
        <v>147.43</v>
      </c>
      <c r="G26" s="126">
        <f>E26*F26</f>
        <v/>
      </c>
      <c r="H26" s="223">
        <f>G26/$G$59</f>
        <v/>
      </c>
      <c r="I26" s="141">
        <f>ROUND(F26*Прил.10!$D$11,2)</f>
        <v/>
      </c>
      <c r="J26" s="141">
        <f>ROUND(I26*E26,2)</f>
        <v/>
      </c>
    </row>
    <row r="27" ht="25.5" customFormat="1" customHeight="1" s="188">
      <c r="A27" s="219" t="n">
        <v>11</v>
      </c>
      <c r="B27" s="160" t="inlineStr">
        <is>
          <t>91.06.06-042</t>
        </is>
      </c>
      <c r="C27" s="139" t="inlineStr">
        <is>
          <t>Подъемники гидравлические, высота подъема 10 м</t>
        </is>
      </c>
      <c r="D27" s="160" t="inlineStr">
        <is>
          <t>маш.-ч</t>
        </is>
      </c>
      <c r="E27" s="219" t="n">
        <v>588.89</v>
      </c>
      <c r="F27" s="126" t="n">
        <v>29.6</v>
      </c>
      <c r="G27" s="126">
        <f>E27*F27</f>
        <v/>
      </c>
      <c r="H27" s="223">
        <f>G27/$G$59</f>
        <v/>
      </c>
      <c r="I27" s="141">
        <f>ROUND(F27*Прил.10!$D$11,2)</f>
        <v/>
      </c>
      <c r="J27" s="141">
        <f>ROUND(I27*E27,2)</f>
        <v/>
      </c>
    </row>
    <row r="28" ht="14.25" customFormat="1" customHeight="1" s="188">
      <c r="A28" s="219" t="n"/>
      <c r="B28" s="219" t="n"/>
      <c r="C28" s="218" t="inlineStr">
        <is>
          <t>Итого основные машины и механизмы</t>
        </is>
      </c>
      <c r="D28" s="219" t="n"/>
      <c r="E28" s="145" t="n"/>
      <c r="F28" s="141" t="n"/>
      <c r="G28" s="141">
        <f>SUM(G19:G27)</f>
        <v/>
      </c>
      <c r="H28" s="223">
        <f>G28/G59</f>
        <v/>
      </c>
      <c r="I28" s="141" t="n"/>
      <c r="J28" s="141">
        <f>SUM(J19:J27)</f>
        <v/>
      </c>
      <c r="L28" s="70" t="n"/>
    </row>
    <row r="29" outlineLevel="1" ht="25.5" customFormat="1" customHeight="1" s="188">
      <c r="A29" s="219" t="n">
        <v>12</v>
      </c>
      <c r="B29" s="160" t="inlineStr">
        <is>
          <t>91.05.06-007</t>
        </is>
      </c>
      <c r="C29" s="139" t="inlineStr">
        <is>
          <t>Краны на гусеничном ходу, грузоподъемность 25 т</t>
        </is>
      </c>
      <c r="D29" s="160" t="inlineStr">
        <is>
          <t>маш.-ч</t>
        </is>
      </c>
      <c r="E29" s="219" t="n">
        <v>138.45</v>
      </c>
      <c r="F29" s="146" t="n">
        <v>120.04</v>
      </c>
      <c r="G29" s="126">
        <f>E29*F29</f>
        <v/>
      </c>
      <c r="H29" s="223">
        <f>G29/$G$59</f>
        <v/>
      </c>
      <c r="I29" s="141">
        <f>ROUND(F29*Прил.10!$D$11,2)</f>
        <v/>
      </c>
      <c r="J29" s="141">
        <f>ROUND(I29*E29,2)</f>
        <v/>
      </c>
      <c r="L29" s="70" t="n"/>
    </row>
    <row r="30" outlineLevel="1" ht="25.5" customFormat="1" customHeight="1" s="188">
      <c r="A30" s="219" t="n">
        <v>13</v>
      </c>
      <c r="B30" s="160" t="n">
        <v>150102</v>
      </c>
      <c r="C30" s="139" t="inlineStr">
        <is>
          <t>Агрегаты наполнительно-опрессовочные до 300 м3/ч</t>
        </is>
      </c>
      <c r="D30" s="160" t="inlineStr">
        <is>
          <t>маш.час</t>
        </is>
      </c>
      <c r="E30" s="160" t="n">
        <v>57.68</v>
      </c>
      <c r="F30" s="146" t="n">
        <v>287.99</v>
      </c>
      <c r="G30" s="126">
        <f>E30*F30</f>
        <v/>
      </c>
      <c r="H30" s="223">
        <f>G30/$G$59</f>
        <v/>
      </c>
      <c r="I30" s="141">
        <f>ROUND(F30*Прил.10!$D$11,2)</f>
        <v/>
      </c>
      <c r="J30" s="141">
        <f>ROUND(I30*E30,2)</f>
        <v/>
      </c>
      <c r="L30" s="70" t="n"/>
    </row>
    <row r="31" outlineLevel="1" ht="25.5" customFormat="1" customHeight="1" s="188">
      <c r="A31" s="219" t="n">
        <v>14</v>
      </c>
      <c r="B31" s="160" t="n">
        <v>400001</v>
      </c>
      <c r="C31" s="139" t="inlineStr">
        <is>
          <t>Автомобили бортовые, грузоподъемность до 5 т</t>
        </is>
      </c>
      <c r="D31" s="160" t="inlineStr">
        <is>
          <t>маш.час</t>
        </is>
      </c>
      <c r="E31" s="160" t="n">
        <v>158.45</v>
      </c>
      <c r="F31" s="146" t="n">
        <v>87.17</v>
      </c>
      <c r="G31" s="126">
        <f>E31*F31</f>
        <v/>
      </c>
      <c r="H31" s="223">
        <f>G31/$G$59</f>
        <v/>
      </c>
      <c r="I31" s="141">
        <f>ROUND(F31*Прил.10!$D$11,2)</f>
        <v/>
      </c>
      <c r="J31" s="141">
        <f>ROUND(I31*E31,2)</f>
        <v/>
      </c>
      <c r="L31" s="70" t="n"/>
    </row>
    <row r="32" outlineLevel="1" ht="25.5" customFormat="1" customHeight="1" s="188">
      <c r="A32" s="219" t="n">
        <v>15</v>
      </c>
      <c r="B32" s="160" t="n">
        <v>31004</v>
      </c>
      <c r="C32" s="139" t="inlineStr">
        <is>
          <t>Автогидроподъемники высотой подъема 28 м</t>
        </is>
      </c>
      <c r="D32" s="160" t="inlineStr">
        <is>
          <t>маш.час</t>
        </is>
      </c>
      <c r="E32" s="160" t="n">
        <v>40.71</v>
      </c>
      <c r="F32" s="146" t="n">
        <v>243.49</v>
      </c>
      <c r="G32" s="126">
        <f>E32*F32</f>
        <v/>
      </c>
      <c r="H32" s="223">
        <f>G32/$G$59</f>
        <v/>
      </c>
      <c r="I32" s="141">
        <f>ROUND(F32*Прил.10!$D$11,2)</f>
        <v/>
      </c>
      <c r="J32" s="141">
        <f>ROUND(I32*E32,2)</f>
        <v/>
      </c>
      <c r="L32" s="70" t="n"/>
    </row>
    <row r="33" outlineLevel="1" ht="25.5" customFormat="1" customHeight="1" s="188">
      <c r="A33" s="219" t="n">
        <v>16</v>
      </c>
      <c r="B33" s="160" t="n">
        <v>30408</v>
      </c>
      <c r="C33" s="139" t="inlineStr">
        <is>
          <t>Лебедки электрические тяговым усилием 156,96 кН (16 т)</t>
        </is>
      </c>
      <c r="D33" s="160" t="inlineStr">
        <is>
          <t>маш.час</t>
        </is>
      </c>
      <c r="E33" s="160" t="n">
        <v>57.68</v>
      </c>
      <c r="F33" s="146" t="n">
        <v>131.44</v>
      </c>
      <c r="G33" s="126">
        <f>E33*F33</f>
        <v/>
      </c>
      <c r="H33" s="223">
        <f>G33/$G$59</f>
        <v/>
      </c>
      <c r="I33" s="141">
        <f>ROUND(F33*Прил.10!$D$11,2)</f>
        <v/>
      </c>
      <c r="J33" s="141">
        <f>ROUND(I33*E33,2)</f>
        <v/>
      </c>
      <c r="L33" s="70" t="n"/>
    </row>
    <row r="34" outlineLevel="1" ht="25.5" customFormat="1" customHeight="1" s="188">
      <c r="A34" s="219" t="n">
        <v>17</v>
      </c>
      <c r="B34" s="160" t="inlineStr">
        <is>
          <t>91.14.02-001</t>
        </is>
      </c>
      <c r="C34" s="139" t="inlineStr">
        <is>
          <t>Автомобили бортовые, грузоподъемность: до 5 т</t>
        </is>
      </c>
      <c r="D34" s="160" t="inlineStr">
        <is>
          <t>маш.час</t>
        </is>
      </c>
      <c r="E34" s="160" t="n">
        <v>72.45</v>
      </c>
      <c r="F34" s="146" t="n">
        <v>65.70999999999999</v>
      </c>
      <c r="G34" s="126">
        <f>E34*F34</f>
        <v/>
      </c>
      <c r="H34" s="223">
        <f>G34/$G$59</f>
        <v/>
      </c>
      <c r="I34" s="141">
        <f>ROUND(F34*Прил.10!$D$11,2)</f>
        <v/>
      </c>
      <c r="J34" s="141">
        <f>ROUND(I34*E34,2)</f>
        <v/>
      </c>
      <c r="L34" s="70" t="n"/>
    </row>
    <row r="35" outlineLevel="1" ht="51" customFormat="1" customHeight="1" s="188">
      <c r="A35" s="219" t="n">
        <v>18</v>
      </c>
      <c r="B35" s="160" t="inlineStr">
        <is>
          <t>03-21-02-025</t>
        </is>
      </c>
      <c r="C35" s="139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D35" s="160" t="inlineStr">
        <is>
          <t>1 т груза</t>
        </is>
      </c>
      <c r="E35" s="160" t="n">
        <v>214.5</v>
      </c>
      <c r="F35" s="146" t="n">
        <v>20.38</v>
      </c>
      <c r="G35" s="126">
        <f>E35*F35</f>
        <v/>
      </c>
      <c r="H35" s="223">
        <f>G35/$G$59</f>
        <v/>
      </c>
      <c r="I35" s="141">
        <f>ROUND(F35*Прил.10!$D$11,2)</f>
        <v/>
      </c>
      <c r="J35" s="141">
        <f>ROUND(I35*E35,2)</f>
        <v/>
      </c>
      <c r="L35" s="70" t="n"/>
    </row>
    <row r="36" outlineLevel="1" ht="38.25" customFormat="1" customHeight="1" s="188">
      <c r="A36" s="219" t="n">
        <v>19</v>
      </c>
      <c r="B36" s="160" t="n">
        <v>40202</v>
      </c>
      <c r="C36" s="139" t="inlineStr">
        <is>
          <t>Агрегаты сварочные передвижные с номинальным сварочным током 250-400 А с дизельным двигателем</t>
        </is>
      </c>
      <c r="D36" s="160" t="inlineStr">
        <is>
          <t>маш.час</t>
        </is>
      </c>
      <c r="E36" s="160" t="n">
        <v>229.39</v>
      </c>
      <c r="F36" s="146" t="n">
        <v>14</v>
      </c>
      <c r="G36" s="126">
        <f>E36*F36</f>
        <v/>
      </c>
      <c r="H36" s="223">
        <f>G36/$G$59</f>
        <v/>
      </c>
      <c r="I36" s="141">
        <f>ROUND(F36*Прил.10!$D$11,2)</f>
        <v/>
      </c>
      <c r="J36" s="141">
        <f>ROUND(I36*E36,2)</f>
        <v/>
      </c>
      <c r="L36" s="70" t="n"/>
    </row>
    <row r="37" outlineLevel="1" ht="14.25" customFormat="1" customHeight="1" s="188">
      <c r="A37" s="219" t="n">
        <v>20</v>
      </c>
      <c r="B37" s="160" t="inlineStr">
        <is>
          <t>91.06.05-011</t>
        </is>
      </c>
      <c r="C37" s="139" t="inlineStr">
        <is>
          <t>Погрузчик, грузоподъемность 5 т</t>
        </is>
      </c>
      <c r="D37" s="160" t="inlineStr">
        <is>
          <t>маш.час</t>
        </is>
      </c>
      <c r="E37" s="160" t="n">
        <v>24.15</v>
      </c>
      <c r="F37" s="146" t="n">
        <v>89.98999999999999</v>
      </c>
      <c r="G37" s="126">
        <f>E37*F37</f>
        <v/>
      </c>
      <c r="H37" s="223">
        <f>G37/$G$59</f>
        <v/>
      </c>
      <c r="I37" s="141">
        <f>ROUND(F37*Прил.10!$D$11,2)</f>
        <v/>
      </c>
      <c r="J37" s="141">
        <f>ROUND(I37*E37,2)</f>
        <v/>
      </c>
      <c r="L37" s="70" t="n"/>
    </row>
    <row r="38" outlineLevel="1" ht="25.5" customFormat="1" customHeight="1" s="188">
      <c r="A38" s="219" t="n">
        <v>21</v>
      </c>
      <c r="B38" s="160" t="n">
        <v>40502</v>
      </c>
      <c r="C38" s="139" t="inlineStr">
        <is>
          <t>Установки для сварки ручной дуговой (постоянного тока)</t>
        </is>
      </c>
      <c r="D38" s="160" t="inlineStr">
        <is>
          <t>маш.час</t>
        </is>
      </c>
      <c r="E38" s="160" t="n">
        <v>255.7</v>
      </c>
      <c r="F38" s="146" t="n">
        <v>8.1</v>
      </c>
      <c r="G38" s="126">
        <f>E38*F38</f>
        <v/>
      </c>
      <c r="H38" s="223">
        <f>G38/$G$59</f>
        <v/>
      </c>
      <c r="I38" s="141">
        <f>ROUND(F38*Прил.10!$D$11,2)</f>
        <v/>
      </c>
      <c r="J38" s="141">
        <f>ROUND(I38*E38,2)</f>
        <v/>
      </c>
      <c r="L38" s="70" t="n"/>
    </row>
    <row r="39" outlineLevel="1" ht="14.25" customFormat="1" customHeight="1" s="188">
      <c r="A39" s="219" t="n">
        <v>22</v>
      </c>
      <c r="B39" s="160" t="n">
        <v>400101</v>
      </c>
      <c r="C39" s="139" t="inlineStr">
        <is>
          <t>Тягачи седельные, грузоподъемность 12 т</t>
        </is>
      </c>
      <c r="D39" s="160" t="inlineStr">
        <is>
          <t>маш.час</t>
        </is>
      </c>
      <c r="E39" s="160" t="n">
        <v>15.12</v>
      </c>
      <c r="F39" s="146" t="n">
        <v>127.82</v>
      </c>
      <c r="G39" s="126">
        <f>E39*F39</f>
        <v/>
      </c>
      <c r="H39" s="223">
        <f>G39/$G$59</f>
        <v/>
      </c>
      <c r="I39" s="141">
        <f>ROUND(F39*Прил.10!$D$11,2)</f>
        <v/>
      </c>
      <c r="J39" s="141">
        <f>ROUND(I39*E39,2)</f>
        <v/>
      </c>
      <c r="L39" s="70" t="n"/>
    </row>
    <row r="40" outlineLevel="1" ht="25.5" customFormat="1" customHeight="1" s="188">
      <c r="A40" s="219" t="n">
        <v>23</v>
      </c>
      <c r="B40" s="160" t="n">
        <v>21243</v>
      </c>
      <c r="C40" s="139" t="inlineStr">
        <is>
          <t>Краны на гусеничном ходу при работе на других видах строительства до 16 т</t>
        </is>
      </c>
      <c r="D40" s="160" t="inlineStr">
        <is>
          <t>маш.час</t>
        </is>
      </c>
      <c r="E40" s="160" t="n">
        <v>13.3</v>
      </c>
      <c r="F40" s="146" t="n">
        <v>96.89</v>
      </c>
      <c r="G40" s="126">
        <f>E40*F40</f>
        <v/>
      </c>
      <c r="H40" s="223">
        <f>G40/$G$59</f>
        <v/>
      </c>
      <c r="I40" s="141">
        <f>ROUND(F40*Прил.10!$D$11,2)</f>
        <v/>
      </c>
      <c r="J40" s="141">
        <f>ROUND(I40*E40,2)</f>
        <v/>
      </c>
      <c r="L40" s="70" t="n"/>
    </row>
    <row r="41" outlineLevel="1" ht="25.5" customFormat="1" customHeight="1" s="188">
      <c r="A41" s="219" t="n">
        <v>24</v>
      </c>
      <c r="B41" s="160" t="n">
        <v>41000</v>
      </c>
      <c r="C41" s="139" t="inlineStr">
        <is>
          <t>Преобразователи сварочные с номинальным сварочным током 315-500 А</t>
        </is>
      </c>
      <c r="D41" s="160" t="inlineStr">
        <is>
          <t>маш.час</t>
        </is>
      </c>
      <c r="E41" s="160" t="n">
        <v>47.75</v>
      </c>
      <c r="F41" s="146" t="n">
        <v>12.31</v>
      </c>
      <c r="G41" s="126">
        <f>E41*F41</f>
        <v/>
      </c>
      <c r="H41" s="223">
        <f>G41/$G$59</f>
        <v/>
      </c>
      <c r="I41" s="141">
        <f>ROUND(F41*Прил.10!$D$11,2)</f>
        <v/>
      </c>
      <c r="J41" s="141">
        <f>ROUND(I41*E41,2)</f>
        <v/>
      </c>
      <c r="L41" s="70" t="n"/>
    </row>
    <row r="42" outlineLevel="1" ht="25.5" customFormat="1" customHeight="1" s="188">
      <c r="A42" s="219" t="n">
        <v>25</v>
      </c>
      <c r="B42" s="160" t="n">
        <v>30203</v>
      </c>
      <c r="C42" s="139" t="inlineStr">
        <is>
          <t>Домкраты гидравлические грузоподъемностью 63-100 т</t>
        </is>
      </c>
      <c r="D42" s="160" t="inlineStr">
        <is>
          <t>маш.час</t>
        </is>
      </c>
      <c r="E42" s="160" t="n">
        <v>257.88</v>
      </c>
      <c r="F42" s="146" t="n">
        <v>0.9</v>
      </c>
      <c r="G42" s="126">
        <f>E42*F42</f>
        <v/>
      </c>
      <c r="H42" s="223">
        <f>G42/$G$59</f>
        <v/>
      </c>
      <c r="I42" s="141">
        <f>ROUND(F42*Прил.10!$D$11,2)</f>
        <v/>
      </c>
      <c r="J42" s="141">
        <f>ROUND(I42*E42,2)</f>
        <v/>
      </c>
      <c r="L42" s="70" t="n"/>
    </row>
    <row r="43" outlineLevel="1" ht="25.5" customFormat="1" customHeight="1" s="188">
      <c r="A43" s="219" t="n">
        <v>26</v>
      </c>
      <c r="B43" s="160" t="n">
        <v>400002</v>
      </c>
      <c r="C43" s="139" t="inlineStr">
        <is>
          <t>Автомобили бортовые, грузоподъемность до 8 т</t>
        </is>
      </c>
      <c r="D43" s="160" t="inlineStr">
        <is>
          <t>маш.час</t>
        </is>
      </c>
      <c r="E43" s="160" t="n">
        <v>1.91</v>
      </c>
      <c r="F43" s="146" t="n">
        <v>107.3</v>
      </c>
      <c r="G43" s="126">
        <f>E43*F43</f>
        <v/>
      </c>
      <c r="H43" s="223">
        <f>G43/$G$59</f>
        <v/>
      </c>
      <c r="I43" s="141">
        <f>ROUND(F43*Прил.10!$D$11,2)</f>
        <v/>
      </c>
      <c r="J43" s="141">
        <f>ROUND(I43*E43,2)</f>
        <v/>
      </c>
      <c r="L43" s="70" t="n"/>
    </row>
    <row r="44" outlineLevel="1" ht="25.5" customFormat="1" customHeight="1" s="188">
      <c r="A44" s="219" t="n">
        <v>27</v>
      </c>
      <c r="B44" s="160" t="n">
        <v>400111</v>
      </c>
      <c r="C44" s="139" t="inlineStr">
        <is>
          <t>Полуприцепы общего назначения, грузоподъемность 12 т</t>
        </is>
      </c>
      <c r="D44" s="160" t="inlineStr">
        <is>
          <t>маш.час</t>
        </is>
      </c>
      <c r="E44" s="160" t="n">
        <v>15.12</v>
      </c>
      <c r="F44" s="146" t="n">
        <v>12</v>
      </c>
      <c r="G44" s="126">
        <f>E44*F44</f>
        <v/>
      </c>
      <c r="H44" s="223">
        <f>G44/$G$59</f>
        <v/>
      </c>
      <c r="I44" s="141">
        <f>ROUND(F44*Прил.10!$D$11,2)</f>
        <v/>
      </c>
      <c r="J44" s="141">
        <f>ROUND(I44*E44,2)</f>
        <v/>
      </c>
      <c r="L44" s="70" t="n"/>
    </row>
    <row r="45" outlineLevel="1" ht="25.5" customFormat="1" customHeight="1" s="188">
      <c r="A45" s="219" t="n">
        <v>28</v>
      </c>
      <c r="B45" s="160" t="n">
        <v>20403</v>
      </c>
      <c r="C45" s="139" t="inlineStr">
        <is>
          <t>Краны козловые при работе на монтаже технологического оборудования 32 т</t>
        </is>
      </c>
      <c r="D45" s="160" t="inlineStr">
        <is>
          <t>маш.час</t>
        </is>
      </c>
      <c r="E45" s="160" t="n">
        <v>0.67</v>
      </c>
      <c r="F45" s="146" t="n">
        <v>120.52</v>
      </c>
      <c r="G45" s="126">
        <f>E45*F45</f>
        <v/>
      </c>
      <c r="H45" s="223">
        <f>G45/$G$59</f>
        <v/>
      </c>
      <c r="I45" s="141">
        <f>ROUND(F45*Прил.10!$D$11,2)</f>
        <v/>
      </c>
      <c r="J45" s="141">
        <f>ROUND(I45*E45,2)</f>
        <v/>
      </c>
      <c r="L45" s="70" t="n"/>
    </row>
    <row r="46" outlineLevel="1" ht="25.5" customFormat="1" customHeight="1" s="188">
      <c r="A46" s="219" t="n">
        <v>29</v>
      </c>
      <c r="B46" s="160" t="n">
        <v>20129</v>
      </c>
      <c r="C46" s="139" t="inlineStr">
        <is>
          <t>Краны башенные при работе на других видах строительства 8 т</t>
        </is>
      </c>
      <c r="D46" s="160" t="inlineStr">
        <is>
          <t>маш.час</t>
        </is>
      </c>
      <c r="E46" s="160" t="n">
        <v>0.54</v>
      </c>
      <c r="F46" s="146" t="n">
        <v>86.40000000000001</v>
      </c>
      <c r="G46" s="126">
        <f>E46*F46</f>
        <v/>
      </c>
      <c r="H46" s="223">
        <f>G46/$G$59</f>
        <v/>
      </c>
      <c r="I46" s="141">
        <f>ROUND(F46*Прил.10!$D$11,2)</f>
        <v/>
      </c>
      <c r="J46" s="141">
        <f>ROUND(I46*E46,2)</f>
        <v/>
      </c>
      <c r="L46" s="70" t="n"/>
    </row>
    <row r="47" outlineLevel="1" ht="14.25" customFormat="1" customHeight="1" s="188">
      <c r="A47" s="219" t="n">
        <v>30</v>
      </c>
      <c r="B47" s="160" t="n">
        <v>331451</v>
      </c>
      <c r="C47" s="139" t="inlineStr">
        <is>
          <t>Перфораторы электрические</t>
        </is>
      </c>
      <c r="D47" s="160" t="inlineStr">
        <is>
          <t>маш.час</t>
        </is>
      </c>
      <c r="E47" s="160" t="n">
        <v>14.91</v>
      </c>
      <c r="F47" s="146" t="n">
        <v>2.08</v>
      </c>
      <c r="G47" s="126">
        <f>E47*F47</f>
        <v/>
      </c>
      <c r="H47" s="223">
        <f>G47/$G$59</f>
        <v/>
      </c>
      <c r="I47" s="141">
        <f>ROUND(F47*Прил.10!$D$11,2)</f>
        <v/>
      </c>
      <c r="J47" s="141">
        <f>ROUND(I47*E47,2)</f>
        <v/>
      </c>
      <c r="L47" s="70" t="n"/>
    </row>
    <row r="48" outlineLevel="1" ht="25.5" customFormat="1" customHeight="1" s="188">
      <c r="A48" s="219" t="n">
        <v>31</v>
      </c>
      <c r="B48" s="160" t="n">
        <v>70149</v>
      </c>
      <c r="C48" s="139" t="inlineStr">
        <is>
          <t>Бульдозеры при работе на других видах строительства 79 кВт (108 л.с.)</t>
        </is>
      </c>
      <c r="D48" s="160" t="inlineStr">
        <is>
          <t>маш.час</t>
        </is>
      </c>
      <c r="E48" s="160" t="n">
        <v>0.36</v>
      </c>
      <c r="F48" s="146" t="n">
        <v>79.06999999999999</v>
      </c>
      <c r="G48" s="126">
        <f>E48*F48</f>
        <v/>
      </c>
      <c r="H48" s="223">
        <f>G48/$G$59</f>
        <v/>
      </c>
      <c r="I48" s="141">
        <f>ROUND(F48*Прил.10!$D$11,2)</f>
        <v/>
      </c>
      <c r="J48" s="141">
        <f>ROUND(I48*E48,2)</f>
        <v/>
      </c>
      <c r="L48" s="70" t="n"/>
    </row>
    <row r="49" outlineLevel="1" ht="38.25" customFormat="1" customHeight="1" s="188">
      <c r="A49" s="219" t="n">
        <v>32</v>
      </c>
      <c r="B49" s="160" t="n">
        <v>340101</v>
      </c>
      <c r="C49" s="139" t="inlineStr">
        <is>
          <t>Агрегаты окрасочные высокого давления для окраски поверхностей конструкций мощностью 1 кВт</t>
        </is>
      </c>
      <c r="D49" s="160" t="inlineStr">
        <is>
          <t>маш.час</t>
        </is>
      </c>
      <c r="E49" s="160" t="n">
        <v>2.89</v>
      </c>
      <c r="F49" s="146" t="n">
        <v>6.82</v>
      </c>
      <c r="G49" s="126">
        <f>E49*F49</f>
        <v/>
      </c>
      <c r="H49" s="223">
        <f>G49/$G$59</f>
        <v/>
      </c>
      <c r="I49" s="141">
        <f>ROUND(F49*Прил.10!$D$11,2)</f>
        <v/>
      </c>
      <c r="J49" s="141">
        <f>ROUND(I49*E49,2)</f>
        <v/>
      </c>
      <c r="L49" s="70" t="n"/>
    </row>
    <row r="50" outlineLevel="1" ht="51" customFormat="1" customHeight="1" s="188">
      <c r="A50" s="219" t="n">
        <v>33</v>
      </c>
      <c r="B50" s="160" t="n">
        <v>41400</v>
      </c>
      <c r="C50" s="139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0" s="160" t="inlineStr">
        <is>
          <t>маш.час</t>
        </is>
      </c>
      <c r="E50" s="160" t="n">
        <v>2.36</v>
      </c>
      <c r="F50" s="146" t="n">
        <v>6.7</v>
      </c>
      <c r="G50" s="126">
        <f>E50*F50</f>
        <v/>
      </c>
      <c r="H50" s="223">
        <f>G50/$G$59</f>
        <v/>
      </c>
      <c r="I50" s="141">
        <f>ROUND(F50*Прил.10!$D$11,2)</f>
        <v/>
      </c>
      <c r="J50" s="141">
        <f>ROUND(I50*E50,2)</f>
        <v/>
      </c>
      <c r="L50" s="70" t="n"/>
    </row>
    <row r="51" outlineLevel="1" ht="14.25" customFormat="1" customHeight="1" s="188">
      <c r="A51" s="219" t="n">
        <v>34</v>
      </c>
      <c r="B51" s="160" t="n">
        <v>40504</v>
      </c>
      <c r="C51" s="139" t="inlineStr">
        <is>
          <t>Аппарат для газовой сварки и резки</t>
        </is>
      </c>
      <c r="D51" s="160" t="inlineStr">
        <is>
          <t>маш.час</t>
        </is>
      </c>
      <c r="E51" s="160" t="n">
        <v>11.21</v>
      </c>
      <c r="F51" s="146" t="n">
        <v>1.2</v>
      </c>
      <c r="G51" s="126">
        <f>E51*F51</f>
        <v/>
      </c>
      <c r="H51" s="223">
        <f>G51/$G$59</f>
        <v/>
      </c>
      <c r="I51" s="141">
        <f>ROUND(F51*Прил.10!$D$11,2)</f>
        <v/>
      </c>
      <c r="J51" s="141">
        <f>ROUND(I51*E51,2)</f>
        <v/>
      </c>
      <c r="L51" s="70" t="n"/>
    </row>
    <row r="52" outlineLevel="1" ht="14.25" customFormat="1" customHeight="1" s="188">
      <c r="A52" s="219" t="n">
        <v>35</v>
      </c>
      <c r="B52" s="160" t="n">
        <v>330301</v>
      </c>
      <c r="C52" s="139" t="inlineStr">
        <is>
          <t>Машины шлифовальные электрические</t>
        </is>
      </c>
      <c r="D52" s="160" t="inlineStr">
        <is>
          <t>маш.час</t>
        </is>
      </c>
      <c r="E52" s="160" t="n">
        <v>1.99</v>
      </c>
      <c r="F52" s="146" t="n">
        <v>5.13</v>
      </c>
      <c r="G52" s="126">
        <f>E52*F52</f>
        <v/>
      </c>
      <c r="H52" s="223">
        <f>G52/$G$59</f>
        <v/>
      </c>
      <c r="I52" s="141">
        <f>ROUND(F52*Прил.10!$D$11,2)</f>
        <v/>
      </c>
      <c r="J52" s="141">
        <f>ROUND(I52*E52,2)</f>
        <v/>
      </c>
      <c r="L52" s="70" t="n"/>
    </row>
    <row r="53" outlineLevel="1" ht="25.5" customFormat="1" customHeight="1" s="188">
      <c r="A53" s="219" t="n">
        <v>36</v>
      </c>
      <c r="B53" s="160" t="n">
        <v>30402</v>
      </c>
      <c r="C53" s="139" t="inlineStr">
        <is>
          <t>Лебедки электрические тяговым усилием до 12,26 кН (1,25 т)</t>
        </is>
      </c>
      <c r="D53" s="160" t="inlineStr">
        <is>
          <t>маш.час</t>
        </is>
      </c>
      <c r="E53" s="160" t="n">
        <v>1.19</v>
      </c>
      <c r="F53" s="146" t="n">
        <v>3.28</v>
      </c>
      <c r="G53" s="126">
        <f>E53*F53</f>
        <v/>
      </c>
      <c r="H53" s="223">
        <f>G53/$G$59</f>
        <v/>
      </c>
      <c r="I53" s="141">
        <f>ROUND(F53*Прил.10!$D$11,2)</f>
        <v/>
      </c>
      <c r="J53" s="141">
        <f>ROUND(I53*E53,2)</f>
        <v/>
      </c>
      <c r="L53" s="70" t="n"/>
    </row>
    <row r="54" outlineLevel="1" ht="14.25" customFormat="1" customHeight="1" s="188">
      <c r="A54" s="219" t="n">
        <v>37</v>
      </c>
      <c r="B54" s="160" t="n">
        <v>30101</v>
      </c>
      <c r="C54" s="139" t="inlineStr">
        <is>
          <t>Автопогрузчики 5 т</t>
        </is>
      </c>
      <c r="D54" s="160" t="inlineStr">
        <is>
          <t>маш.час</t>
        </is>
      </c>
      <c r="E54" s="160" t="n">
        <v>0.03</v>
      </c>
      <c r="F54" s="146" t="n">
        <v>89.98999999999999</v>
      </c>
      <c r="G54" s="126">
        <f>E54*F54</f>
        <v/>
      </c>
      <c r="H54" s="223">
        <f>G54/$G$59</f>
        <v/>
      </c>
      <c r="I54" s="141">
        <f>ROUND(F54*Прил.10!$D$11,2)</f>
        <v/>
      </c>
      <c r="J54" s="141">
        <f>ROUND(I54*E54,2)</f>
        <v/>
      </c>
      <c r="L54" s="70" t="n"/>
    </row>
    <row r="55" outlineLevel="1" ht="25.5" customFormat="1" customHeight="1" s="188">
      <c r="A55" s="219" t="n">
        <v>38</v>
      </c>
      <c r="B55" s="160" t="n">
        <v>400051</v>
      </c>
      <c r="C55" s="139" t="inlineStr">
        <is>
          <t>Автомобиль-самосвал, грузоподъемность до 7 т</t>
        </is>
      </c>
      <c r="D55" s="160" t="inlineStr">
        <is>
          <t>маш.час</t>
        </is>
      </c>
      <c r="E55" s="160" t="n">
        <v>0.01</v>
      </c>
      <c r="F55" s="146" t="n">
        <v>111</v>
      </c>
      <c r="G55" s="126">
        <f>E55*F55</f>
        <v/>
      </c>
      <c r="H55" s="223">
        <f>G55/$G$59</f>
        <v/>
      </c>
      <c r="I55" s="141">
        <f>ROUND(F55*Прил.10!$D$11,2)</f>
        <v/>
      </c>
      <c r="J55" s="141">
        <f>ROUND(I55*E55,2)</f>
        <v/>
      </c>
      <c r="L55" s="70" t="n"/>
    </row>
    <row r="56" outlineLevel="1" ht="14.25" customFormat="1" customHeight="1" s="188">
      <c r="A56" s="219" t="n">
        <v>39</v>
      </c>
      <c r="B56" s="160" t="n">
        <v>111301</v>
      </c>
      <c r="C56" s="139" t="inlineStr">
        <is>
          <t>Вибратор поверхностный</t>
        </is>
      </c>
      <c r="D56" s="160" t="inlineStr">
        <is>
          <t>маш.час</t>
        </is>
      </c>
      <c r="E56" s="160" t="n">
        <v>1.44</v>
      </c>
      <c r="F56" s="146" t="n">
        <v>0.5</v>
      </c>
      <c r="G56" s="126">
        <f>E56*F56</f>
        <v/>
      </c>
      <c r="H56" s="223">
        <f>G56/$G$59</f>
        <v/>
      </c>
      <c r="I56" s="141">
        <f>ROUND(F56*Прил.10!$D$11,2)</f>
        <v/>
      </c>
      <c r="J56" s="141">
        <f>ROUND(I56*E56,2)</f>
        <v/>
      </c>
      <c r="L56" s="70" t="n"/>
    </row>
    <row r="57" outlineLevel="1" ht="25.5" customFormat="1" customHeight="1" s="188">
      <c r="A57" s="219" t="n">
        <v>40</v>
      </c>
      <c r="B57" s="160" t="n">
        <v>30401</v>
      </c>
      <c r="C57" s="139" t="inlineStr">
        <is>
          <t>Лебедки электрические тяговым усилием до 5,79 кН (0,59 т)</t>
        </is>
      </c>
      <c r="D57" s="160" t="inlineStr">
        <is>
          <t>маш.час</t>
        </is>
      </c>
      <c r="E57" s="160" t="n">
        <v>0.03</v>
      </c>
      <c r="F57" s="146" t="n">
        <v>1.7</v>
      </c>
      <c r="G57" s="126">
        <f>E57*F57</f>
        <v/>
      </c>
      <c r="H57" s="223">
        <f>G57/$G$59</f>
        <v/>
      </c>
      <c r="I57" s="141">
        <f>ROUND(F57*Прил.10!$D$11,2)</f>
        <v/>
      </c>
      <c r="J57" s="141">
        <f>ROUND(I57*E57,2)</f>
        <v/>
      </c>
      <c r="L57" s="70" t="n"/>
    </row>
    <row r="58" ht="14.25" customFormat="1" customHeight="1" s="188">
      <c r="A58" s="219" t="n"/>
      <c r="B58" s="219" t="n"/>
      <c r="C58" s="218" t="inlineStr">
        <is>
          <t>Итого прочие машины и механизмы</t>
        </is>
      </c>
      <c r="D58" s="219" t="n"/>
      <c r="E58" s="220" t="n"/>
      <c r="F58" s="141" t="n"/>
      <c r="G58" s="141">
        <f>SUM(G29:G57)</f>
        <v/>
      </c>
      <c r="H58" s="223">
        <f>G58/G59</f>
        <v/>
      </c>
      <c r="I58" s="141" t="n"/>
      <c r="J58" s="141">
        <f>SUM(J29:J57)</f>
        <v/>
      </c>
      <c r="K58" s="70" t="n"/>
      <c r="L58" s="70" t="n"/>
    </row>
    <row r="59" ht="25.5" customFormat="1" customHeight="1" s="188">
      <c r="A59" s="219" t="n"/>
      <c r="B59" s="231" t="n"/>
      <c r="C59" s="147" t="inlineStr">
        <is>
          <t>Итого по разделу «Машины и механизмы»</t>
        </is>
      </c>
      <c r="D59" s="231" t="n"/>
      <c r="E59" s="148" t="n"/>
      <c r="F59" s="149" t="n"/>
      <c r="G59" s="149">
        <f>G28+G58</f>
        <v/>
      </c>
      <c r="H59" s="150" t="n">
        <v>1</v>
      </c>
      <c r="I59" s="149" t="n"/>
      <c r="J59" s="149">
        <f>J28+J58</f>
        <v/>
      </c>
    </row>
    <row r="60" s="116">
      <c r="A60" s="228" t="n"/>
      <c r="B60" s="213" t="inlineStr">
        <is>
          <t xml:space="preserve">Оборудование </t>
        </is>
      </c>
      <c r="C60" s="244" t="n"/>
      <c r="D60" s="244" t="n"/>
      <c r="E60" s="244" t="n"/>
      <c r="F60" s="244" t="n"/>
      <c r="G60" s="244" t="n"/>
      <c r="H60" s="244" t="n"/>
      <c r="I60" s="244" t="n"/>
      <c r="J60" s="245" t="n"/>
      <c r="K60" s="188" t="n"/>
      <c r="L60" s="188" t="n"/>
      <c r="M60" s="188" t="n"/>
      <c r="N60" s="188" t="n"/>
    </row>
    <row r="61" ht="15" customHeight="1" s="116">
      <c r="A61" s="219" t="n"/>
      <c r="B61" s="224" t="inlineStr">
        <is>
          <t>Основное оборудование</t>
        </is>
      </c>
      <c r="K61" s="188" t="n"/>
      <c r="L61" s="188" t="n"/>
      <c r="M61" s="188" t="n"/>
      <c r="N61" s="188" t="n"/>
    </row>
    <row r="62" ht="38.25" customHeight="1" s="116">
      <c r="A62" s="219" t="n">
        <v>41</v>
      </c>
      <c r="B62" s="160" t="inlineStr">
        <is>
          <t>БЦ.61.708</t>
        </is>
      </c>
      <c r="C62" s="218" t="inlineStr">
        <is>
          <t>Разъединитель трехполюсный с двумя комплектами заз ножей 110 кВ, 2500 А ном, 40 кА.</t>
        </is>
      </c>
      <c r="D62" s="219" t="inlineStr">
        <is>
          <t>шт</t>
        </is>
      </c>
      <c r="E62" s="219" t="n">
        <v>14</v>
      </c>
      <c r="F62" s="141">
        <f>ROUND(I62/Прил.10!$D$13,2)</f>
        <v/>
      </c>
      <c r="G62" s="126">
        <f>E62*F62</f>
        <v/>
      </c>
      <c r="H62" s="223">
        <f>G62/$G$72</f>
        <v/>
      </c>
      <c r="I62" s="141" t="n">
        <v>2820000</v>
      </c>
      <c r="J62" s="141">
        <f>ROUND(I62*E62,2)</f>
        <v/>
      </c>
      <c r="K62" s="188" t="n"/>
      <c r="L62" s="188" t="n"/>
      <c r="M62" s="188" t="n"/>
      <c r="N62" s="188" t="n"/>
    </row>
    <row r="63" ht="38.25" customHeight="1" s="116">
      <c r="A63" s="219" t="n">
        <v>42</v>
      </c>
      <c r="B63" s="160" t="inlineStr">
        <is>
          <t>БЦ.14.239</t>
        </is>
      </c>
      <c r="C63" s="218" t="inlineStr">
        <is>
          <t>Трансформатор тока 110кВ, 2500 А, 40 кА</t>
        </is>
      </c>
      <c r="D63" s="219" t="inlineStr">
        <is>
          <t>шт</t>
        </is>
      </c>
      <c r="E63" s="219" t="n">
        <v>33</v>
      </c>
      <c r="F63" s="141">
        <f>ROUND(I63/Прил.10!$D$13,2)</f>
        <v/>
      </c>
      <c r="G63" s="126">
        <f>E63*F63</f>
        <v/>
      </c>
      <c r="H63" s="223">
        <f>G63/$G$72</f>
        <v/>
      </c>
      <c r="I63" s="141" t="n">
        <v>1057770</v>
      </c>
      <c r="J63" s="141">
        <f>ROUND(I63*E63,2)</f>
        <v/>
      </c>
      <c r="K63" s="188" t="n"/>
      <c r="L63" s="188" t="n"/>
      <c r="M63" s="188" t="n"/>
      <c r="N63" s="188" t="n"/>
    </row>
    <row r="64" ht="38.25" customHeight="1" s="116">
      <c r="A64" s="219" t="n">
        <v>43</v>
      </c>
      <c r="B64" s="160" t="inlineStr">
        <is>
          <t>БЦ.1.114</t>
        </is>
      </c>
      <c r="C64" s="153" t="inlineStr">
        <is>
          <t>Выключатель элегазовый трёхполюсный , колонковый 110 кВ, 2500 А, 40 кА</t>
        </is>
      </c>
      <c r="D64" s="219" t="inlineStr">
        <is>
          <t>компл.</t>
        </is>
      </c>
      <c r="E64" s="219" t="n">
        <v>8</v>
      </c>
      <c r="F64" s="141">
        <f>ROUND(I64/Прил.10!$D$13,2)</f>
        <v/>
      </c>
      <c r="G64" s="126">
        <f>E64*F64</f>
        <v/>
      </c>
      <c r="H64" s="223">
        <f>G64/$G$72</f>
        <v/>
      </c>
      <c r="I64" s="141" t="n">
        <v>4933207.55</v>
      </c>
      <c r="J64" s="141">
        <f>ROUND(I64*E64,2)</f>
        <v/>
      </c>
      <c r="K64" s="188" t="n"/>
      <c r="L64" s="188" t="n"/>
      <c r="M64" s="188" t="n"/>
      <c r="N64" s="188" t="n"/>
    </row>
    <row r="65" ht="38.25" customHeight="1" s="116">
      <c r="A65" s="219" t="n">
        <v>44</v>
      </c>
      <c r="B65" s="160" t="inlineStr">
        <is>
          <t>БЦ.63.708</t>
        </is>
      </c>
      <c r="C65" s="153" t="inlineStr">
        <is>
          <t>Разъединитель трехполюсный с одним комплектом заз ножей 110 кВ, 2500 А ном, 40 кА.</t>
        </is>
      </c>
      <c r="D65" s="219" t="inlineStr">
        <is>
          <t>шт</t>
        </is>
      </c>
      <c r="E65" s="219" t="n">
        <v>8</v>
      </c>
      <c r="F65" s="141">
        <f>ROUND(I65/Прил.10!$D$13,2)</f>
        <v/>
      </c>
      <c r="G65" s="126">
        <f>E65*F65</f>
        <v/>
      </c>
      <c r="H65" s="223">
        <f>G65/$G$72</f>
        <v/>
      </c>
      <c r="I65" s="141" t="n">
        <v>2540000</v>
      </c>
      <c r="J65" s="141">
        <f>ROUND(I65*E65,2)</f>
        <v/>
      </c>
      <c r="K65" s="188" t="n"/>
      <c r="L65" s="188" t="n"/>
      <c r="M65" s="188" t="n"/>
      <c r="N65" s="188" t="n"/>
    </row>
    <row r="66" ht="38.25" customHeight="1" s="116">
      <c r="A66" s="219" t="n">
        <v>45</v>
      </c>
      <c r="B66" s="160" t="inlineStr">
        <is>
          <t>БЦ.1.114</t>
        </is>
      </c>
      <c r="C66" s="153" t="inlineStr">
        <is>
          <t>Выключатель элегазовый трёхполюсный , колонковый 110 кВ, 110 кВ, 2500 А, 40 кА</t>
        </is>
      </c>
      <c r="D66" s="219" t="inlineStr">
        <is>
          <t>компл</t>
        </is>
      </c>
      <c r="E66" s="219" t="n">
        <v>3</v>
      </c>
      <c r="F66" s="141">
        <f>ROUND(I66/Прил.10!$D$13,2)</f>
        <v/>
      </c>
      <c r="G66" s="126">
        <f>E66*F66</f>
        <v/>
      </c>
      <c r="H66" s="223">
        <f>G66/$G$72</f>
        <v/>
      </c>
      <c r="I66" s="141" t="n">
        <v>4933207.55</v>
      </c>
      <c r="J66" s="141">
        <f>ROUND(I66*E66,2)</f>
        <v/>
      </c>
      <c r="K66" s="188" t="n"/>
      <c r="L66" s="188" t="n"/>
      <c r="M66" s="188" t="n"/>
      <c r="N66" s="188" t="n"/>
    </row>
    <row r="67" s="116">
      <c r="A67" s="219" t="n"/>
      <c r="B67" s="219" t="n"/>
      <c r="C67" s="218" t="inlineStr">
        <is>
          <t>Итого основное оборудование</t>
        </is>
      </c>
      <c r="D67" s="219" t="n"/>
      <c r="E67" s="143" t="n"/>
      <c r="F67" s="141" t="n"/>
      <c r="G67" s="141">
        <f>SUM(G62:G66)</f>
        <v/>
      </c>
      <c r="H67" s="223">
        <f>G67/$G$72</f>
        <v/>
      </c>
      <c r="I67" s="141" t="n"/>
      <c r="J67" s="141">
        <f>SUM(J62:J66)</f>
        <v/>
      </c>
      <c r="K67" s="70" t="n"/>
      <c r="L67" s="188" t="n"/>
      <c r="M67" s="188" t="n"/>
      <c r="N67" s="188" t="n"/>
    </row>
    <row r="68" outlineLevel="1" ht="25.9" customHeight="1" s="116">
      <c r="A68" s="219" t="n">
        <v>46</v>
      </c>
      <c r="B68" s="160" t="inlineStr">
        <is>
          <t>БЦ.16.115</t>
        </is>
      </c>
      <c r="C68" s="218" t="inlineStr">
        <is>
          <t>Трансформатор напряжения однофазный 110кВ, 960 ВА</t>
        </is>
      </c>
      <c r="D68" s="219" t="inlineStr">
        <is>
          <t>шт</t>
        </is>
      </c>
      <c r="E68" s="219" t="n">
        <v>6</v>
      </c>
      <c r="F68" s="141">
        <f>ROUND(I68/Прил.10!$D$13,2)</f>
        <v/>
      </c>
      <c r="G68" s="125">
        <f>E68*F68</f>
        <v/>
      </c>
      <c r="H68" s="223">
        <f>G68/$G$72</f>
        <v/>
      </c>
      <c r="I68" s="141" t="n">
        <v>899871</v>
      </c>
      <c r="J68" s="141">
        <f>ROUND(I68*E68,2)</f>
        <v/>
      </c>
      <c r="K68" s="70" t="n"/>
      <c r="L68" s="188" t="n"/>
      <c r="M68" s="188" t="n"/>
      <c r="N68" s="188" t="n"/>
    </row>
    <row r="69" outlineLevel="1" s="116">
      <c r="A69" s="219" t="n">
        <v>47</v>
      </c>
      <c r="B69" s="160" t="inlineStr">
        <is>
          <t>БЦ.60.48</t>
        </is>
      </c>
      <c r="C69" s="218" t="inlineStr">
        <is>
          <t>Ограничитель напряжения ОПН-110</t>
        </is>
      </c>
      <c r="D69" s="219" t="inlineStr">
        <is>
          <t>шт.</t>
        </is>
      </c>
      <c r="E69" s="219" t="n">
        <v>12</v>
      </c>
      <c r="F69" s="141">
        <f>ROUND(I69/Прил.10!$D$13,2)</f>
        <v/>
      </c>
      <c r="G69" s="125">
        <f>E69*F69</f>
        <v/>
      </c>
      <c r="H69" s="223">
        <f>G69/$G$72</f>
        <v/>
      </c>
      <c r="I69" s="141" t="n">
        <v>45990</v>
      </c>
      <c r="J69" s="141">
        <f>ROUND(I69*E69,2)</f>
        <v/>
      </c>
      <c r="K69" s="70" t="n"/>
      <c r="L69" s="188" t="n"/>
      <c r="M69" s="188" t="n"/>
      <c r="N69" s="188" t="n"/>
    </row>
    <row r="70" outlineLevel="1" ht="38.85" customHeight="1" s="116">
      <c r="A70" s="219" t="n">
        <v>48</v>
      </c>
      <c r="B70" s="160" t="inlineStr">
        <is>
          <t>БЦ.64.94</t>
        </is>
      </c>
      <c r="C70" s="218" t="inlineStr">
        <is>
          <t>Разъединитель одноплюсный с одним комплектом заземляющих ножей 10кВ, 2500 А, 40 кА</t>
        </is>
      </c>
      <c r="D70" s="219" t="inlineStr">
        <is>
          <t>шт</t>
        </is>
      </c>
      <c r="E70" s="219" t="n">
        <v>8</v>
      </c>
      <c r="F70" s="141">
        <f>ROUND(I70/Прил.10!$D$13,2)</f>
        <v/>
      </c>
      <c r="G70" s="125">
        <f>E70*F70</f>
        <v/>
      </c>
      <c r="H70" s="223">
        <f>G70/$G$72</f>
        <v/>
      </c>
      <c r="I70" s="141" t="n">
        <v>89520</v>
      </c>
      <c r="J70" s="141">
        <f>ROUND(I70*E70,2)</f>
        <v/>
      </c>
      <c r="K70" s="70" t="n"/>
      <c r="L70" s="188" t="n"/>
      <c r="M70" s="188" t="n"/>
      <c r="N70" s="188" t="n"/>
    </row>
    <row r="71" s="116">
      <c r="A71" s="219" t="n"/>
      <c r="B71" s="219" t="n"/>
      <c r="C71" s="218" t="inlineStr">
        <is>
          <t>Итого прочее оборудование</t>
        </is>
      </c>
      <c r="D71" s="219" t="n"/>
      <c r="E71" s="220" t="n"/>
      <c r="F71" s="221" t="n"/>
      <c r="G71" s="141">
        <f>SUM(G68:G70)</f>
        <v/>
      </c>
      <c r="H71" s="223">
        <f>G71/$G$72</f>
        <v/>
      </c>
      <c r="I71" s="141" t="n"/>
      <c r="J71" s="141">
        <f>SUM(J68:J70)</f>
        <v/>
      </c>
      <c r="K71" s="70" t="n"/>
      <c r="L71" s="188" t="n"/>
      <c r="M71" s="188" t="n"/>
      <c r="N71" s="188" t="n"/>
    </row>
    <row r="72" s="116">
      <c r="A72" s="219" t="n"/>
      <c r="B72" s="219" t="n"/>
      <c r="C72" s="213" t="inlineStr">
        <is>
          <t>Итого по разделу «Оборудование»</t>
        </is>
      </c>
      <c r="D72" s="219" t="n"/>
      <c r="E72" s="220" t="n"/>
      <c r="F72" s="221" t="n"/>
      <c r="G72" s="141">
        <f>G67+G71</f>
        <v/>
      </c>
      <c r="H72" s="223">
        <f>(G67+G71)/G72</f>
        <v/>
      </c>
      <c r="I72" s="141" t="n"/>
      <c r="J72" s="141">
        <f>J67+J71</f>
        <v/>
      </c>
      <c r="K72" s="70" t="n"/>
      <c r="L72" s="188" t="n"/>
      <c r="M72" s="188" t="n"/>
      <c r="N72" s="188" t="n"/>
    </row>
    <row r="73" ht="25.5" customHeight="1" s="116">
      <c r="A73" s="219" t="n"/>
      <c r="B73" s="219" t="n"/>
      <c r="C73" s="218" t="inlineStr">
        <is>
          <t>в том числе технологическое оборудование</t>
        </is>
      </c>
      <c r="D73" s="219" t="n"/>
      <c r="E73" s="220" t="n"/>
      <c r="F73" s="221" t="n"/>
      <c r="G73" s="141">
        <f>'Прил.6 Расчет ОБ'!G20</f>
        <v/>
      </c>
      <c r="H73" s="223">
        <f>G73/$G$72</f>
        <v/>
      </c>
      <c r="I73" s="141" t="n"/>
      <c r="J73" s="141">
        <f>ROUND(G73*Прил.10!$D$13,2)</f>
        <v/>
      </c>
      <c r="K73" s="70" t="n"/>
      <c r="L73" s="188" t="n"/>
      <c r="M73" s="188" t="n"/>
      <c r="N73" s="188" t="n"/>
    </row>
    <row r="74" ht="14.25" customFormat="1" customHeight="1" s="188">
      <c r="A74" s="219" t="n"/>
      <c r="B74" s="250" t="inlineStr">
        <is>
          <t>Материалы</t>
        </is>
      </c>
      <c r="J74" s="251" t="n"/>
      <c r="K74" s="70" t="n"/>
    </row>
    <row r="75" ht="14.25" customFormat="1" customHeight="1" s="188">
      <c r="A75" s="219" t="n"/>
      <c r="B75" s="218" t="inlineStr">
        <is>
          <t>Основные материалы</t>
        </is>
      </c>
      <c r="C75" s="244" t="n"/>
      <c r="D75" s="244" t="n"/>
      <c r="E75" s="244" t="n"/>
      <c r="F75" s="244" t="n"/>
      <c r="G75" s="244" t="n"/>
      <c r="H75" s="245" t="n"/>
      <c r="I75" s="223" t="n"/>
      <c r="J75" s="223" t="n"/>
    </row>
    <row r="76" ht="25.5" customFormat="1" customHeight="1" s="188">
      <c r="A76" s="219" t="n">
        <v>49</v>
      </c>
      <c r="B76" s="160" t="inlineStr">
        <is>
          <t>05.1.05.16-0040</t>
        </is>
      </c>
      <c r="C76" s="139" t="inlineStr">
        <is>
          <t>Сваи железобетонные С35-1-12-1 (бетон B22,5, расход арматуры 185 кг)</t>
        </is>
      </c>
      <c r="D76" s="160" t="inlineStr">
        <is>
          <t>м3</t>
        </is>
      </c>
      <c r="E76" s="219" t="n">
        <v>509</v>
      </c>
      <c r="F76" s="141" t="n">
        <v>5337.26</v>
      </c>
      <c r="G76" s="126">
        <f>E76*F76</f>
        <v/>
      </c>
      <c r="H76" s="223">
        <f>G76/$G$177</f>
        <v/>
      </c>
      <c r="I76" s="141">
        <f>ROUND(F76*Прил.10!$D$12,2)</f>
        <v/>
      </c>
      <c r="J76" s="141">
        <f>ROUND(I76*E76,2)</f>
        <v/>
      </c>
    </row>
    <row r="77" ht="14.25" customFormat="1" customHeight="1" s="188">
      <c r="A77" s="219">
        <f>A76+1</f>
        <v/>
      </c>
      <c r="B77" s="160" t="inlineStr">
        <is>
          <t>22.2.02.07-0003</t>
        </is>
      </c>
      <c r="C77" s="139" t="inlineStr">
        <is>
          <t>Конструкции стальные порталов ОРУ</t>
        </is>
      </c>
      <c r="D77" s="160" t="inlineStr">
        <is>
          <t>т</t>
        </is>
      </c>
      <c r="E77" s="219" t="n">
        <v>55.5453</v>
      </c>
      <c r="F77" s="141" t="n">
        <v>12500</v>
      </c>
      <c r="G77" s="126">
        <f>E77*F77</f>
        <v/>
      </c>
      <c r="H77" s="223">
        <f>G77/$G$177</f>
        <v/>
      </c>
      <c r="I77" s="141">
        <f>ROUND(F77*Прил.10!$D$12,2)</f>
        <v/>
      </c>
      <c r="J77" s="141">
        <f>ROUND(I77*E77,2)</f>
        <v/>
      </c>
    </row>
    <row r="78" ht="38.25" customFormat="1" customHeight="1" s="188">
      <c r="A78" s="219">
        <f>A77+1</f>
        <v/>
      </c>
      <c r="B78" s="160" t="inlineStr">
        <is>
          <t>04.1.02.05-0063</t>
        </is>
      </c>
      <c r="C78" s="139" t="inlineStr">
        <is>
          <t>Смеси бетонные тяжелого бетона (БСТ), крупность заполнителя 40 мм, класс В25 (М350)</t>
        </is>
      </c>
      <c r="D78" s="160" t="inlineStr">
        <is>
          <t>м3</t>
        </is>
      </c>
      <c r="E78" s="219" t="n">
        <v>509</v>
      </c>
      <c r="F78" s="141" t="n">
        <v>700</v>
      </c>
      <c r="G78" s="126">
        <f>E78*F78</f>
        <v/>
      </c>
      <c r="H78" s="223">
        <f>G78/$G$177</f>
        <v/>
      </c>
      <c r="I78" s="141">
        <f>ROUND(F78*Прил.10!$D$12,2)</f>
        <v/>
      </c>
      <c r="J78" s="141">
        <f>ROUND(I78*E78,2)</f>
        <v/>
      </c>
    </row>
    <row r="79" ht="25.5" customFormat="1" customHeight="1" s="188">
      <c r="A79" s="219">
        <f>A78+1</f>
        <v/>
      </c>
      <c r="B79" s="160" t="inlineStr">
        <is>
          <t>22.2.02.07-0004</t>
        </is>
      </c>
      <c r="C79" s="139" t="inlineStr">
        <is>
          <t>Конструкции стальные прожекторных мачт ОРУ</t>
        </is>
      </c>
      <c r="D79" s="160" t="inlineStr">
        <is>
          <t>т</t>
        </is>
      </c>
      <c r="E79" s="219" t="n">
        <v>23.92</v>
      </c>
      <c r="F79" s="141" t="n">
        <v>12500</v>
      </c>
      <c r="G79" s="126">
        <f>E79*F79</f>
        <v/>
      </c>
      <c r="H79" s="223">
        <f>G79/$G$177</f>
        <v/>
      </c>
      <c r="I79" s="141">
        <f>ROUND(F79*Прил.10!$D$12,2)</f>
        <v/>
      </c>
      <c r="J79" s="141">
        <f>ROUND(I79*E79,2)</f>
        <v/>
      </c>
    </row>
    <row r="80" ht="14.25" customFormat="1" customHeight="1" s="188">
      <c r="A80" s="219">
        <f>A79+1</f>
        <v/>
      </c>
      <c r="B80" s="160" t="inlineStr">
        <is>
          <t>22.2.01.07-0001</t>
        </is>
      </c>
      <c r="C80" s="139" t="inlineStr">
        <is>
          <t>Опора шинная ШО-110.II-УХЛ1</t>
        </is>
      </c>
      <c r="D80" s="160" t="inlineStr">
        <is>
          <t>шт</t>
        </is>
      </c>
      <c r="E80" s="219" t="n">
        <v>36</v>
      </c>
      <c r="F80" s="141" t="n">
        <v>5240.6</v>
      </c>
      <c r="G80" s="126">
        <f>E80*F80</f>
        <v/>
      </c>
      <c r="H80" s="223">
        <f>G80/$G$177</f>
        <v/>
      </c>
      <c r="I80" s="141">
        <f>ROUND(F80*Прил.10!$D$12,2)</f>
        <v/>
      </c>
      <c r="J80" s="141">
        <f>ROUND(I80*E80,2)</f>
        <v/>
      </c>
    </row>
    <row r="81" ht="25.5" customFormat="1" customHeight="1" s="188">
      <c r="A81" s="219">
        <f>A80+1</f>
        <v/>
      </c>
      <c r="B81" s="160" t="inlineStr">
        <is>
          <t>21.2.01.02-0094</t>
        </is>
      </c>
      <c r="C81" s="139" t="inlineStr">
        <is>
          <t>Провод неизолированный для воздушных линий электропередачи АС 300/39</t>
        </is>
      </c>
      <c r="D81" s="160" t="inlineStr">
        <is>
          <t>т</t>
        </is>
      </c>
      <c r="E81" s="219" t="n">
        <v>4.90722</v>
      </c>
      <c r="F81" s="141" t="n">
        <v>32758.86</v>
      </c>
      <c r="G81" s="126">
        <f>E81*F81</f>
        <v/>
      </c>
      <c r="H81" s="223">
        <f>G81/$G$177</f>
        <v/>
      </c>
      <c r="I81" s="141">
        <f>ROUND(F81*Прил.10!$D$12,2)</f>
        <v/>
      </c>
      <c r="J81" s="141">
        <f>ROUND(I81*E81,2)</f>
        <v/>
      </c>
    </row>
    <row r="82" ht="14.25" customFormat="1" customHeight="1" s="188">
      <c r="A82" s="219">
        <f>A81+1</f>
        <v/>
      </c>
      <c r="B82" s="160" t="inlineStr">
        <is>
          <t>01.4.01.10-0016</t>
        </is>
      </c>
      <c r="C82" s="139" t="inlineStr">
        <is>
          <t>Шнек, диаметр 135 мм</t>
        </is>
      </c>
      <c r="D82" s="160" t="inlineStr">
        <is>
          <t>шт</t>
        </is>
      </c>
      <c r="E82" s="219" t="n">
        <v>254.89</v>
      </c>
      <c r="F82" s="141" t="n">
        <v>597</v>
      </c>
      <c r="G82" s="126">
        <f>E82*F82</f>
        <v/>
      </c>
      <c r="H82" s="223">
        <f>G82/$G$177</f>
        <v/>
      </c>
      <c r="I82" s="141">
        <f>ROUND(F82*Прил.10!$D$12,2)</f>
        <v/>
      </c>
      <c r="J82" s="141">
        <f>ROUND(I82*E82,2)</f>
        <v/>
      </c>
    </row>
    <row r="83" ht="25.5" customFormat="1" customHeight="1" s="188">
      <c r="A83" s="219">
        <f>A82+1</f>
        <v/>
      </c>
      <c r="B83" s="220" t="inlineStr">
        <is>
          <t>20.2.04.04-0052</t>
        </is>
      </c>
      <c r="C83" s="218" t="inlineStr">
        <is>
          <t>Короб электротехнический стальной: КП-0,1/0,2-2У1</t>
        </is>
      </c>
      <c r="D83" s="219" t="inlineStr">
        <is>
          <t>шт</t>
        </is>
      </c>
      <c r="E83" s="159" t="n">
        <v>330</v>
      </c>
      <c r="F83" s="141" t="n">
        <v>317.02</v>
      </c>
      <c r="G83" s="126">
        <f>E83*F83</f>
        <v/>
      </c>
      <c r="H83" s="223">
        <f>G83/$G$177</f>
        <v/>
      </c>
      <c r="I83" s="141">
        <f>ROUND(F83*Прил.10!$D$12,2)</f>
        <v/>
      </c>
      <c r="J83" s="141">
        <f>ROUND(I83*E83,2)</f>
        <v/>
      </c>
    </row>
    <row r="84" ht="14.25" customFormat="1" customHeight="1" s="188">
      <c r="A84" s="219" t="n"/>
      <c r="B84" s="219" t="n"/>
      <c r="C84" s="218" t="inlineStr">
        <is>
          <t>Итого основные материалы</t>
        </is>
      </c>
      <c r="D84" s="219" t="n"/>
      <c r="E84" s="143" t="n"/>
      <c r="F84" s="141" t="n"/>
      <c r="G84" s="141">
        <f>SUM(G76:G83)</f>
        <v/>
      </c>
      <c r="H84" s="223">
        <f>G84/$G$177</f>
        <v/>
      </c>
      <c r="I84" s="141" t="n"/>
      <c r="J84" s="141">
        <f>SUM(J76:J83)</f>
        <v/>
      </c>
      <c r="K84" s="70" t="n"/>
    </row>
    <row r="85" outlineLevel="1" ht="14.25" customFormat="1" customHeight="1" s="188">
      <c r="A85" s="219" t="n">
        <v>57</v>
      </c>
      <c r="B85" s="160" t="inlineStr">
        <is>
          <t>110-0178</t>
        </is>
      </c>
      <c r="C85" s="139" t="inlineStr">
        <is>
          <t>Ростверки стальные массой до 0,2т</t>
        </is>
      </c>
      <c r="D85" s="160" t="inlineStr">
        <is>
          <t>т</t>
        </is>
      </c>
      <c r="E85" s="160" t="n">
        <v>13</v>
      </c>
      <c r="F85" s="141" t="n">
        <v>8200</v>
      </c>
      <c r="G85" s="126">
        <f>Прил.3!H83</f>
        <v/>
      </c>
      <c r="H85" s="223">
        <f>G85/$G$177</f>
        <v/>
      </c>
      <c r="I85" s="141">
        <f>ROUND(F85*Прил.10!$D$12,2)</f>
        <v/>
      </c>
      <c r="J85" s="141">
        <f>ROUND(I85*E85,2)</f>
        <v/>
      </c>
    </row>
    <row r="86" outlineLevel="1" ht="51" customFormat="1" customHeight="1" s="188">
      <c r="A86" s="219" t="n">
        <v>58</v>
      </c>
      <c r="B86" s="160" t="inlineStr">
        <is>
          <t>201-0599</t>
        </is>
      </c>
      <c r="C86" s="139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6" s="160" t="inlineStr">
        <is>
          <t>т</t>
        </is>
      </c>
      <c r="E86" s="160" t="n">
        <v>6.522681</v>
      </c>
      <c r="F86" s="141" t="n">
        <v>11879.77</v>
      </c>
      <c r="G86" s="126">
        <f>E86*F86</f>
        <v/>
      </c>
      <c r="H86" s="223">
        <f>G86/$G$177</f>
        <v/>
      </c>
      <c r="I86" s="141">
        <f>ROUND(F86*Прил.10!$D$12,2)</f>
        <v/>
      </c>
      <c r="J86" s="141">
        <f>ROUND(I86*E86,2)</f>
        <v/>
      </c>
    </row>
    <row r="87" outlineLevel="1" ht="51" customFormat="1" customHeight="1" s="188">
      <c r="A87" s="219" t="n">
        <v>59</v>
      </c>
      <c r="B87" s="160" t="inlineStr">
        <is>
          <t>509-0458</t>
        </is>
      </c>
      <c r="C87" s="139" t="inlineStr">
        <is>
          <t>Зажимы натяжные болтовые НБН алюминиевые для крепления многопроволочных проводов сечением 95-120 мм2</t>
        </is>
      </c>
      <c r="D87" s="160" t="inlineStr">
        <is>
          <t>шт.</t>
        </is>
      </c>
      <c r="E87" s="160" t="n">
        <v>192</v>
      </c>
      <c r="F87" s="141" t="n">
        <v>389.85</v>
      </c>
      <c r="G87" s="126">
        <f>E87*F87</f>
        <v/>
      </c>
      <c r="H87" s="223">
        <f>G87/$G$177</f>
        <v/>
      </c>
      <c r="I87" s="141">
        <f>ROUND(F87*Прил.10!$D$12,2)</f>
        <v/>
      </c>
      <c r="J87" s="141">
        <f>ROUND(I87*E87,2)</f>
        <v/>
      </c>
    </row>
    <row r="88" outlineLevel="1" ht="14.25" customFormat="1" customHeight="1" s="188">
      <c r="A88" s="219" t="n">
        <v>60</v>
      </c>
      <c r="B88" s="160" t="inlineStr">
        <is>
          <t>111-0179</t>
        </is>
      </c>
      <c r="C88" s="139" t="inlineStr">
        <is>
          <t>Изоляторы</t>
        </is>
      </c>
      <c r="D88" s="160" t="inlineStr">
        <is>
          <t>шт.</t>
        </is>
      </c>
      <c r="E88" s="160" t="n">
        <v>1325</v>
      </c>
      <c r="F88" s="141" t="n">
        <v>51.5</v>
      </c>
      <c r="G88" s="126">
        <f>E88*F88</f>
        <v/>
      </c>
      <c r="H88" s="223">
        <f>G88/$G$177</f>
        <v/>
      </c>
      <c r="I88" s="141">
        <f>ROUND(F88*Прил.10!$D$12,2)</f>
        <v/>
      </c>
      <c r="J88" s="141">
        <f>ROUND(I88*E88,2)</f>
        <v/>
      </c>
    </row>
    <row r="89" outlineLevel="1" ht="25.5" customFormat="1" customHeight="1" s="188">
      <c r="A89" s="219" t="n">
        <v>61</v>
      </c>
      <c r="B89" s="160" t="inlineStr">
        <is>
          <t>110-0256</t>
        </is>
      </c>
      <c r="C89" s="139" t="inlineStr">
        <is>
          <t>Конструкции стальные отдельностоящих молниеотводов ОРУ</t>
        </is>
      </c>
      <c r="D89" s="160" t="inlineStr">
        <is>
          <t>т</t>
        </is>
      </c>
      <c r="E89" s="160" t="n">
        <v>5.67</v>
      </c>
      <c r="F89" s="141" t="n">
        <v>9800</v>
      </c>
      <c r="G89" s="126">
        <f>E89*F89</f>
        <v/>
      </c>
      <c r="H89" s="223">
        <f>G89/$G$177</f>
        <v/>
      </c>
      <c r="I89" s="141">
        <f>ROUND(F89*Прил.10!$D$12,2)</f>
        <v/>
      </c>
      <c r="J89" s="141">
        <f>ROUND(I89*E89,2)</f>
        <v/>
      </c>
    </row>
    <row r="90" outlineLevel="1" ht="14.25" customFormat="1" customHeight="1" s="188">
      <c r="A90" s="219" t="n">
        <v>62</v>
      </c>
      <c r="B90" s="160" t="inlineStr">
        <is>
          <t>101-1723</t>
        </is>
      </c>
      <c r="C90" s="139" t="inlineStr">
        <is>
          <t>Звено соединительное 28 мм</t>
        </is>
      </c>
      <c r="D90" s="160" t="inlineStr">
        <is>
          <t>шт.</t>
        </is>
      </c>
      <c r="E90" s="160" t="n">
        <v>192</v>
      </c>
      <c r="F90" s="141" t="n">
        <v>248.78</v>
      </c>
      <c r="G90" s="126">
        <f>E90*F90</f>
        <v/>
      </c>
      <c r="H90" s="223">
        <f>G90/$G$177</f>
        <v/>
      </c>
      <c r="I90" s="141">
        <f>ROUND(F90*Прил.10!$D$12,2)</f>
        <v/>
      </c>
      <c r="J90" s="141">
        <f>ROUND(I90*E90,2)</f>
        <v/>
      </c>
    </row>
    <row r="91" outlineLevel="1" ht="25.5" customFormat="1" customHeight="1" s="188">
      <c r="A91" s="219" t="n">
        <v>63</v>
      </c>
      <c r="B91" s="160" t="inlineStr">
        <is>
          <t>10.1.02.03-0001</t>
        </is>
      </c>
      <c r="C91" s="139" t="inlineStr">
        <is>
          <t>Проволока алюминиевая (АМЦ) диаметром 1,4-1,8 мм</t>
        </is>
      </c>
      <c r="D91" s="160" t="inlineStr">
        <is>
          <t>т</t>
        </is>
      </c>
      <c r="E91" s="160" t="n">
        <v>1.473</v>
      </c>
      <c r="F91" s="141" t="n">
        <v>30090</v>
      </c>
      <c r="G91" s="126">
        <f>E91*F91</f>
        <v/>
      </c>
      <c r="H91" s="223">
        <f>G91/$G$177</f>
        <v/>
      </c>
      <c r="I91" s="141">
        <f>ROUND(F91*Прил.10!$D$12,2)</f>
        <v/>
      </c>
      <c r="J91" s="141">
        <f>ROUND(I91*E91,2)</f>
        <v/>
      </c>
    </row>
    <row r="92" outlineLevel="1" ht="14.25" customFormat="1" customHeight="1" s="188">
      <c r="A92" s="219" t="n">
        <v>64</v>
      </c>
      <c r="B92" s="160" t="inlineStr">
        <is>
          <t>509-0417</t>
        </is>
      </c>
      <c r="C92" s="139" t="inlineStr">
        <is>
          <t>Зажим фиксирующий 049-5 (КС-329)</t>
        </is>
      </c>
      <c r="D92" s="160" t="inlineStr">
        <is>
          <t>шт.</t>
        </is>
      </c>
      <c r="E92" s="160" t="n">
        <v>476</v>
      </c>
      <c r="F92" s="141" t="n">
        <v>66.68000000000001</v>
      </c>
      <c r="G92" s="126">
        <f>E92*F92</f>
        <v/>
      </c>
      <c r="H92" s="223">
        <f>G92/$G$177</f>
        <v/>
      </c>
      <c r="I92" s="141">
        <f>ROUND(F92*Прил.10!$D$12,2)</f>
        <v/>
      </c>
      <c r="J92" s="141">
        <f>ROUND(I92*E92,2)</f>
        <v/>
      </c>
    </row>
    <row r="93" outlineLevel="1" ht="25.5" customFormat="1" customHeight="1" s="188">
      <c r="A93" s="219" t="n">
        <v>65</v>
      </c>
      <c r="B93" s="160" t="inlineStr">
        <is>
          <t>20.1.01.02-0066</t>
        </is>
      </c>
      <c r="C93" s="218" t="inlineStr">
        <is>
          <t xml:space="preserve">	Зажим аппаратный прессуемый: А4А-300-2</t>
        </is>
      </c>
      <c r="D93" s="219" t="inlineStr">
        <is>
          <t>100 шт.</t>
        </is>
      </c>
      <c r="E93" s="143" t="n">
        <v>3.96</v>
      </c>
      <c r="F93" s="141" t="n">
        <v>6080</v>
      </c>
      <c r="G93" s="126">
        <f>E93*F93</f>
        <v/>
      </c>
      <c r="H93" s="223">
        <f>G93/$G$177</f>
        <v/>
      </c>
      <c r="I93" s="141">
        <f>ROUND(F93*Прил.10!$D$12,2)</f>
        <v/>
      </c>
      <c r="J93" s="141">
        <f>ROUND(I93*E93,2)</f>
        <v/>
      </c>
    </row>
    <row r="94" outlineLevel="1" ht="63.75" customFormat="1" customHeight="1" s="188">
      <c r="A94" s="219" t="n">
        <v>66</v>
      </c>
      <c r="B94" s="160" t="inlineStr">
        <is>
          <t>502-0323</t>
        </is>
      </c>
      <c r="C94" s="13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      </is>
      </c>
      <c r="D94" s="160" t="inlineStr">
        <is>
          <t>т</t>
        </is>
      </c>
      <c r="E94" s="160" t="n">
        <v>0.312273</v>
      </c>
      <c r="F94" s="141" t="n">
        <v>67803.98</v>
      </c>
      <c r="G94" s="126">
        <f>E94*F94</f>
        <v/>
      </c>
      <c r="H94" s="223">
        <f>G94/$G$177</f>
        <v/>
      </c>
      <c r="I94" s="141">
        <f>ROUND(F94*Прил.10!$D$12,2)</f>
        <v/>
      </c>
      <c r="J94" s="141">
        <f>ROUND(I94*E94,2)</f>
        <v/>
      </c>
    </row>
    <row r="95" outlineLevel="1" ht="14.25" customFormat="1" customHeight="1" s="188">
      <c r="A95" s="219" t="n">
        <v>67</v>
      </c>
      <c r="B95" s="160" t="inlineStr">
        <is>
          <t>113-0442</t>
        </is>
      </c>
      <c r="C95" s="139" t="inlineStr">
        <is>
          <t>Краска "Цинол"</t>
        </is>
      </c>
      <c r="D95" s="160" t="inlineStr">
        <is>
          <t>кг</t>
        </is>
      </c>
      <c r="E95" s="160" t="n">
        <v>82</v>
      </c>
      <c r="F95" s="141" t="n">
        <v>238.48</v>
      </c>
      <c r="G95" s="126">
        <f>E95*F95</f>
        <v/>
      </c>
      <c r="H95" s="223">
        <f>G95/$G$177</f>
        <v/>
      </c>
      <c r="I95" s="141">
        <f>ROUND(F95*Прил.10!$D$12,2)</f>
        <v/>
      </c>
      <c r="J95" s="141">
        <f>ROUND(I95*E95,2)</f>
        <v/>
      </c>
    </row>
    <row r="96" outlineLevel="1" ht="14.25" customFormat="1" customHeight="1" s="188">
      <c r="A96" s="219" t="n">
        <v>68</v>
      </c>
      <c r="B96" s="160" t="inlineStr">
        <is>
          <t>509-0127</t>
        </is>
      </c>
      <c r="C96" s="139" t="inlineStr">
        <is>
          <t>Ушко двухлапчатое У2-12-16</t>
        </is>
      </c>
      <c r="D96" s="160" t="inlineStr">
        <is>
          <t>шт.</t>
        </is>
      </c>
      <c r="E96" s="160" t="n">
        <v>87</v>
      </c>
      <c r="F96" s="141" t="n">
        <v>194.37</v>
      </c>
      <c r="G96" s="126">
        <f>E96*F96</f>
        <v/>
      </c>
      <c r="H96" s="223">
        <f>G96/$G$177</f>
        <v/>
      </c>
      <c r="I96" s="141">
        <f>ROUND(F96*Прил.10!$D$12,2)</f>
        <v/>
      </c>
      <c r="J96" s="141">
        <f>ROUND(I96*E96,2)</f>
        <v/>
      </c>
    </row>
    <row r="97" outlineLevel="1" ht="63.75" customFormat="1" customHeight="1" s="188">
      <c r="A97" s="219" t="n">
        <v>69</v>
      </c>
      <c r="B97" s="160" t="inlineStr">
        <is>
          <t>201-0764</t>
        </is>
      </c>
      <c r="C97" s="139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97" s="160" t="inlineStr">
        <is>
          <t>т</t>
        </is>
      </c>
      <c r="E97" s="160" t="n">
        <v>1.545</v>
      </c>
      <c r="F97" s="141" t="n">
        <v>10508</v>
      </c>
      <c r="G97" s="126">
        <f>E97*F97</f>
        <v/>
      </c>
      <c r="H97" s="223">
        <f>G97/$G$177</f>
        <v/>
      </c>
      <c r="I97" s="141">
        <f>ROUND(F97*Прил.10!$D$12,2)</f>
        <v/>
      </c>
      <c r="J97" s="141">
        <f>ROUND(I97*E97,2)</f>
        <v/>
      </c>
    </row>
    <row r="98" outlineLevel="1" ht="14.25" customFormat="1" customHeight="1" s="188">
      <c r="A98" s="219" t="n">
        <v>70</v>
      </c>
      <c r="B98" s="160" t="inlineStr">
        <is>
          <t>509-0067</t>
        </is>
      </c>
      <c r="C98" s="139" t="inlineStr">
        <is>
          <t>Профиль монтажный</t>
        </is>
      </c>
      <c r="D98" s="160" t="inlineStr">
        <is>
          <t>шт.</t>
        </is>
      </c>
      <c r="E98" s="160" t="n">
        <v>221</v>
      </c>
      <c r="F98" s="141" t="n">
        <v>66.81999999999999</v>
      </c>
      <c r="G98" s="126">
        <f>E98*F98</f>
        <v/>
      </c>
      <c r="H98" s="223">
        <f>G98/$G$177</f>
        <v/>
      </c>
      <c r="I98" s="141">
        <f>ROUND(F98*Прил.10!$D$12,2)</f>
        <v/>
      </c>
      <c r="J98" s="141">
        <f>ROUND(I98*E98,2)</f>
        <v/>
      </c>
    </row>
    <row r="99" outlineLevel="1" ht="14.25" customFormat="1" customHeight="1" s="188">
      <c r="A99" s="219" t="n">
        <v>71</v>
      </c>
      <c r="B99" s="160" t="inlineStr">
        <is>
          <t>509-0244</t>
        </is>
      </c>
      <c r="C99" s="139" t="inlineStr">
        <is>
          <t>Распорка 125-1</t>
        </is>
      </c>
      <c r="D99" s="160" t="inlineStr">
        <is>
          <t>шт.</t>
        </is>
      </c>
      <c r="E99" s="160" t="n">
        <v>320</v>
      </c>
      <c r="F99" s="141" t="n">
        <v>36.61</v>
      </c>
      <c r="G99" s="126">
        <f>E99*F99</f>
        <v/>
      </c>
      <c r="H99" s="223">
        <f>G99/$G$177</f>
        <v/>
      </c>
      <c r="I99" s="141">
        <f>ROUND(F99*Прил.10!$D$12,2)</f>
        <v/>
      </c>
      <c r="J99" s="141">
        <f>ROUND(I99*E99,2)</f>
        <v/>
      </c>
    </row>
    <row r="100" outlineLevel="1" ht="25.5" customFormat="1" customHeight="1" s="188">
      <c r="A100" s="219" t="n">
        <v>72</v>
      </c>
      <c r="B100" s="160" t="inlineStr">
        <is>
          <t>201-0843</t>
        </is>
      </c>
      <c r="C100" s="139" t="inlineStr">
        <is>
          <t>Конструкции стальные индивидуальные решетчатые сварные массой до 0,1 т</t>
        </is>
      </c>
      <c r="D100" s="160" t="inlineStr">
        <is>
          <t>т</t>
        </is>
      </c>
      <c r="E100" s="160" t="n">
        <v>0.9370000000000001</v>
      </c>
      <c r="F100" s="141" t="n">
        <v>11500</v>
      </c>
      <c r="G100" s="126">
        <f>E100*F100</f>
        <v/>
      </c>
      <c r="H100" s="223">
        <f>G100/$G$177</f>
        <v/>
      </c>
      <c r="I100" s="141">
        <f>ROUND(F100*Прил.10!$D$12,2)</f>
        <v/>
      </c>
      <c r="J100" s="141">
        <f>ROUND(I100*E100,2)</f>
        <v/>
      </c>
    </row>
    <row r="101" outlineLevel="1" ht="14.25" customFormat="1" customHeight="1" s="188">
      <c r="A101" s="219" t="n">
        <v>73</v>
      </c>
      <c r="B101" s="160" t="inlineStr">
        <is>
          <t>101-3721</t>
        </is>
      </c>
      <c r="C101" s="139" t="inlineStr">
        <is>
          <t>сталь полосовая 50х4 мм, марка Ст3сп</t>
        </is>
      </c>
      <c r="D101" s="160" t="inlineStr">
        <is>
          <t>т</t>
        </is>
      </c>
      <c r="E101" s="160" t="n">
        <v>1.37788</v>
      </c>
      <c r="F101" s="141" t="n">
        <v>7396.23</v>
      </c>
      <c r="G101" s="126">
        <f>E101*F101</f>
        <v/>
      </c>
      <c r="H101" s="223">
        <f>G101/$G$177</f>
        <v/>
      </c>
      <c r="I101" s="141">
        <f>ROUND(F101*Прил.10!$D$12,2)</f>
        <v/>
      </c>
      <c r="J101" s="141">
        <f>ROUND(I101*E101,2)</f>
        <v/>
      </c>
    </row>
    <row r="102" outlineLevel="1" ht="51" customFormat="1" customHeight="1" s="188">
      <c r="A102" s="219" t="n">
        <v>74</v>
      </c>
      <c r="B102" s="160" t="inlineStr">
        <is>
          <t>201-0756</t>
        </is>
      </c>
      <c r="C102" s="13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02" s="160" t="inlineStr">
        <is>
          <t>т</t>
        </is>
      </c>
      <c r="E102" s="160" t="n">
        <v>1.298</v>
      </c>
      <c r="F102" s="141" t="n">
        <v>7712</v>
      </c>
      <c r="G102" s="126">
        <f>E102*F102</f>
        <v/>
      </c>
      <c r="H102" s="223">
        <f>G102/$G$177</f>
        <v/>
      </c>
      <c r="I102" s="141">
        <f>ROUND(F102*Прил.10!$D$12,2)</f>
        <v/>
      </c>
      <c r="J102" s="141">
        <f>ROUND(I102*E102,2)</f>
        <v/>
      </c>
    </row>
    <row r="103" outlineLevel="1" ht="25.5" customFormat="1" customHeight="1" s="188">
      <c r="A103" s="219" t="n">
        <v>75</v>
      </c>
      <c r="B103" s="160" t="inlineStr">
        <is>
          <t>401-0049</t>
        </is>
      </c>
      <c r="C103" s="139" t="inlineStr">
        <is>
          <t>Надбавка на W8 для М350 3%           617,83х0,03</t>
        </is>
      </c>
      <c r="D103" s="160" t="inlineStr">
        <is>
          <t>м3</t>
        </is>
      </c>
      <c r="E103" s="160" t="n">
        <v>509</v>
      </c>
      <c r="F103" s="141" t="n">
        <v>18.53</v>
      </c>
      <c r="G103" s="126">
        <f>E103*F103</f>
        <v/>
      </c>
      <c r="H103" s="223">
        <f>G103/$G$177</f>
        <v/>
      </c>
      <c r="I103" s="141">
        <f>ROUND(F103*Прил.10!$D$12,2)</f>
        <v/>
      </c>
      <c r="J103" s="141">
        <f>ROUND(I103*E103,2)</f>
        <v/>
      </c>
    </row>
    <row r="104" outlineLevel="1" ht="14.25" customFormat="1" customHeight="1" s="188">
      <c r="A104" s="219" t="n">
        <v>76</v>
      </c>
      <c r="B104" s="160" t="inlineStr">
        <is>
          <t>509-1060</t>
        </is>
      </c>
      <c r="C104" s="139" t="inlineStr">
        <is>
          <t>Узел крепления фиксатора окрашенный</t>
        </is>
      </c>
      <c r="D104" s="160" t="inlineStr">
        <is>
          <t>шт.</t>
        </is>
      </c>
      <c r="E104" s="160" t="n">
        <v>127</v>
      </c>
      <c r="F104" s="141" t="n">
        <v>56.95</v>
      </c>
      <c r="G104" s="126">
        <f>E104*F104</f>
        <v/>
      </c>
      <c r="H104" s="223">
        <f>G104/$G$177</f>
        <v/>
      </c>
      <c r="I104" s="141">
        <f>ROUND(F104*Прил.10!$D$12,2)</f>
        <v/>
      </c>
      <c r="J104" s="141">
        <f>ROUND(I104*E104,2)</f>
        <v/>
      </c>
    </row>
    <row r="105" outlineLevel="1" ht="25.5" customFormat="1" customHeight="1" s="188">
      <c r="A105" s="219" t="n">
        <v>77</v>
      </c>
      <c r="B105" s="160" t="inlineStr">
        <is>
          <t>509-0221</t>
        </is>
      </c>
      <c r="C105" s="139" t="inlineStr">
        <is>
          <t>Коромысло для анкеровки усиливающих и питающих проводов (КС-122)</t>
        </is>
      </c>
      <c r="D105" s="160" t="inlineStr">
        <is>
          <t>шт.</t>
        </is>
      </c>
      <c r="E105" s="160" t="n">
        <v>87</v>
      </c>
      <c r="F105" s="141" t="n">
        <v>81</v>
      </c>
      <c r="G105" s="126">
        <f>E105*F105</f>
        <v/>
      </c>
      <c r="H105" s="223">
        <f>G105/$G$177</f>
        <v/>
      </c>
      <c r="I105" s="141">
        <f>ROUND(F105*Прил.10!$D$12,2)</f>
        <v/>
      </c>
      <c r="J105" s="141">
        <f>ROUND(I105*E105,2)</f>
        <v/>
      </c>
    </row>
    <row r="106" outlineLevel="1" ht="14.25" customFormat="1" customHeight="1" s="188">
      <c r="A106" s="219" t="n">
        <v>78</v>
      </c>
      <c r="B106" s="160" t="inlineStr">
        <is>
          <t>101-1513</t>
        </is>
      </c>
      <c r="C106" s="139" t="inlineStr">
        <is>
          <t>Электроды диаметром 4 мм Э42</t>
        </is>
      </c>
      <c r="D106" s="160" t="inlineStr">
        <is>
          <t>т</t>
        </is>
      </c>
      <c r="E106" s="160" t="n">
        <v>0.6714</v>
      </c>
      <c r="F106" s="141" t="n">
        <v>10315</v>
      </c>
      <c r="G106" s="126">
        <f>E106*F106</f>
        <v/>
      </c>
      <c r="H106" s="223">
        <f>G106/$G$177</f>
        <v/>
      </c>
      <c r="I106" s="141">
        <f>ROUND(F106*Прил.10!$D$12,2)</f>
        <v/>
      </c>
      <c r="J106" s="141">
        <f>ROUND(I106*E106,2)</f>
        <v/>
      </c>
    </row>
    <row r="107" outlineLevel="1" ht="25.5" customFormat="1" customHeight="1" s="188">
      <c r="A107" s="219" t="n">
        <v>79</v>
      </c>
      <c r="B107" s="160" t="inlineStr">
        <is>
          <t>101-2162</t>
        </is>
      </c>
      <c r="C107" s="139" t="inlineStr">
        <is>
          <t>Рукава металлические диаметром 27 мм РЗ-Ц-Х</t>
        </is>
      </c>
      <c r="D107" s="160" t="inlineStr">
        <is>
          <t>м</t>
        </is>
      </c>
      <c r="E107" s="160" t="n">
        <v>420</v>
      </c>
      <c r="F107" s="141" t="n">
        <v>13.56</v>
      </c>
      <c r="G107" s="126">
        <f>E107*F107</f>
        <v/>
      </c>
      <c r="H107" s="223">
        <f>G107/$G$177</f>
        <v/>
      </c>
      <c r="I107" s="141">
        <f>ROUND(F107*Прил.10!$D$12,2)</f>
        <v/>
      </c>
      <c r="J107" s="141">
        <f>ROUND(I107*E107,2)</f>
        <v/>
      </c>
    </row>
    <row r="108" outlineLevel="1" ht="14.25" customFormat="1" customHeight="1" s="188">
      <c r="A108" s="219" t="n">
        <v>80</v>
      </c>
      <c r="B108" s="160" t="inlineStr">
        <is>
          <t>101-1977</t>
        </is>
      </c>
      <c r="C108" s="139" t="inlineStr">
        <is>
          <t>Болты с гайками и шайбами строительные</t>
        </is>
      </c>
      <c r="D108" s="160" t="inlineStr">
        <is>
          <t>кг</t>
        </is>
      </c>
      <c r="E108" s="160" t="n">
        <v>553.079</v>
      </c>
      <c r="F108" s="141" t="n">
        <v>9.039999999999999</v>
      </c>
      <c r="G108" s="126">
        <f>E108*F108</f>
        <v/>
      </c>
      <c r="H108" s="223">
        <f>G108/$G$177</f>
        <v/>
      </c>
      <c r="I108" s="141">
        <f>ROUND(F108*Прил.10!$D$12,2)</f>
        <v/>
      </c>
      <c r="J108" s="141">
        <f>ROUND(I108*E108,2)</f>
        <v/>
      </c>
    </row>
    <row r="109" outlineLevel="1" ht="14.25" customFormat="1" customHeight="1" s="188">
      <c r="A109" s="219" t="n">
        <v>81</v>
      </c>
      <c r="B109" s="160" t="inlineStr">
        <is>
          <t>101-2355</t>
        </is>
      </c>
      <c r="C109" s="139" t="inlineStr">
        <is>
          <t>Бумага шлифовальная</t>
        </is>
      </c>
      <c r="D109" s="160" t="inlineStr">
        <is>
          <t>кг</t>
        </is>
      </c>
      <c r="E109" s="160" t="n">
        <v>96</v>
      </c>
      <c r="F109" s="141" t="n">
        <v>50</v>
      </c>
      <c r="G109" s="126">
        <f>E109*F109</f>
        <v/>
      </c>
      <c r="H109" s="223">
        <f>G109/$G$177</f>
        <v/>
      </c>
      <c r="I109" s="141">
        <f>ROUND(F109*Прил.10!$D$12,2)</f>
        <v/>
      </c>
      <c r="J109" s="141">
        <f>ROUND(I109*E109,2)</f>
        <v/>
      </c>
    </row>
    <row r="110" outlineLevel="1" ht="25.5" customFormat="1" customHeight="1" s="188">
      <c r="A110" s="219" t="n">
        <v>82</v>
      </c>
      <c r="B110" s="160" t="inlineStr">
        <is>
          <t>201-0650</t>
        </is>
      </c>
      <c r="C110" s="139" t="inlineStr">
        <is>
          <t>Ограждения лестничных проемов, лестничные марши, пожарные лестницы</t>
        </is>
      </c>
      <c r="D110" s="160" t="inlineStr">
        <is>
          <t>т</t>
        </is>
      </c>
      <c r="E110" s="160" t="n">
        <v>0.613777</v>
      </c>
      <c r="F110" s="141" t="n">
        <v>7571</v>
      </c>
      <c r="G110" s="126">
        <f>E110*F110</f>
        <v/>
      </c>
      <c r="H110" s="223">
        <f>G110/$G$177</f>
        <v/>
      </c>
      <c r="I110" s="141">
        <f>ROUND(F110*Прил.10!$D$12,2)</f>
        <v/>
      </c>
      <c r="J110" s="141">
        <f>ROUND(I110*E110,2)</f>
        <v/>
      </c>
    </row>
    <row r="111" outlineLevel="1" ht="25.5" customFormat="1" customHeight="1" s="188">
      <c r="A111" s="219" t="n">
        <v>83</v>
      </c>
      <c r="B111" s="160" t="inlineStr">
        <is>
          <t>101-1755</t>
        </is>
      </c>
      <c r="C111" s="139" t="inlineStr">
        <is>
          <t>сталь полосовая, марка стали Ст3сп шириной 50-200 мм толщиной 4-5 мм</t>
        </is>
      </c>
      <c r="D111" s="160" t="inlineStr">
        <is>
          <t>т</t>
        </is>
      </c>
      <c r="E111" s="160" t="n">
        <v>0.9073</v>
      </c>
      <c r="F111" s="141" t="n">
        <v>5000</v>
      </c>
      <c r="G111" s="126">
        <f>E111*F111</f>
        <v/>
      </c>
      <c r="H111" s="223">
        <f>G111/$G$177</f>
        <v/>
      </c>
      <c r="I111" s="141">
        <f>ROUND(F111*Прил.10!$D$12,2)</f>
        <v/>
      </c>
      <c r="J111" s="141">
        <f>ROUND(I111*E111,2)</f>
        <v/>
      </c>
    </row>
    <row r="112" outlineLevel="1" ht="25.5" customFormat="1" customHeight="1" s="188">
      <c r="A112" s="219" t="n">
        <v>84</v>
      </c>
      <c r="B112" s="160" t="inlineStr">
        <is>
          <t>101-2065</t>
        </is>
      </c>
      <c r="C112" s="139" t="inlineStr">
        <is>
          <t>Болты с гайками и шайбами оцинкованные, диаметр 24 мм</t>
        </is>
      </c>
      <c r="D112" s="160" t="inlineStr">
        <is>
          <t>кг</t>
        </is>
      </c>
      <c r="E112" s="160" t="n">
        <v>150</v>
      </c>
      <c r="F112" s="141" t="n">
        <v>24.79</v>
      </c>
      <c r="G112" s="126">
        <f>E112*F112</f>
        <v/>
      </c>
      <c r="H112" s="223">
        <f>G112/$G$177</f>
        <v/>
      </c>
      <c r="I112" s="141">
        <f>ROUND(F112*Прил.10!$D$12,2)</f>
        <v/>
      </c>
      <c r="J112" s="141">
        <f>ROUND(I112*E112,2)</f>
        <v/>
      </c>
    </row>
    <row r="113" outlineLevel="1" ht="51" customFormat="1" customHeight="1" s="188">
      <c r="A113" s="219" t="n">
        <v>85</v>
      </c>
      <c r="B113" s="160" t="inlineStr">
        <is>
          <t>502-0505</t>
        </is>
      </c>
      <c r="C113" s="139" t="inlineStr">
        <is>
          <t>Провода силовые для электрических установок на напряжение до 450 В с медной жилой марки ПВ1, сечением 25 мм2</t>
        </is>
      </c>
      <c r="D113" s="160" t="inlineStr">
        <is>
          <t>1000 м</t>
        </is>
      </c>
      <c r="E113" s="160" t="n">
        <v>0.1836</v>
      </c>
      <c r="F113" s="141" t="n">
        <v>19363.45</v>
      </c>
      <c r="G113" s="126">
        <f>E113*F113</f>
        <v/>
      </c>
      <c r="H113" s="223">
        <f>G113/$G$177</f>
        <v/>
      </c>
      <c r="I113" s="141">
        <f>ROUND(F113*Прил.10!$D$12,2)</f>
        <v/>
      </c>
      <c r="J113" s="141">
        <f>ROUND(I113*E113,2)</f>
        <v/>
      </c>
    </row>
    <row r="114" outlineLevel="1" ht="14.25" customFormat="1" customHeight="1" s="188">
      <c r="A114" s="219" t="n">
        <v>86</v>
      </c>
      <c r="B114" s="160" t="inlineStr">
        <is>
          <t>101-2143</t>
        </is>
      </c>
      <c r="C114" s="139" t="inlineStr">
        <is>
          <t>Краска</t>
        </is>
      </c>
      <c r="D114" s="160" t="inlineStr">
        <is>
          <t>кг</t>
        </is>
      </c>
      <c r="E114" s="160" t="n">
        <v>117.27</v>
      </c>
      <c r="F114" s="141" t="n">
        <v>28.6</v>
      </c>
      <c r="G114" s="126">
        <f>E114*F114</f>
        <v/>
      </c>
      <c r="H114" s="223">
        <f>G114/$G$177</f>
        <v/>
      </c>
      <c r="I114" s="141">
        <f>ROUND(F114*Прил.10!$D$12,2)</f>
        <v/>
      </c>
      <c r="J114" s="141">
        <f>ROUND(I114*E114,2)</f>
        <v/>
      </c>
    </row>
    <row r="115" outlineLevel="1" ht="14.25" customFormat="1" customHeight="1" s="188">
      <c r="A115" s="219" t="n">
        <v>87</v>
      </c>
      <c r="B115" s="160" t="inlineStr">
        <is>
          <t>14.5.09.11-0101</t>
        </is>
      </c>
      <c r="C115" s="139" t="inlineStr">
        <is>
          <t>Уайт-спирит</t>
        </is>
      </c>
      <c r="D115" s="160" t="inlineStr">
        <is>
          <t>т</t>
        </is>
      </c>
      <c r="E115" s="160" t="n">
        <v>0.483</v>
      </c>
      <c r="F115" s="141" t="n">
        <v>6667</v>
      </c>
      <c r="G115" s="126">
        <f>E115*F115</f>
        <v/>
      </c>
      <c r="H115" s="223">
        <f>G115/$G$177</f>
        <v/>
      </c>
      <c r="I115" s="141">
        <f>ROUND(F115*Прил.10!$D$12,2)</f>
        <v/>
      </c>
      <c r="J115" s="141">
        <f>ROUND(I115*E115,2)</f>
        <v/>
      </c>
    </row>
    <row r="116" outlineLevel="1" ht="14.25" customFormat="1" customHeight="1" s="188">
      <c r="A116" s="219" t="n">
        <v>88</v>
      </c>
      <c r="B116" s="160" t="inlineStr">
        <is>
          <t>503-0544</t>
        </is>
      </c>
      <c r="C116" s="139" t="inlineStr">
        <is>
          <t>Бокс ЩРН-9 навесной (250х350х120)</t>
        </is>
      </c>
      <c r="D116" s="160" t="inlineStr">
        <is>
          <t>шт.</t>
        </is>
      </c>
      <c r="E116" s="160" t="n">
        <v>30</v>
      </c>
      <c r="F116" s="141" t="n">
        <v>92.25</v>
      </c>
      <c r="G116" s="126">
        <f>E116*F116</f>
        <v/>
      </c>
      <c r="H116" s="223">
        <f>G116/$G$177</f>
        <v/>
      </c>
      <c r="I116" s="141">
        <f>ROUND(F116*Прил.10!$D$12,2)</f>
        <v/>
      </c>
      <c r="J116" s="141">
        <f>ROUND(I116*E116,2)</f>
        <v/>
      </c>
    </row>
    <row r="117" outlineLevel="1" ht="25.5" customFormat="1" customHeight="1" s="188">
      <c r="A117" s="219" t="n">
        <v>89</v>
      </c>
      <c r="B117" s="160" t="inlineStr">
        <is>
          <t>113-0561</t>
        </is>
      </c>
      <c r="C117" s="139" t="inlineStr">
        <is>
          <t>Композиция "Алпол" (на основе термопластичных полимеров)</t>
        </is>
      </c>
      <c r="D117" s="160" t="inlineStr">
        <is>
          <t>кг</t>
        </is>
      </c>
      <c r="E117" s="160" t="n">
        <v>39</v>
      </c>
      <c r="F117" s="141" t="n">
        <v>54.99</v>
      </c>
      <c r="G117" s="126">
        <f>E117*F117</f>
        <v/>
      </c>
      <c r="H117" s="223">
        <f>G117/$G$177</f>
        <v/>
      </c>
      <c r="I117" s="141">
        <f>ROUND(F117*Прил.10!$D$12,2)</f>
        <v/>
      </c>
      <c r="J117" s="141">
        <f>ROUND(I117*E117,2)</f>
        <v/>
      </c>
    </row>
    <row r="118" outlineLevel="1" ht="14.25" customFormat="1" customHeight="1" s="188">
      <c r="A118" s="219" t="n">
        <v>90</v>
      </c>
      <c r="B118" s="160" t="inlineStr">
        <is>
          <t>102-8009</t>
        </is>
      </c>
      <c r="C118" s="139" t="inlineStr">
        <is>
          <t>Доски дубовые II сорта</t>
        </is>
      </c>
      <c r="D118" s="160" t="inlineStr">
        <is>
          <t>м3</t>
        </is>
      </c>
      <c r="E118" s="160" t="n">
        <v>1.512</v>
      </c>
      <c r="F118" s="141" t="n">
        <v>1410</v>
      </c>
      <c r="G118" s="126">
        <f>E118*F118</f>
        <v/>
      </c>
      <c r="H118" s="223">
        <f>G118/$G$177</f>
        <v/>
      </c>
      <c r="I118" s="141">
        <f>ROUND(F118*Прил.10!$D$12,2)</f>
        <v/>
      </c>
      <c r="J118" s="141">
        <f>ROUND(I118*E118,2)</f>
        <v/>
      </c>
    </row>
    <row r="119" outlineLevel="1" ht="14.25" customFormat="1" customHeight="1" s="188">
      <c r="A119" s="219" t="n">
        <v>91</v>
      </c>
      <c r="B119" s="160" t="inlineStr">
        <is>
          <t>101-1924</t>
        </is>
      </c>
      <c r="C119" s="139" t="inlineStr">
        <is>
          <t>Электроды диаметром 4 мм Э42А</t>
        </is>
      </c>
      <c r="D119" s="160" t="inlineStr">
        <is>
          <t>кг</t>
        </is>
      </c>
      <c r="E119" s="160" t="n">
        <v>198.5164</v>
      </c>
      <c r="F119" s="141" t="n">
        <v>10.57</v>
      </c>
      <c r="G119" s="126">
        <f>E119*F119</f>
        <v/>
      </c>
      <c r="H119" s="223">
        <f>G119/$G$177</f>
        <v/>
      </c>
      <c r="I119" s="141">
        <f>ROUND(F119*Прил.10!$D$12,2)</f>
        <v/>
      </c>
      <c r="J119" s="141">
        <f>ROUND(I119*E119,2)</f>
        <v/>
      </c>
    </row>
    <row r="120" outlineLevel="1" ht="25.5" customFormat="1" customHeight="1" s="188">
      <c r="A120" s="219" t="n">
        <v>92</v>
      </c>
      <c r="B120" s="160" t="inlineStr">
        <is>
          <t>401-0064</t>
        </is>
      </c>
      <c r="C120" s="139" t="inlineStr">
        <is>
          <t>БЕТОН тяжелый, крупность заполнителя 20 мм, класс В10 (М150)</t>
        </is>
      </c>
      <c r="D120" s="160" t="inlineStr">
        <is>
          <t>м3</t>
        </is>
      </c>
      <c r="E120" s="160" t="n">
        <v>3.06</v>
      </c>
      <c r="F120" s="141" t="n">
        <v>542.24</v>
      </c>
      <c r="G120" s="126">
        <f>E120*F120</f>
        <v/>
      </c>
      <c r="H120" s="223">
        <f>G120/$G$177</f>
        <v/>
      </c>
      <c r="I120" s="141">
        <f>ROUND(F120*Прил.10!$D$12,2)</f>
        <v/>
      </c>
      <c r="J120" s="141">
        <f>ROUND(I120*E120,2)</f>
        <v/>
      </c>
    </row>
    <row r="121" outlineLevel="1" ht="25.5" customFormat="1" customHeight="1" s="188">
      <c r="A121" s="219" t="n">
        <v>93</v>
      </c>
      <c r="B121" s="160" t="inlineStr">
        <is>
          <t>401-0061</t>
        </is>
      </c>
      <c r="C121" s="139" t="inlineStr">
        <is>
          <t>БЕТОН тяжелый, крупность заполнителя 20 мм, класс В3,5 (М50)</t>
        </is>
      </c>
      <c r="D121" s="160" t="inlineStr">
        <is>
          <t>м3</t>
        </is>
      </c>
      <c r="E121" s="160" t="n">
        <v>3.06</v>
      </c>
      <c r="F121" s="141" t="n">
        <v>520</v>
      </c>
      <c r="G121" s="126">
        <f>E121*F121</f>
        <v/>
      </c>
      <c r="H121" s="223">
        <f>G121/$G$177</f>
        <v/>
      </c>
      <c r="I121" s="141">
        <f>ROUND(F121*Прил.10!$D$12,2)</f>
        <v/>
      </c>
      <c r="J121" s="141">
        <f>ROUND(I121*E121,2)</f>
        <v/>
      </c>
    </row>
    <row r="122" outlineLevel="1" ht="14.25" customFormat="1" customHeight="1" s="188">
      <c r="A122" s="219" t="n">
        <v>94</v>
      </c>
      <c r="B122" s="160" t="inlineStr">
        <is>
          <t>509-0237</t>
        </is>
      </c>
      <c r="C122" s="139" t="inlineStr">
        <is>
          <t>Серьга Ср-4,5 075</t>
        </is>
      </c>
      <c r="D122" s="160" t="inlineStr">
        <is>
          <t>шт.</t>
        </is>
      </c>
      <c r="E122" s="160" t="n">
        <v>127</v>
      </c>
      <c r="F122" s="141" t="n">
        <v>11.39</v>
      </c>
      <c r="G122" s="126">
        <f>E122*F122</f>
        <v/>
      </c>
      <c r="H122" s="223">
        <f>G122/$G$177</f>
        <v/>
      </c>
      <c r="I122" s="141">
        <f>ROUND(F122*Прил.10!$D$12,2)</f>
        <v/>
      </c>
      <c r="J122" s="141">
        <f>ROUND(I122*E122,2)</f>
        <v/>
      </c>
    </row>
    <row r="123" outlineLevel="1" ht="14.25" customFormat="1" customHeight="1" s="188">
      <c r="A123" s="219" t="n">
        <v>95</v>
      </c>
      <c r="B123" s="160" t="inlineStr">
        <is>
          <t>101-0113</t>
        </is>
      </c>
      <c r="C123" s="139" t="inlineStr">
        <is>
          <t>Бязь суровая арт. 6804</t>
        </is>
      </c>
      <c r="D123" s="160" t="inlineStr">
        <is>
          <t>10 м2</t>
        </is>
      </c>
      <c r="E123" s="160" t="n">
        <v>17.4</v>
      </c>
      <c r="F123" s="141" t="n">
        <v>79.09999999999999</v>
      </c>
      <c r="G123" s="126">
        <f>E123*F123</f>
        <v/>
      </c>
      <c r="H123" s="223">
        <f>G123/$G$177</f>
        <v/>
      </c>
      <c r="I123" s="141">
        <f>ROUND(F123*Прил.10!$D$12,2)</f>
        <v/>
      </c>
      <c r="J123" s="141">
        <f>ROUND(I123*E123,2)</f>
        <v/>
      </c>
    </row>
    <row r="124" outlineLevel="1" ht="14.25" customFormat="1" customHeight="1" s="188">
      <c r="A124" s="219" t="n">
        <v>96</v>
      </c>
      <c r="B124" s="160" t="inlineStr">
        <is>
          <t>109-0145</t>
        </is>
      </c>
      <c r="C124" s="139" t="inlineStr">
        <is>
          <t>Коронки буровые типа К-100В</t>
        </is>
      </c>
      <c r="D124" s="160" t="inlineStr">
        <is>
          <t>шт.</t>
        </is>
      </c>
      <c r="E124" s="160" t="n">
        <v>7.426</v>
      </c>
      <c r="F124" s="141" t="n">
        <v>176.51</v>
      </c>
      <c r="G124" s="126">
        <f>E124*F124</f>
        <v/>
      </c>
      <c r="H124" s="223">
        <f>G124/$G$177</f>
        <v/>
      </c>
      <c r="I124" s="141">
        <f>ROUND(F124*Прил.10!$D$12,2)</f>
        <v/>
      </c>
      <c r="J124" s="141">
        <f>ROUND(I124*E124,2)</f>
        <v/>
      </c>
    </row>
    <row r="125" outlineLevel="1" ht="25.5" customFormat="1" customHeight="1" s="188">
      <c r="A125" s="219" t="n">
        <v>97</v>
      </c>
      <c r="B125" s="160" t="inlineStr">
        <is>
          <t>101-2353</t>
        </is>
      </c>
      <c r="C125" s="139" t="inlineStr">
        <is>
          <t>Спирт этиловый ректификованный технический, сорт I</t>
        </is>
      </c>
      <c r="D125" s="160" t="inlineStr">
        <is>
          <t>т</t>
        </is>
      </c>
      <c r="E125" s="160" t="n">
        <v>0.0334</v>
      </c>
      <c r="F125" s="141" t="n">
        <v>38890</v>
      </c>
      <c r="G125" s="126">
        <f>E125*F125</f>
        <v/>
      </c>
      <c r="H125" s="223">
        <f>G125/$G$177</f>
        <v/>
      </c>
      <c r="I125" s="141">
        <f>ROUND(F125*Прил.10!$D$12,2)</f>
        <v/>
      </c>
      <c r="J125" s="141">
        <f>ROUND(I125*E125,2)</f>
        <v/>
      </c>
    </row>
    <row r="126" outlineLevel="1" ht="25.5" customFormat="1" customHeight="1" s="188">
      <c r="A126" s="219" t="n">
        <v>98</v>
      </c>
      <c r="B126" s="160" t="inlineStr">
        <is>
          <t>101-2343</t>
        </is>
      </c>
      <c r="C126" s="139" t="inlineStr">
        <is>
          <t>Смазка универсальная тугоплавкая УТ (консталин жировой)</t>
        </is>
      </c>
      <c r="D126" s="160" t="inlineStr">
        <is>
          <t>т</t>
        </is>
      </c>
      <c r="E126" s="160" t="n">
        <v>0.07099999999999999</v>
      </c>
      <c r="F126" s="141" t="n">
        <v>17500</v>
      </c>
      <c r="G126" s="126">
        <f>E126*F126</f>
        <v/>
      </c>
      <c r="H126" s="223">
        <f>G126/$G$177</f>
        <v/>
      </c>
      <c r="I126" s="141">
        <f>ROUND(F126*Прил.10!$D$12,2)</f>
        <v/>
      </c>
      <c r="J126" s="141">
        <f>ROUND(I126*E126,2)</f>
        <v/>
      </c>
    </row>
    <row r="127" outlineLevel="1" ht="51" customFormat="1" customHeight="1" s="188">
      <c r="A127" s="219" t="n">
        <v>99</v>
      </c>
      <c r="B127" s="160" t="inlineStr">
        <is>
          <t>201-0755</t>
        </is>
      </c>
      <c r="C127" s="13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27" s="160" t="inlineStr">
        <is>
          <t>т</t>
        </is>
      </c>
      <c r="E127" s="160" t="n">
        <v>0.1494</v>
      </c>
      <c r="F127" s="141" t="n">
        <v>8060</v>
      </c>
      <c r="G127" s="126">
        <f>E127*F127</f>
        <v/>
      </c>
      <c r="H127" s="223">
        <f>G127/$G$177</f>
        <v/>
      </c>
      <c r="I127" s="141">
        <f>ROUND(F127*Прил.10!$D$12,2)</f>
        <v/>
      </c>
      <c r="J127" s="141">
        <f>ROUND(I127*E127,2)</f>
        <v/>
      </c>
    </row>
    <row r="128" outlineLevel="1" ht="38.25" customFormat="1" customHeight="1" s="188">
      <c r="A128" s="219" t="n">
        <v>100</v>
      </c>
      <c r="B128" s="160" t="inlineStr">
        <is>
          <t>999-9950</t>
        </is>
      </c>
      <c r="C128" s="139" t="inlineStr">
        <is>
          <t>Вспомогательные ненормируемые материальные ресурсы (2% от оплаты труда рабочих)</t>
        </is>
      </c>
      <c r="D128" s="160" t="inlineStr">
        <is>
          <t>руб.</t>
        </is>
      </c>
      <c r="E128" s="160" t="n">
        <v>1199.9356</v>
      </c>
      <c r="F128" s="141" t="n">
        <v>1</v>
      </c>
      <c r="G128" s="126">
        <f>E128*F128</f>
        <v/>
      </c>
      <c r="H128" s="223">
        <f>G128/$G$177</f>
        <v/>
      </c>
      <c r="I128" s="141">
        <f>ROUND(F128*Прил.10!$D$12,2)</f>
        <v/>
      </c>
      <c r="J128" s="141">
        <f>ROUND(I128*E128,2)</f>
        <v/>
      </c>
    </row>
    <row r="129" outlineLevel="1" ht="14.25" customFormat="1" customHeight="1" s="188">
      <c r="A129" s="219" t="n">
        <v>101</v>
      </c>
      <c r="B129" s="160" t="inlineStr">
        <is>
          <t>101-1714</t>
        </is>
      </c>
      <c r="C129" s="139" t="inlineStr">
        <is>
          <t>Болты с гайками и шайбами строительные</t>
        </is>
      </c>
      <c r="D129" s="160" t="inlineStr">
        <is>
          <t>т</t>
        </is>
      </c>
      <c r="E129" s="160" t="n">
        <v>0.131</v>
      </c>
      <c r="F129" s="141" t="n">
        <v>9040</v>
      </c>
      <c r="G129" s="126">
        <f>E129*F129</f>
        <v/>
      </c>
      <c r="H129" s="223">
        <f>G129/$G$177</f>
        <v/>
      </c>
      <c r="I129" s="141">
        <f>ROUND(F129*Прил.10!$D$12,2)</f>
        <v/>
      </c>
      <c r="J129" s="141">
        <f>ROUND(I129*E129,2)</f>
        <v/>
      </c>
    </row>
    <row r="130" outlineLevel="1" ht="14.25" customFormat="1" customHeight="1" s="188">
      <c r="A130" s="219" t="n">
        <v>102</v>
      </c>
      <c r="B130" s="160" t="inlineStr">
        <is>
          <t>301-0041</t>
        </is>
      </c>
      <c r="C130" s="139" t="inlineStr">
        <is>
          <t>Патрубки</t>
        </is>
      </c>
      <c r="D130" s="160" t="inlineStr">
        <is>
          <t>10 шт.</t>
        </is>
      </c>
      <c r="E130" s="160" t="n">
        <v>4.2</v>
      </c>
      <c r="F130" s="141" t="n">
        <v>277.5</v>
      </c>
      <c r="G130" s="126">
        <f>E130*F130</f>
        <v/>
      </c>
      <c r="H130" s="223">
        <f>G130/$G$177</f>
        <v/>
      </c>
      <c r="I130" s="141">
        <f>ROUND(F130*Прил.10!$D$12,2)</f>
        <v/>
      </c>
      <c r="J130" s="141">
        <f>ROUND(I130*E130,2)</f>
        <v/>
      </c>
    </row>
    <row r="131" outlineLevel="1" ht="14.25" customFormat="1" customHeight="1" s="188">
      <c r="A131" s="219" t="n">
        <v>103</v>
      </c>
      <c r="B131" s="160" t="inlineStr">
        <is>
          <t>503-0543</t>
        </is>
      </c>
      <c r="C131" s="139" t="inlineStr">
        <is>
          <t>Бокс ЩРН-9 навесной (250х300х120)</t>
        </is>
      </c>
      <c r="D131" s="160" t="inlineStr">
        <is>
          <t>шт.</t>
        </is>
      </c>
      <c r="E131" s="160" t="n">
        <v>11</v>
      </c>
      <c r="F131" s="141" t="n">
        <v>85.45999999999999</v>
      </c>
      <c r="G131" s="126">
        <f>E131*F131</f>
        <v/>
      </c>
      <c r="H131" s="223">
        <f>G131/$G$177</f>
        <v/>
      </c>
      <c r="I131" s="141">
        <f>ROUND(F131*Прил.10!$D$12,2)</f>
        <v/>
      </c>
      <c r="J131" s="141">
        <f>ROUND(I131*E131,2)</f>
        <v/>
      </c>
    </row>
    <row r="132" outlineLevel="1" ht="25.5" customFormat="1" customHeight="1" s="188">
      <c r="A132" s="219" t="n">
        <v>104</v>
      </c>
      <c r="B132" s="160" t="inlineStr">
        <is>
          <t>101-1755</t>
        </is>
      </c>
      <c r="C132" s="139" t="inlineStr">
        <is>
          <t>сталь полосовая, марка стали Ст3сп шириной 50-200 мм толщиной 4-5 мм</t>
        </is>
      </c>
      <c r="D132" s="160" t="inlineStr">
        <is>
          <t>т</t>
        </is>
      </c>
      <c r="E132" s="160" t="n">
        <v>0.157</v>
      </c>
      <c r="F132" s="141" t="n">
        <v>5000</v>
      </c>
      <c r="G132" s="126">
        <f>E132*F132</f>
        <v/>
      </c>
      <c r="H132" s="223">
        <f>G132/$G$177</f>
        <v/>
      </c>
      <c r="I132" s="141">
        <f>ROUND(F132*Прил.10!$D$12,2)</f>
        <v/>
      </c>
      <c r="J132" s="141">
        <f>ROUND(I132*E132,2)</f>
        <v/>
      </c>
    </row>
    <row r="133" outlineLevel="1" ht="14.25" customFormat="1" customHeight="1" s="188">
      <c r="A133" s="219" t="n">
        <v>105</v>
      </c>
      <c r="B133" s="160" t="inlineStr">
        <is>
          <t>509-0129</t>
        </is>
      </c>
      <c r="C133" s="139" t="inlineStr">
        <is>
          <t>Ушко однолапчатое 012</t>
        </is>
      </c>
      <c r="D133" s="160" t="inlineStr">
        <is>
          <t>шт.</t>
        </is>
      </c>
      <c r="E133" s="160" t="n">
        <v>18</v>
      </c>
      <c r="F133" s="141" t="n">
        <v>38.79</v>
      </c>
      <c r="G133" s="126">
        <f>E133*F133</f>
        <v/>
      </c>
      <c r="H133" s="223">
        <f>G133/$G$177</f>
        <v/>
      </c>
      <c r="I133" s="141">
        <f>ROUND(F133*Прил.10!$D$12,2)</f>
        <v/>
      </c>
      <c r="J133" s="141">
        <f>ROUND(I133*E133,2)</f>
        <v/>
      </c>
    </row>
    <row r="134" outlineLevel="1" ht="14.25" customFormat="1" customHeight="1" s="188">
      <c r="A134" s="219" t="n">
        <v>106</v>
      </c>
      <c r="B134" s="160" t="inlineStr">
        <is>
          <t>509-0102</t>
        </is>
      </c>
      <c r="C134" s="139" t="inlineStr">
        <is>
          <t>Скобы</t>
        </is>
      </c>
      <c r="D134" s="160" t="inlineStr">
        <is>
          <t>10 шт.</t>
        </is>
      </c>
      <c r="E134" s="160" t="n">
        <v>8.4</v>
      </c>
      <c r="F134" s="141" t="n">
        <v>64.8</v>
      </c>
      <c r="G134" s="126">
        <f>E134*F134</f>
        <v/>
      </c>
      <c r="H134" s="223">
        <f>G134/$G$177</f>
        <v/>
      </c>
      <c r="I134" s="141">
        <f>ROUND(F134*Прил.10!$D$12,2)</f>
        <v/>
      </c>
      <c r="J134" s="141">
        <f>ROUND(I134*E134,2)</f>
        <v/>
      </c>
    </row>
    <row r="135" outlineLevel="1" ht="14.25" customFormat="1" customHeight="1" s="188">
      <c r="A135" s="219" t="n">
        <v>107</v>
      </c>
      <c r="B135" s="160" t="inlineStr">
        <is>
          <t>113-0226</t>
        </is>
      </c>
      <c r="C135" s="139" t="inlineStr">
        <is>
          <t>Эмаль ХВ-124 голубая</t>
        </is>
      </c>
      <c r="D135" s="160" t="inlineStr">
        <is>
          <t>т</t>
        </is>
      </c>
      <c r="E135" s="160" t="n">
        <v>0.019</v>
      </c>
      <c r="F135" s="141" t="n">
        <v>22050</v>
      </c>
      <c r="G135" s="126">
        <f>E135*F135</f>
        <v/>
      </c>
      <c r="H135" s="223">
        <f>G135/$G$177</f>
        <v/>
      </c>
      <c r="I135" s="141">
        <f>ROUND(F135*Прил.10!$D$12,2)</f>
        <v/>
      </c>
      <c r="J135" s="141">
        <f>ROUND(I135*E135,2)</f>
        <v/>
      </c>
    </row>
    <row r="136" outlineLevel="1" ht="14.25" customFormat="1" customHeight="1" s="188">
      <c r="A136" s="219" t="n">
        <v>108</v>
      </c>
      <c r="B136" s="160" t="inlineStr">
        <is>
          <t>113-0021</t>
        </is>
      </c>
      <c r="C136" s="139" t="inlineStr">
        <is>
          <t>Грунтовка ГФ-021 красно-коричневая</t>
        </is>
      </c>
      <c r="D136" s="160" t="inlineStr">
        <is>
          <t>т</t>
        </is>
      </c>
      <c r="E136" s="160" t="n">
        <v>0.0261</v>
      </c>
      <c r="F136" s="141" t="n">
        <v>15620</v>
      </c>
      <c r="G136" s="126">
        <f>E136*F136</f>
        <v/>
      </c>
      <c r="H136" s="223">
        <f>G136/$G$177</f>
        <v/>
      </c>
      <c r="I136" s="141">
        <f>ROUND(F136*Прил.10!$D$12,2)</f>
        <v/>
      </c>
      <c r="J136" s="141">
        <f>ROUND(I136*E136,2)</f>
        <v/>
      </c>
    </row>
    <row r="137" outlineLevel="1" ht="76.7" customFormat="1" customHeight="1" s="188">
      <c r="A137" s="219" t="n">
        <v>109</v>
      </c>
      <c r="B137" s="160" t="inlineStr">
        <is>
          <t>201-0774</t>
        </is>
      </c>
      <c r="C137" s="13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37" s="160" t="inlineStr">
        <is>
          <t>т</t>
        </is>
      </c>
      <c r="E137" s="160" t="n">
        <v>0.0302</v>
      </c>
      <c r="F137" s="141" t="n">
        <v>11255</v>
      </c>
      <c r="G137" s="126">
        <f>E137*F137</f>
        <v/>
      </c>
      <c r="H137" s="223">
        <f>G137/$G$177</f>
        <v/>
      </c>
      <c r="I137" s="141">
        <f>ROUND(F137*Прил.10!$D$12,2)</f>
        <v/>
      </c>
      <c r="J137" s="141">
        <f>ROUND(I137*E137,2)</f>
        <v/>
      </c>
    </row>
    <row r="138" outlineLevel="1" ht="14.25" customFormat="1" customHeight="1" s="188">
      <c r="A138" s="219" t="n">
        <v>110</v>
      </c>
      <c r="B138" s="160" t="inlineStr">
        <is>
          <t>101-1515</t>
        </is>
      </c>
      <c r="C138" s="139" t="inlineStr">
        <is>
          <t>Электроды диаметром 4 мм Э46</t>
        </is>
      </c>
      <c r="D138" s="160" t="inlineStr">
        <is>
          <t>т</t>
        </is>
      </c>
      <c r="E138" s="160" t="n">
        <v>0.0275</v>
      </c>
      <c r="F138" s="141" t="n">
        <v>10749</v>
      </c>
      <c r="G138" s="126">
        <f>E138*F138</f>
        <v/>
      </c>
      <c r="H138" s="223">
        <f>G138/$G$177</f>
        <v/>
      </c>
      <c r="I138" s="141">
        <f>ROUND(F138*Прил.10!$D$12,2)</f>
        <v/>
      </c>
      <c r="J138" s="141">
        <f>ROUND(I138*E138,2)</f>
        <v/>
      </c>
    </row>
    <row r="139" outlineLevel="1" ht="14.25" customFormat="1" customHeight="1" s="188">
      <c r="A139" s="219" t="n">
        <v>111</v>
      </c>
      <c r="B139" s="160" t="inlineStr">
        <is>
          <t>502-0639</t>
        </is>
      </c>
      <c r="C139" s="139" t="inlineStr">
        <is>
          <t>Муфта</t>
        </is>
      </c>
      <c r="D139" s="160" t="inlineStr">
        <is>
          <t>шт.</t>
        </is>
      </c>
      <c r="E139" s="160" t="n">
        <v>58</v>
      </c>
      <c r="F139" s="141" t="n">
        <v>5</v>
      </c>
      <c r="G139" s="126">
        <f>E139*F139</f>
        <v/>
      </c>
      <c r="H139" s="223">
        <f>G139/$G$177</f>
        <v/>
      </c>
      <c r="I139" s="141">
        <f>ROUND(F139*Прил.10!$D$12,2)</f>
        <v/>
      </c>
      <c r="J139" s="141">
        <f>ROUND(I139*E139,2)</f>
        <v/>
      </c>
    </row>
    <row r="140" outlineLevel="1" ht="38.25" customFormat="1" customHeight="1" s="188">
      <c r="A140" s="219" t="n">
        <v>112</v>
      </c>
      <c r="B140" s="160" t="inlineStr">
        <is>
          <t>506-0641</t>
        </is>
      </c>
      <c r="C140" s="139" t="inlineStr">
        <is>
          <t>Проволока латунная марки Л68 круглая, твердая, нормальной точности, диаметром 0,50 мм</t>
        </is>
      </c>
      <c r="D140" s="160" t="inlineStr">
        <is>
          <t>т</t>
        </is>
      </c>
      <c r="E140" s="160" t="n">
        <v>0.0033</v>
      </c>
      <c r="F140" s="141" t="n">
        <v>62000</v>
      </c>
      <c r="G140" s="126">
        <f>E140*F140</f>
        <v/>
      </c>
      <c r="H140" s="223">
        <f>G140/$G$177</f>
        <v/>
      </c>
      <c r="I140" s="141">
        <f>ROUND(F140*Прил.10!$D$12,2)</f>
        <v/>
      </c>
      <c r="J140" s="141">
        <f>ROUND(I140*E140,2)</f>
        <v/>
      </c>
    </row>
    <row r="141" outlineLevel="1" ht="38.25" customFormat="1" customHeight="1" s="188">
      <c r="A141" s="219" t="n">
        <v>113</v>
      </c>
      <c r="B141" s="160" t="inlineStr">
        <is>
          <t>101-1627</t>
        </is>
      </c>
      <c r="C141" s="139" t="inlineStr">
        <is>
          <t>сталь листовая углеродистая обыкновенного качества марки ВСт3пс5 толщиной 4-6 мм</t>
        </is>
      </c>
      <c r="D141" s="160" t="inlineStr">
        <is>
          <t>т</t>
        </is>
      </c>
      <c r="E141" s="160" t="n">
        <v>0.0281</v>
      </c>
      <c r="F141" s="141" t="n">
        <v>5763</v>
      </c>
      <c r="G141" s="126">
        <f>E141*F141</f>
        <v/>
      </c>
      <c r="H141" s="223">
        <f>G141/$G$177</f>
        <v/>
      </c>
      <c r="I141" s="141">
        <f>ROUND(F141*Прил.10!$D$12,2)</f>
        <v/>
      </c>
      <c r="J141" s="141">
        <f>ROUND(I141*E141,2)</f>
        <v/>
      </c>
    </row>
    <row r="142" outlineLevel="1" ht="38.25" customFormat="1" customHeight="1" s="188">
      <c r="A142" s="219" t="n">
        <v>114</v>
      </c>
      <c r="B142" s="160" t="inlineStr">
        <is>
          <t>102-0154</t>
        </is>
      </c>
      <c r="C142" s="139" t="inlineStr">
        <is>
          <t>Доски обрезные (береза, липа) длиной 4-6,5 м, все ширины, толщиной 19-22 мм, II сорта</t>
        </is>
      </c>
      <c r="D142" s="160" t="inlineStr">
        <is>
          <t>м3</t>
        </is>
      </c>
      <c r="E142" s="160" t="n">
        <v>0.08799999999999999</v>
      </c>
      <c r="F142" s="141" t="n">
        <v>1784</v>
      </c>
      <c r="G142" s="126">
        <f>E142*F142</f>
        <v/>
      </c>
      <c r="H142" s="223">
        <f>G142/$G$177</f>
        <v/>
      </c>
      <c r="I142" s="141">
        <f>ROUND(F142*Прил.10!$D$12,2)</f>
        <v/>
      </c>
      <c r="J142" s="141">
        <f>ROUND(I142*E142,2)</f>
        <v/>
      </c>
    </row>
    <row r="143" outlineLevel="1" ht="25.5" customFormat="1" customHeight="1" s="188">
      <c r="A143" s="219" t="n">
        <v>115</v>
      </c>
      <c r="B143" s="160" t="inlineStr">
        <is>
          <t>101-0388</t>
        </is>
      </c>
      <c r="C143" s="139" t="inlineStr">
        <is>
          <t>Краски масляные земляные марки МА-0115 мумия, сурик железный</t>
        </is>
      </c>
      <c r="D143" s="160" t="inlineStr">
        <is>
          <t>т</t>
        </is>
      </c>
      <c r="E143" s="160" t="n">
        <v>0.0101</v>
      </c>
      <c r="F143" s="141" t="n">
        <v>15119</v>
      </c>
      <c r="G143" s="126">
        <f>E143*F143</f>
        <v/>
      </c>
      <c r="H143" s="223">
        <f>G143/$G$177</f>
        <v/>
      </c>
      <c r="I143" s="141">
        <f>ROUND(F143*Прил.10!$D$12,2)</f>
        <v/>
      </c>
      <c r="J143" s="141">
        <f>ROUND(I143*E143,2)</f>
        <v/>
      </c>
    </row>
    <row r="144" outlineLevel="1" ht="14.25" customFormat="1" customHeight="1" s="188">
      <c r="A144" s="219" t="n">
        <v>116</v>
      </c>
      <c r="B144" s="160" t="inlineStr">
        <is>
          <t>101-3914</t>
        </is>
      </c>
      <c r="C144" s="139" t="inlineStr">
        <is>
          <t>Дюбели распорные полипропиленовые</t>
        </is>
      </c>
      <c r="D144" s="160" t="inlineStr">
        <is>
          <t>100 шт.</t>
        </is>
      </c>
      <c r="E144" s="160" t="n">
        <v>1.768</v>
      </c>
      <c r="F144" s="141" t="n">
        <v>86</v>
      </c>
      <c r="G144" s="126">
        <f>E144*F144</f>
        <v/>
      </c>
      <c r="H144" s="223">
        <f>G144/$G$177</f>
        <v/>
      </c>
      <c r="I144" s="141">
        <f>ROUND(F144*Прил.10!$D$12,2)</f>
        <v/>
      </c>
      <c r="J144" s="141">
        <f>ROUND(I144*E144,2)</f>
        <v/>
      </c>
    </row>
    <row r="145" outlineLevel="1" ht="14.25" customFormat="1" customHeight="1" s="188">
      <c r="A145" s="219" t="n">
        <v>117</v>
      </c>
      <c r="B145" s="160" t="inlineStr">
        <is>
          <t>101-1805</t>
        </is>
      </c>
      <c r="C145" s="139" t="inlineStr">
        <is>
          <t>Гвозди строительные</t>
        </is>
      </c>
      <c r="D145" s="160" t="inlineStr">
        <is>
          <t>т</t>
        </is>
      </c>
      <c r="E145" s="160" t="n">
        <v>0.0102</v>
      </c>
      <c r="F145" s="141" t="n">
        <v>11978</v>
      </c>
      <c r="G145" s="126">
        <f>E145*F145</f>
        <v/>
      </c>
      <c r="H145" s="223">
        <f>G145/$G$177</f>
        <v/>
      </c>
      <c r="I145" s="141">
        <f>ROUND(F145*Прил.10!$D$12,2)</f>
        <v/>
      </c>
      <c r="J145" s="141">
        <f>ROUND(I145*E145,2)</f>
        <v/>
      </c>
    </row>
    <row r="146" outlineLevel="1" ht="14.25" customFormat="1" customHeight="1" s="188">
      <c r="A146" s="219" t="n">
        <v>118</v>
      </c>
      <c r="B146" s="160" t="inlineStr">
        <is>
          <t>101-2467</t>
        </is>
      </c>
      <c r="C146" s="139" t="inlineStr">
        <is>
          <t>Растворитель марки Р-4</t>
        </is>
      </c>
      <c r="D146" s="160" t="inlineStr">
        <is>
          <t>т</t>
        </is>
      </c>
      <c r="E146" s="160" t="n">
        <v>0.0122</v>
      </c>
      <c r="F146" s="141" t="n">
        <v>9420</v>
      </c>
      <c r="G146" s="126">
        <f>E146*F146</f>
        <v/>
      </c>
      <c r="H146" s="223">
        <f>G146/$G$177</f>
        <v/>
      </c>
      <c r="I146" s="141">
        <f>ROUND(F146*Прил.10!$D$12,2)</f>
        <v/>
      </c>
      <c r="J146" s="141">
        <f>ROUND(I146*E146,2)</f>
        <v/>
      </c>
    </row>
    <row r="147" outlineLevel="1" ht="25.5" customFormat="1" customHeight="1" s="188">
      <c r="A147" s="219" t="n">
        <v>119</v>
      </c>
      <c r="B147" s="160" t="inlineStr">
        <is>
          <t>101-0115</t>
        </is>
      </c>
      <c r="C147" s="139" t="inlineStr">
        <is>
          <t>Винты с полукруглой головкой длиной 50 мм</t>
        </is>
      </c>
      <c r="D147" s="160" t="inlineStr">
        <is>
          <t>т</t>
        </is>
      </c>
      <c r="E147" s="160" t="n">
        <v>0.0092</v>
      </c>
      <c r="F147" s="141" t="n">
        <v>12430</v>
      </c>
      <c r="G147" s="126">
        <f>E147*F147</f>
        <v/>
      </c>
      <c r="H147" s="223">
        <f>G147/$G$177</f>
        <v/>
      </c>
      <c r="I147" s="141">
        <f>ROUND(F147*Прил.10!$D$12,2)</f>
        <v/>
      </c>
      <c r="J147" s="141">
        <f>ROUND(I147*E147,2)</f>
        <v/>
      </c>
    </row>
    <row r="148" outlineLevel="1" ht="14.25" customFormat="1" customHeight="1" s="188">
      <c r="A148" s="219" t="n">
        <v>120</v>
      </c>
      <c r="B148" s="160" t="inlineStr">
        <is>
          <t>101-2278</t>
        </is>
      </c>
      <c r="C148" s="139" t="inlineStr">
        <is>
          <t>Пропан-бутан, смесь техническая</t>
        </is>
      </c>
      <c r="D148" s="160" t="inlineStr">
        <is>
          <t>кг</t>
        </is>
      </c>
      <c r="E148" s="160" t="n">
        <v>13.8129</v>
      </c>
      <c r="F148" s="141" t="n">
        <v>6.09</v>
      </c>
      <c r="G148" s="126">
        <f>E148*F148</f>
        <v/>
      </c>
      <c r="H148" s="223">
        <f>G148/$G$177</f>
        <v/>
      </c>
      <c r="I148" s="141">
        <f>ROUND(F148*Прил.10!$D$12,2)</f>
        <v/>
      </c>
      <c r="J148" s="141">
        <f>ROUND(I148*E148,2)</f>
        <v/>
      </c>
    </row>
    <row r="149" outlineLevel="1" ht="14.25" customFormat="1" customHeight="1" s="188">
      <c r="A149" s="219" t="n">
        <v>121</v>
      </c>
      <c r="B149" s="160" t="inlineStr">
        <is>
          <t>509-0090</t>
        </is>
      </c>
      <c r="C149" s="139" t="inlineStr">
        <is>
          <t>Перемычки гибкие, тип ПГС-50</t>
        </is>
      </c>
      <c r="D149" s="160" t="inlineStr">
        <is>
          <t>шт.</t>
        </is>
      </c>
      <c r="E149" s="160" t="n">
        <v>21</v>
      </c>
      <c r="F149" s="141" t="n">
        <v>3.9</v>
      </c>
      <c r="G149" s="126">
        <f>E149*F149</f>
        <v/>
      </c>
      <c r="H149" s="223">
        <f>G149/$G$177</f>
        <v/>
      </c>
      <c r="I149" s="141">
        <f>ROUND(F149*Прил.10!$D$12,2)</f>
        <v/>
      </c>
      <c r="J149" s="141">
        <f>ROUND(I149*E149,2)</f>
        <v/>
      </c>
    </row>
    <row r="150" outlineLevel="1" ht="14.25" customFormat="1" customHeight="1" s="188">
      <c r="A150" s="219" t="n">
        <v>122</v>
      </c>
      <c r="B150" s="160" t="inlineStr">
        <is>
          <t>101-1668</t>
        </is>
      </c>
      <c r="C150" s="139" t="inlineStr">
        <is>
          <t>Рогожа</t>
        </is>
      </c>
      <c r="D150" s="160" t="inlineStr">
        <is>
          <t>м2</t>
        </is>
      </c>
      <c r="E150" s="160" t="n">
        <v>7.5</v>
      </c>
      <c r="F150" s="141" t="n">
        <v>10.2</v>
      </c>
      <c r="G150" s="126">
        <f>E150*F150</f>
        <v/>
      </c>
      <c r="H150" s="223">
        <f>G150/$G$177</f>
        <v/>
      </c>
      <c r="I150" s="141">
        <f>ROUND(F150*Прил.10!$D$12,2)</f>
        <v/>
      </c>
      <c r="J150" s="141">
        <f>ROUND(I150*E150,2)</f>
        <v/>
      </c>
    </row>
    <row r="151" outlineLevel="1" ht="14.25" customFormat="1" customHeight="1" s="188">
      <c r="A151" s="219" t="n">
        <v>123</v>
      </c>
      <c r="B151" s="160" t="inlineStr">
        <is>
          <t>101-0324</t>
        </is>
      </c>
      <c r="C151" s="139" t="inlineStr">
        <is>
          <t>Кислород технический газообразный</t>
        </is>
      </c>
      <c r="D151" s="160" t="inlineStr">
        <is>
          <t>м3</t>
        </is>
      </c>
      <c r="E151" s="160" t="n">
        <v>12.0383</v>
      </c>
      <c r="F151" s="141" t="n">
        <v>6.22</v>
      </c>
      <c r="G151" s="126">
        <f>E151*F151</f>
        <v/>
      </c>
      <c r="H151" s="223">
        <f>G151/$G$177</f>
        <v/>
      </c>
      <c r="I151" s="141">
        <f>ROUND(F151*Прил.10!$D$12,2)</f>
        <v/>
      </c>
      <c r="J151" s="141">
        <f>ROUND(I151*E151,2)</f>
        <v/>
      </c>
    </row>
    <row r="152" outlineLevel="1" ht="14.25" customFormat="1" customHeight="1" s="188">
      <c r="A152" s="219" t="n">
        <v>124</v>
      </c>
      <c r="B152" s="160" t="inlineStr">
        <is>
          <t>101-1019</t>
        </is>
      </c>
      <c r="C152" s="139" t="inlineStr">
        <is>
          <t>Швеллеры № 40 из стали марки Ст0</t>
        </is>
      </c>
      <c r="D152" s="160" t="inlineStr">
        <is>
          <t>т</t>
        </is>
      </c>
      <c r="E152" s="160" t="n">
        <v>0.0133</v>
      </c>
      <c r="F152" s="141" t="n">
        <v>4920</v>
      </c>
      <c r="G152" s="126">
        <f>E152*F152</f>
        <v/>
      </c>
      <c r="H152" s="223">
        <f>G152/$G$177</f>
        <v/>
      </c>
      <c r="I152" s="141">
        <f>ROUND(F152*Прил.10!$D$12,2)</f>
        <v/>
      </c>
      <c r="J152" s="141">
        <f>ROUND(I152*E152,2)</f>
        <v/>
      </c>
    </row>
    <row r="153" outlineLevel="1" ht="14.25" customFormat="1" customHeight="1" s="188">
      <c r="A153" s="219" t="n">
        <v>125</v>
      </c>
      <c r="B153" s="160" t="inlineStr">
        <is>
          <t>509-0032</t>
        </is>
      </c>
      <c r="C153" s="139" t="inlineStr">
        <is>
          <t>Зажимы</t>
        </is>
      </c>
      <c r="D153" s="160" t="inlineStr">
        <is>
          <t>100 шт.</t>
        </is>
      </c>
      <c r="E153" s="160" t="n">
        <v>0.03</v>
      </c>
      <c r="F153" s="141" t="n">
        <v>1776</v>
      </c>
      <c r="G153" s="126">
        <f>E153*F153</f>
        <v/>
      </c>
      <c r="H153" s="223">
        <f>G153/$G$177</f>
        <v/>
      </c>
      <c r="I153" s="141">
        <f>ROUND(F153*Прил.10!$D$12,2)</f>
        <v/>
      </c>
      <c r="J153" s="141">
        <f>ROUND(I153*E153,2)</f>
        <v/>
      </c>
    </row>
    <row r="154" outlineLevel="1" ht="51" customFormat="1" customHeight="1" s="188">
      <c r="A154" s="219" t="n">
        <v>126</v>
      </c>
      <c r="B154" s="160" t="inlineStr">
        <is>
          <t>201-0756</t>
        </is>
      </c>
      <c r="C154" s="13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54" s="160" t="inlineStr">
        <is>
          <t>т</t>
        </is>
      </c>
      <c r="E154" s="160" t="n">
        <v>0.0069</v>
      </c>
      <c r="F154" s="141" t="n">
        <v>7712</v>
      </c>
      <c r="G154" s="126">
        <f>E154*F154</f>
        <v/>
      </c>
      <c r="H154" s="223">
        <f>G154/$G$177</f>
        <v/>
      </c>
      <c r="I154" s="141">
        <f>ROUND(F154*Прил.10!$D$12,2)</f>
        <v/>
      </c>
      <c r="J154" s="141">
        <f>ROUND(I154*E154,2)</f>
        <v/>
      </c>
    </row>
    <row r="155" outlineLevel="1" ht="25.5" customFormat="1" customHeight="1" s="188">
      <c r="A155" s="219" t="n">
        <v>127</v>
      </c>
      <c r="B155" s="160" t="inlineStr">
        <is>
          <t>101-0179</t>
        </is>
      </c>
      <c r="C155" s="139" t="inlineStr">
        <is>
          <t>Гвозди строительные с плоской головкой 1,6x50 мм</t>
        </is>
      </c>
      <c r="D155" s="160" t="inlineStr">
        <is>
          <t>т</t>
        </is>
      </c>
      <c r="E155" s="160" t="n">
        <v>0.0044</v>
      </c>
      <c r="F155" s="141" t="n">
        <v>8475</v>
      </c>
      <c r="G155" s="126">
        <f>E155*F155</f>
        <v/>
      </c>
      <c r="H155" s="223">
        <f>G155/$G$177</f>
        <v/>
      </c>
      <c r="I155" s="141">
        <f>ROUND(F155*Прил.10!$D$12,2)</f>
        <v/>
      </c>
      <c r="J155" s="141">
        <f>ROUND(I155*E155,2)</f>
        <v/>
      </c>
    </row>
    <row r="156" outlineLevel="1" ht="14.25" customFormat="1" customHeight="1" s="188">
      <c r="A156" s="219" t="n">
        <v>128</v>
      </c>
      <c r="B156" s="160" t="inlineStr">
        <is>
          <t>113-0077</t>
        </is>
      </c>
      <c r="C156" s="139" t="inlineStr">
        <is>
          <t>Ксилол нефтяной марки А</t>
        </is>
      </c>
      <c r="D156" s="160" t="inlineStr">
        <is>
          <t>т</t>
        </is>
      </c>
      <c r="E156" s="160" t="n">
        <v>0.004</v>
      </c>
      <c r="F156" s="141" t="n">
        <v>7640</v>
      </c>
      <c r="G156" s="126">
        <f>E156*F156</f>
        <v/>
      </c>
      <c r="H156" s="223">
        <f>G156/$G$177</f>
        <v/>
      </c>
      <c r="I156" s="141">
        <f>ROUND(F156*Прил.10!$D$12,2)</f>
        <v/>
      </c>
      <c r="J156" s="141">
        <f>ROUND(I156*E156,2)</f>
        <v/>
      </c>
    </row>
    <row r="157" outlineLevel="1" ht="14.25" customFormat="1" customHeight="1" s="188">
      <c r="A157" s="219" t="n">
        <v>129</v>
      </c>
      <c r="B157" s="160" t="inlineStr">
        <is>
          <t>509-0031</t>
        </is>
      </c>
      <c r="C157" s="139" t="inlineStr">
        <is>
          <t>Муфты соединительные</t>
        </is>
      </c>
      <c r="D157" s="160" t="inlineStr">
        <is>
          <t>шт.</t>
        </is>
      </c>
      <c r="E157" s="160" t="n">
        <v>42</v>
      </c>
      <c r="F157" s="141" t="n">
        <v>0.71</v>
      </c>
      <c r="G157" s="126">
        <f>E157*F157</f>
        <v/>
      </c>
      <c r="H157" s="223">
        <f>G157/$G$177</f>
        <v/>
      </c>
      <c r="I157" s="141">
        <f>ROUND(F157*Прил.10!$D$12,2)</f>
        <v/>
      </c>
      <c r="J157" s="141">
        <f>ROUND(I157*E157,2)</f>
        <v/>
      </c>
    </row>
    <row r="158" outlineLevel="1" ht="14.25" customFormat="1" customHeight="1" s="188">
      <c r="A158" s="219" t="n">
        <v>130</v>
      </c>
      <c r="B158" s="160" t="inlineStr">
        <is>
          <t>101-0309</t>
        </is>
      </c>
      <c r="C158" s="139" t="inlineStr">
        <is>
          <t>Канаты пеньковые пропитанные</t>
        </is>
      </c>
      <c r="D158" s="160" t="inlineStr">
        <is>
          <t>т</t>
        </is>
      </c>
      <c r="E158" s="160" t="n">
        <v>0.0007</v>
      </c>
      <c r="F158" s="141" t="n">
        <v>37900</v>
      </c>
      <c r="G158" s="126">
        <f>E158*F158</f>
        <v/>
      </c>
      <c r="H158" s="223">
        <f>G158/$G$177</f>
        <v/>
      </c>
      <c r="I158" s="141">
        <f>ROUND(F158*Прил.10!$D$12,2)</f>
        <v/>
      </c>
      <c r="J158" s="141">
        <f>ROUND(I158*E158,2)</f>
        <v/>
      </c>
    </row>
    <row r="159" outlineLevel="1" ht="14.25" customFormat="1" customHeight="1" s="188">
      <c r="A159" s="219" t="n">
        <v>131</v>
      </c>
      <c r="B159" s="160" t="inlineStr">
        <is>
          <t>101-1728</t>
        </is>
      </c>
      <c r="C159" s="139" t="inlineStr">
        <is>
          <t>Дюбели распорные с гайкой</t>
        </is>
      </c>
      <c r="D159" s="160" t="inlineStr">
        <is>
          <t>100 шт.</t>
        </is>
      </c>
      <c r="E159" s="160" t="n">
        <v>0.1256</v>
      </c>
      <c r="F159" s="141" t="n">
        <v>110</v>
      </c>
      <c r="G159" s="126">
        <f>E159*F159</f>
        <v/>
      </c>
      <c r="H159" s="223">
        <f>G159/$G$177</f>
        <v/>
      </c>
      <c r="I159" s="141">
        <f>ROUND(F159*Прил.10!$D$12,2)</f>
        <v/>
      </c>
      <c r="J159" s="141">
        <f>ROUND(I159*E159,2)</f>
        <v/>
      </c>
    </row>
    <row r="160" outlineLevel="1" ht="25.5" customFormat="1" customHeight="1" s="188">
      <c r="A160" s="219" t="n">
        <v>132</v>
      </c>
      <c r="B160" s="160" t="inlineStr">
        <is>
          <t>101-1306</t>
        </is>
      </c>
      <c r="C160" s="139" t="inlineStr">
        <is>
          <t>Портландцемент общестроительного назначения бездобавочный, марки 500</t>
        </is>
      </c>
      <c r="D160" s="160" t="inlineStr">
        <is>
          <t>т</t>
        </is>
      </c>
      <c r="E160" s="160" t="n">
        <v>0.0283</v>
      </c>
      <c r="F160" s="141" t="n">
        <v>480</v>
      </c>
      <c r="G160" s="126">
        <f>E160*F160</f>
        <v/>
      </c>
      <c r="H160" s="223">
        <f>G160/$G$177</f>
        <v/>
      </c>
      <c r="I160" s="141">
        <f>ROUND(F160*Прил.10!$D$12,2)</f>
        <v/>
      </c>
      <c r="J160" s="141">
        <f>ROUND(I160*E160,2)</f>
        <v/>
      </c>
    </row>
    <row r="161" outlineLevel="1" ht="38.25" customFormat="1" customHeight="1" s="188">
      <c r="A161" s="219" t="n">
        <v>133</v>
      </c>
      <c r="B161" s="160" t="inlineStr">
        <is>
          <t>102-0023</t>
        </is>
      </c>
      <c r="C161" s="139" t="inlineStr">
        <is>
          <t>Бруски обрезные хвойных пород длиной 4-6,5 м, шириной 75-150 мм, толщиной 40-75 мм, I сорта</t>
        </is>
      </c>
      <c r="D161" s="160" t="inlineStr">
        <is>
          <t>м3</t>
        </is>
      </c>
      <c r="E161" s="160" t="n">
        <v>0.0071</v>
      </c>
      <c r="F161" s="141" t="n">
        <v>1700</v>
      </c>
      <c r="G161" s="126">
        <f>E161*F161</f>
        <v/>
      </c>
      <c r="H161" s="223">
        <f>G161/$G$177</f>
        <v/>
      </c>
      <c r="I161" s="141">
        <f>ROUND(F161*Прил.10!$D$12,2)</f>
        <v/>
      </c>
      <c r="J161" s="141">
        <f>ROUND(I161*E161,2)</f>
        <v/>
      </c>
    </row>
    <row r="162" outlineLevel="1" ht="14.25" customFormat="1" customHeight="1" s="188">
      <c r="A162" s="219" t="n">
        <v>134</v>
      </c>
      <c r="B162" s="160" t="inlineStr">
        <is>
          <t>509-0783</t>
        </is>
      </c>
      <c r="C162" s="139" t="inlineStr">
        <is>
          <t>Втулки изолирующие</t>
        </is>
      </c>
      <c r="D162" s="160" t="inlineStr">
        <is>
          <t>шт.</t>
        </is>
      </c>
      <c r="E162" s="160" t="n">
        <v>42</v>
      </c>
      <c r="F162" s="141" t="n">
        <v>0.27</v>
      </c>
      <c r="G162" s="126">
        <f>E162*F162</f>
        <v/>
      </c>
      <c r="H162" s="223">
        <f>G162/$G$177</f>
        <v/>
      </c>
      <c r="I162" s="141">
        <f>ROUND(F162*Прил.10!$D$12,2)</f>
        <v/>
      </c>
      <c r="J162" s="141">
        <f>ROUND(I162*E162,2)</f>
        <v/>
      </c>
    </row>
    <row r="163" outlineLevel="1" ht="25.5" customFormat="1" customHeight="1" s="188">
      <c r="A163" s="219" t="n">
        <v>135</v>
      </c>
      <c r="B163" s="160" t="inlineStr">
        <is>
          <t>506-1362</t>
        </is>
      </c>
      <c r="C163" s="139" t="inlineStr">
        <is>
          <t>Припои оловянно-свинцовые бессурьмянистые марки ПОС30</t>
        </is>
      </c>
      <c r="D163" s="160" t="inlineStr">
        <is>
          <t>кг</t>
        </is>
      </c>
      <c r="E163" s="160" t="n">
        <v>0.1404</v>
      </c>
      <c r="F163" s="141" t="n">
        <v>68.05</v>
      </c>
      <c r="G163" s="126">
        <f>E163*F163</f>
        <v/>
      </c>
      <c r="H163" s="223">
        <f>G163/$G$177</f>
        <v/>
      </c>
      <c r="I163" s="141">
        <f>ROUND(F163*Прил.10!$D$12,2)</f>
        <v/>
      </c>
      <c r="J163" s="141">
        <f>ROUND(I163*E163,2)</f>
        <v/>
      </c>
    </row>
    <row r="164" outlineLevel="1" ht="63.75" customFormat="1" customHeight="1" s="188">
      <c r="A164" s="219" t="n">
        <v>136</v>
      </c>
      <c r="B164" s="160" t="inlineStr">
        <is>
          <t>508-0097</t>
        </is>
      </c>
      <c r="C164" s="13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164" s="160" t="inlineStr">
        <is>
          <t>10 м</t>
        </is>
      </c>
      <c r="E164" s="160" t="n">
        <v>0.1282</v>
      </c>
      <c r="F164" s="141" t="n">
        <v>50.23</v>
      </c>
      <c r="G164" s="126">
        <f>E164*F164</f>
        <v/>
      </c>
      <c r="H164" s="223">
        <f>G164/$G$177</f>
        <v/>
      </c>
      <c r="I164" s="141">
        <f>ROUND(F164*Прил.10!$D$12,2)</f>
        <v/>
      </c>
      <c r="J164" s="141">
        <f>ROUND(I164*E164,2)</f>
        <v/>
      </c>
    </row>
    <row r="165" outlineLevel="1" ht="25.5" customFormat="1" customHeight="1" s="188">
      <c r="A165" s="219" t="n">
        <v>137</v>
      </c>
      <c r="B165" s="160" t="inlineStr">
        <is>
          <t>113-0307</t>
        </is>
      </c>
      <c r="C165" s="139" t="inlineStr">
        <is>
          <t>Пленка полиэтиленовая толщиной 0,2-0,5 мм</t>
        </is>
      </c>
      <c r="D165" s="160" t="inlineStr">
        <is>
          <t>т</t>
        </is>
      </c>
      <c r="E165" s="160" t="n">
        <v>0.0002</v>
      </c>
      <c r="F165" s="141" t="n">
        <v>23500</v>
      </c>
      <c r="G165" s="126">
        <f>E165*F165</f>
        <v/>
      </c>
      <c r="H165" s="223">
        <f>G165/$G$177</f>
        <v/>
      </c>
      <c r="I165" s="141">
        <f>ROUND(F165*Прил.10!$D$12,2)</f>
        <v/>
      </c>
      <c r="J165" s="141">
        <f>ROUND(I165*E165,2)</f>
        <v/>
      </c>
    </row>
    <row r="166" outlineLevel="1" ht="14.25" customFormat="1" customHeight="1" s="188">
      <c r="A166" s="219" t="n">
        <v>138</v>
      </c>
      <c r="B166" s="160" t="inlineStr">
        <is>
          <t>101-4621</t>
        </is>
      </c>
      <c r="C166" s="139" t="inlineStr">
        <is>
          <t>Шуруп самонарезающий (LN) 3,5/11 мм</t>
        </is>
      </c>
      <c r="D166" s="160" t="inlineStr">
        <is>
          <t>шт.</t>
        </is>
      </c>
      <c r="E166" s="160" t="n">
        <v>176.8</v>
      </c>
      <c r="F166" s="141" t="n">
        <v>0.02</v>
      </c>
      <c r="G166" s="126">
        <f>E166*F166</f>
        <v/>
      </c>
      <c r="H166" s="223">
        <f>G166/$G$177</f>
        <v/>
      </c>
      <c r="I166" s="141">
        <f>ROUND(F166*Прил.10!$D$12,2)</f>
        <v/>
      </c>
      <c r="J166" s="141">
        <f>ROUND(I166*E166,2)</f>
        <v/>
      </c>
    </row>
    <row r="167" outlineLevel="1" ht="14.25" customFormat="1" customHeight="1" s="188">
      <c r="A167" s="219" t="n">
        <v>139</v>
      </c>
      <c r="B167" s="160" t="inlineStr">
        <is>
          <t>113-1786</t>
        </is>
      </c>
      <c r="C167" s="139" t="inlineStr">
        <is>
          <t>Лак битумный БТ-123</t>
        </is>
      </c>
      <c r="D167" s="160" t="inlineStr">
        <is>
          <t>т</t>
        </is>
      </c>
      <c r="E167" s="160" t="n">
        <v>0.0004</v>
      </c>
      <c r="F167" s="141" t="n">
        <v>7826.9</v>
      </c>
      <c r="G167" s="126">
        <f>E167*F167</f>
        <v/>
      </c>
      <c r="H167" s="223">
        <f>G167/$G$177</f>
        <v/>
      </c>
      <c r="I167" s="141">
        <f>ROUND(F167*Прил.10!$D$12,2)</f>
        <v/>
      </c>
      <c r="J167" s="141">
        <f>ROUND(I167*E167,2)</f>
        <v/>
      </c>
    </row>
    <row r="168" outlineLevel="1" ht="14.25" customFormat="1" customHeight="1" s="188">
      <c r="A168" s="219" t="n">
        <v>140</v>
      </c>
      <c r="B168" s="160" t="inlineStr">
        <is>
          <t>101-2478</t>
        </is>
      </c>
      <c r="C168" s="139" t="inlineStr">
        <is>
          <t>Лента К226</t>
        </is>
      </c>
      <c r="D168" s="160" t="inlineStr">
        <is>
          <t>100 м</t>
        </is>
      </c>
      <c r="E168" s="160" t="n">
        <v>0.0132</v>
      </c>
      <c r="F168" s="141" t="n">
        <v>120</v>
      </c>
      <c r="G168" s="126">
        <f>E168*F168</f>
        <v/>
      </c>
      <c r="H168" s="223">
        <f>G168/$G$177</f>
        <v/>
      </c>
      <c r="I168" s="141">
        <f>ROUND(F168*Прил.10!$D$12,2)</f>
        <v/>
      </c>
      <c r="J168" s="141">
        <f>ROUND(I168*E168,2)</f>
        <v/>
      </c>
    </row>
    <row r="169" outlineLevel="1" ht="14.25" customFormat="1" customHeight="1" s="188">
      <c r="A169" s="219" t="n">
        <v>141</v>
      </c>
      <c r="B169" s="160" t="inlineStr">
        <is>
          <t>101-2357</t>
        </is>
      </c>
      <c r="C169" s="139" t="inlineStr">
        <is>
          <t>Бумага шлифовальная</t>
        </is>
      </c>
      <c r="D169" s="160" t="inlineStr">
        <is>
          <t>лист</t>
        </is>
      </c>
      <c r="E169" s="160" t="n">
        <v>0.4</v>
      </c>
      <c r="F169" s="141" t="n">
        <v>3.75</v>
      </c>
      <c r="G169" s="126">
        <f>E169*F169</f>
        <v/>
      </c>
      <c r="H169" s="223">
        <f>G169/$G$177</f>
        <v/>
      </c>
      <c r="I169" s="141">
        <f>ROUND(F169*Прил.10!$D$12,2)</f>
        <v/>
      </c>
      <c r="J169" s="141">
        <f>ROUND(I169*E169,2)</f>
        <v/>
      </c>
    </row>
    <row r="170" outlineLevel="1" ht="25.5" customFormat="1" customHeight="1" s="188">
      <c r="A170" s="219" t="n">
        <v>142</v>
      </c>
      <c r="B170" s="160" t="inlineStr">
        <is>
          <t>408-0141</t>
        </is>
      </c>
      <c r="C170" s="139" t="inlineStr">
        <is>
          <t>Песок природный для строительных растворов средний</t>
        </is>
      </c>
      <c r="D170" s="160" t="inlineStr">
        <is>
          <t>м3</t>
        </is>
      </c>
      <c r="E170" s="160" t="n">
        <v>0.0236</v>
      </c>
      <c r="F170" s="141" t="n">
        <v>59.99</v>
      </c>
      <c r="G170" s="126">
        <f>E170*F170</f>
        <v/>
      </c>
      <c r="H170" s="223">
        <f>G170/$G$177</f>
        <v/>
      </c>
      <c r="I170" s="141">
        <f>ROUND(F170*Прил.10!$D$12,2)</f>
        <v/>
      </c>
      <c r="J170" s="141">
        <f>ROUND(I170*E170,2)</f>
        <v/>
      </c>
    </row>
    <row r="171" outlineLevel="1" ht="14.25" customFormat="1" customHeight="1" s="188">
      <c r="A171" s="219" t="n">
        <v>143</v>
      </c>
      <c r="B171" s="160" t="inlineStr">
        <is>
          <t>101-1964</t>
        </is>
      </c>
      <c r="C171" s="139" t="inlineStr">
        <is>
          <t>Шпагат бумажный</t>
        </is>
      </c>
      <c r="D171" s="160" t="inlineStr">
        <is>
          <t>кг</t>
        </is>
      </c>
      <c r="E171" s="160" t="n">
        <v>0.11</v>
      </c>
      <c r="F171" s="141" t="n">
        <v>11.5</v>
      </c>
      <c r="G171" s="126">
        <f>E171*F171</f>
        <v/>
      </c>
      <c r="H171" s="223">
        <f>G171/$G$177</f>
        <v/>
      </c>
      <c r="I171" s="141">
        <f>ROUND(F171*Прил.10!$D$12,2)</f>
        <v/>
      </c>
      <c r="J171" s="141">
        <f>ROUND(I171*E171,2)</f>
        <v/>
      </c>
    </row>
    <row r="172" outlineLevel="1" ht="14.25" customFormat="1" customHeight="1" s="188">
      <c r="A172" s="219" t="n">
        <v>144</v>
      </c>
      <c r="B172" s="160" t="inlineStr">
        <is>
          <t>101-1481</t>
        </is>
      </c>
      <c r="C172" s="139" t="inlineStr">
        <is>
          <t>Шурупы с полукруглой головкой 4x40 мм</t>
        </is>
      </c>
      <c r="D172" s="160" t="inlineStr">
        <is>
          <t>т</t>
        </is>
      </c>
      <c r="E172" s="160" t="n">
        <v>0.0001</v>
      </c>
      <c r="F172" s="141" t="n">
        <v>12430</v>
      </c>
      <c r="G172" s="126">
        <f>E172*F172</f>
        <v/>
      </c>
      <c r="H172" s="223">
        <f>G172/$G$177</f>
        <v/>
      </c>
      <c r="I172" s="141">
        <f>ROUND(F172*Прил.10!$D$12,2)</f>
        <v/>
      </c>
      <c r="J172" s="141">
        <f>ROUND(I172*E172,2)</f>
        <v/>
      </c>
    </row>
    <row r="173" outlineLevel="1" ht="25.5" customFormat="1" customHeight="1" s="188">
      <c r="A173" s="219" t="n">
        <v>145</v>
      </c>
      <c r="B173" s="160" t="inlineStr">
        <is>
          <t>101-0797</t>
        </is>
      </c>
      <c r="C173" s="139" t="inlineStr">
        <is>
          <t>Проволока горячекатаная в мотках, диаметром 6,3-6,5 мм</t>
        </is>
      </c>
      <c r="D173" s="160" t="inlineStr">
        <is>
          <t>т</t>
        </is>
      </c>
      <c r="E173" s="160" t="n">
        <v>0.0002</v>
      </c>
      <c r="F173" s="141" t="n">
        <v>4455.2</v>
      </c>
      <c r="G173" s="126">
        <f>E173*F173</f>
        <v/>
      </c>
      <c r="H173" s="223">
        <f>G173/$G$177</f>
        <v/>
      </c>
      <c r="I173" s="141">
        <f>ROUND(F173*Прил.10!$D$12,2)</f>
        <v/>
      </c>
      <c r="J173" s="141">
        <f>ROUND(I173*E173,2)</f>
        <v/>
      </c>
    </row>
    <row r="174" outlineLevel="1" ht="38.25" customFormat="1" customHeight="1" s="188">
      <c r="A174" s="219" t="n">
        <v>146</v>
      </c>
      <c r="B174" s="160" t="inlineStr">
        <is>
          <t>408-0015</t>
        </is>
      </c>
      <c r="C174" s="139" t="inlineStr">
        <is>
          <t>Щебень из природного камня для строительных работ марка 800, фракция 20-40 мм</t>
        </is>
      </c>
      <c r="D174" s="160" t="inlineStr">
        <is>
          <t>м3</t>
        </is>
      </c>
      <c r="E174" s="160" t="n">
        <v>0.0022</v>
      </c>
      <c r="F174" s="141" t="n">
        <v>108.4</v>
      </c>
      <c r="G174" s="126">
        <f>E174*F174</f>
        <v/>
      </c>
      <c r="H174" s="223">
        <f>G174/$G$177</f>
        <v/>
      </c>
      <c r="I174" s="141">
        <f>ROUND(F174*Прил.10!$D$12,2)</f>
        <v/>
      </c>
      <c r="J174" s="141">
        <f>ROUND(I174*E174,2)</f>
        <v/>
      </c>
    </row>
    <row r="175" outlineLevel="1" ht="14.25" customFormat="1" customHeight="1" s="188">
      <c r="A175" s="219" t="n">
        <v>147</v>
      </c>
      <c r="B175" s="160" t="inlineStr">
        <is>
          <t>411-0001</t>
        </is>
      </c>
      <c r="C175" s="139" t="inlineStr">
        <is>
          <t>Вода</t>
        </is>
      </c>
      <c r="D175" s="160" t="inlineStr">
        <is>
          <t>м3</t>
        </is>
      </c>
      <c r="E175" s="160" t="n">
        <v>0.006</v>
      </c>
      <c r="F175" s="141" t="n">
        <v>2.44</v>
      </c>
      <c r="G175" s="126">
        <f>E175*F175</f>
        <v/>
      </c>
      <c r="H175" s="223">
        <f>G175/$G$177</f>
        <v/>
      </c>
      <c r="I175" s="141">
        <f>ROUND(F175*Прил.10!$D$12,2)</f>
        <v/>
      </c>
      <c r="J175" s="141">
        <f>ROUND(I175*E175,2)</f>
        <v/>
      </c>
    </row>
    <row r="176" ht="14.25" customFormat="1" customHeight="1" s="188">
      <c r="A176" s="219" t="n"/>
      <c r="B176" s="219" t="n"/>
      <c r="C176" s="218" t="inlineStr">
        <is>
          <t>Итого прочие материалы</t>
        </is>
      </c>
      <c r="D176" s="219" t="n"/>
      <c r="E176" s="220" t="n"/>
      <c r="F176" s="221" t="n"/>
      <c r="G176" s="141">
        <f>SUM(G85:G175)</f>
        <v/>
      </c>
      <c r="H176" s="223">
        <f>G176/G177</f>
        <v/>
      </c>
      <c r="I176" s="141" t="n"/>
      <c r="J176" s="141">
        <f>SUM(J85:J175)</f>
        <v/>
      </c>
    </row>
    <row r="177" ht="14.25" customFormat="1" customHeight="1" s="188">
      <c r="A177" s="219" t="n"/>
      <c r="B177" s="219" t="n"/>
      <c r="C177" s="213" t="inlineStr">
        <is>
          <t>Итого по разделу «Материалы»</t>
        </is>
      </c>
      <c r="D177" s="219" t="n"/>
      <c r="E177" s="220" t="n"/>
      <c r="F177" s="221" t="n"/>
      <c r="G177" s="141">
        <f>G84+G176</f>
        <v/>
      </c>
      <c r="H177" s="223" t="n">
        <v>1</v>
      </c>
      <c r="I177" s="221" t="n"/>
      <c r="J177" s="141">
        <f>J84+J176</f>
        <v/>
      </c>
      <c r="K177" s="70" t="n"/>
    </row>
    <row r="178" ht="14.25" customFormat="1" customHeight="1" s="188">
      <c r="A178" s="219" t="n"/>
      <c r="B178" s="219" t="n"/>
      <c r="C178" s="218" t="inlineStr">
        <is>
          <t>ИТОГО ПО РМ</t>
        </is>
      </c>
      <c r="D178" s="219" t="n"/>
      <c r="E178" s="220" t="n"/>
      <c r="F178" s="221" t="n"/>
      <c r="G178" s="141">
        <f>G14+G59+G177</f>
        <v/>
      </c>
      <c r="H178" s="223" t="n"/>
      <c r="I178" s="221" t="n"/>
      <c r="J178" s="141">
        <f>J14+J59+J177</f>
        <v/>
      </c>
    </row>
    <row r="179" ht="14.25" customFormat="1" customHeight="1" s="188">
      <c r="A179" s="219" t="n"/>
      <c r="B179" s="219" t="n"/>
      <c r="C179" s="218" t="inlineStr">
        <is>
          <t>Накладные расходы</t>
        </is>
      </c>
      <c r="D179" s="219" t="inlineStr">
        <is>
          <t>%</t>
        </is>
      </c>
      <c r="E179" s="163">
        <f>ROUND(G179/(G14+G16),2)</f>
        <v/>
      </c>
      <c r="F179" s="221" t="n"/>
      <c r="G179" s="141" t="n">
        <v>249819.34</v>
      </c>
      <c r="H179" s="223" t="n"/>
      <c r="I179" s="221" t="n"/>
      <c r="J179" s="141">
        <f>ROUND(E179*(J14+J16),2)</f>
        <v/>
      </c>
      <c r="K179" s="75" t="n"/>
    </row>
    <row r="180" ht="14.25" customFormat="1" customHeight="1" s="188">
      <c r="A180" s="219" t="n"/>
      <c r="B180" s="219" t="n"/>
      <c r="C180" s="218" t="inlineStr">
        <is>
          <t>Сметная прибыль</t>
        </is>
      </c>
      <c r="D180" s="219" t="inlineStr">
        <is>
          <t>%</t>
        </is>
      </c>
      <c r="E180" s="163">
        <f>ROUND(G180/(G14+G16),2)</f>
        <v/>
      </c>
      <c r="F180" s="221" t="n"/>
      <c r="G180" s="141" t="n">
        <v>152614.76</v>
      </c>
      <c r="H180" s="223" t="n"/>
      <c r="I180" s="221" t="n"/>
      <c r="J180" s="141">
        <f>ROUND(E180*(J14+J16),2)</f>
        <v/>
      </c>
      <c r="K180" s="75" t="n"/>
    </row>
    <row r="181" ht="14.25" customFormat="1" customHeight="1" s="188">
      <c r="A181" s="219" t="n"/>
      <c r="B181" s="219" t="n"/>
      <c r="C181" s="218" t="inlineStr">
        <is>
          <t>Итого СМР (с НР и СП)</t>
        </is>
      </c>
      <c r="D181" s="219" t="n"/>
      <c r="E181" s="220" t="n"/>
      <c r="F181" s="221" t="n"/>
      <c r="G181" s="141">
        <f>G14+G59+G177+G179+G180</f>
        <v/>
      </c>
      <c r="H181" s="223" t="n"/>
      <c r="I181" s="221" t="n"/>
      <c r="J181" s="141">
        <f>J14+J59+J177+J179+J180</f>
        <v/>
      </c>
      <c r="L181" s="76" t="n"/>
    </row>
    <row r="182" ht="14.25" customFormat="1" customHeight="1" s="188">
      <c r="A182" s="219" t="n"/>
      <c r="B182" s="219" t="n"/>
      <c r="C182" s="218" t="inlineStr">
        <is>
          <t>ВСЕГО СМР + ОБОРУДОВАНИЕ</t>
        </is>
      </c>
      <c r="D182" s="219" t="n"/>
      <c r="E182" s="220" t="n"/>
      <c r="F182" s="221" t="n"/>
      <c r="G182" s="141">
        <f>G181+G72</f>
        <v/>
      </c>
      <c r="H182" s="223" t="n"/>
      <c r="I182" s="221" t="n"/>
      <c r="J182" s="141">
        <f>J181+J72</f>
        <v/>
      </c>
      <c r="L182" s="75" t="n"/>
    </row>
    <row r="183" ht="14.25" customFormat="1" customHeight="1" s="188">
      <c r="A183" s="219" t="n"/>
      <c r="B183" s="219" t="n"/>
      <c r="C183" s="218" t="inlineStr">
        <is>
          <t>ИТОГО ПОКАЗАТЕЛЬ НА ЕД. ИЗМ.</t>
        </is>
      </c>
      <c r="D183" s="219" t="inlineStr">
        <is>
          <t>ед.</t>
        </is>
      </c>
      <c r="E183" s="189" t="n">
        <v>11</v>
      </c>
      <c r="F183" s="221" t="n"/>
      <c r="G183" s="141">
        <f>G182/E183</f>
        <v/>
      </c>
      <c r="H183" s="223" t="n"/>
      <c r="I183" s="221" t="n"/>
      <c r="J183" s="141">
        <f>J182/E183</f>
        <v/>
      </c>
      <c r="L183" s="75" t="n"/>
    </row>
    <row r="185" ht="14.25" customFormat="1" customHeight="1" s="188">
      <c r="A185" s="174" t="n"/>
    </row>
    <row r="186" ht="13.7" customFormat="1" customHeight="1" s="188">
      <c r="A186" s="187" t="inlineStr">
        <is>
          <t>Составил ______________________       Р.Р. Шагеева</t>
        </is>
      </c>
      <c r="B186" s="188" t="n"/>
    </row>
    <row r="187" ht="13.7" customFormat="1" customHeight="1" s="188">
      <c r="A187" s="176" t="inlineStr">
        <is>
          <t xml:space="preserve">                         (подпись, инициалы, фамилия)</t>
        </is>
      </c>
      <c r="B187" s="188" t="n"/>
    </row>
    <row r="188" ht="14.25" customFormat="1" customHeight="1" s="188">
      <c r="A188" s="187" t="n"/>
      <c r="B188" s="188" t="n"/>
    </row>
    <row r="189" ht="14.25" customFormat="1" customHeight="1" s="188">
      <c r="A189" s="187" t="inlineStr">
        <is>
          <t>Проверил ______________________        А.В. Костянецкая</t>
        </is>
      </c>
      <c r="B189" s="188" t="n"/>
    </row>
    <row r="190" ht="14.25" customFormat="1" customHeight="1" s="188">
      <c r="A190" s="176" t="inlineStr">
        <is>
          <t xml:space="preserve">                        (подпись, инициалы, фамилия)</t>
        </is>
      </c>
      <c r="B190" s="188" t="n"/>
    </row>
  </sheetData>
  <mergeCells count="19">
    <mergeCell ref="H9:H10"/>
    <mergeCell ref="B61:J61"/>
    <mergeCell ref="B60:J60"/>
    <mergeCell ref="B15:H15"/>
    <mergeCell ref="C9:C10"/>
    <mergeCell ref="E9:E10"/>
    <mergeCell ref="A7:H7"/>
    <mergeCell ref="B75:H75"/>
    <mergeCell ref="B74:J74"/>
    <mergeCell ref="B9:B10"/>
    <mergeCell ref="D9:D10"/>
    <mergeCell ref="B18:H18"/>
    <mergeCell ref="B12:H12"/>
    <mergeCell ref="F9:G9"/>
    <mergeCell ref="A4:H4"/>
    <mergeCell ref="B17:H17"/>
    <mergeCell ref="A9:A10"/>
    <mergeCell ref="A6:C6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topLeftCell="A13" workbookViewId="0">
      <selection activeCell="C23" sqref="C23"/>
    </sheetView>
  </sheetViews>
  <sheetFormatPr baseColWidth="8" defaultRowHeight="15"/>
  <cols>
    <col width="5.7109375" customWidth="1" style="116" min="1" max="1"/>
    <col width="14.85546875" customWidth="1" style="116" min="2" max="2"/>
    <col width="39.140625" customWidth="1" style="116" min="3" max="3"/>
    <col width="8.28515625" customWidth="1" style="116" min="4" max="4"/>
    <col width="13.5703125" customWidth="1" style="116" min="5" max="5"/>
    <col width="12.42578125" customWidth="1" style="116" min="6" max="6"/>
    <col width="14.140625" customWidth="1" style="116" min="7" max="7"/>
  </cols>
  <sheetData>
    <row r="1">
      <c r="A1" s="237" t="inlineStr">
        <is>
          <t>Приложение №6</t>
        </is>
      </c>
    </row>
    <row r="2" ht="21.75" customHeight="1" s="116">
      <c r="A2" s="237" t="n"/>
      <c r="B2" s="237" t="n"/>
      <c r="C2" s="237" t="n"/>
      <c r="D2" s="237" t="n"/>
      <c r="E2" s="237" t="n"/>
      <c r="F2" s="237" t="n"/>
      <c r="G2" s="237" t="n"/>
    </row>
    <row r="3">
      <c r="A3" s="215" t="inlineStr">
        <is>
          <t>Расчет стоимости оборудования</t>
        </is>
      </c>
    </row>
    <row r="4" ht="25.5" customHeight="1" s="116">
      <c r="A4" s="230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16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19" t="inlineStr">
        <is>
          <t>Кол-во единиц по проектным данным</t>
        </is>
      </c>
      <c r="F6" s="238" t="inlineStr">
        <is>
          <t>Сметная стоимость в ценах на 01.01.2000 (руб.)</t>
        </is>
      </c>
      <c r="G6" s="245" t="n"/>
    </row>
    <row r="7">
      <c r="A7" s="247" t="n"/>
      <c r="B7" s="247" t="n"/>
      <c r="C7" s="247" t="n"/>
      <c r="D7" s="247" t="n"/>
      <c r="E7" s="247" t="n"/>
      <c r="F7" s="219" t="inlineStr">
        <is>
          <t>на ед. изм.</t>
        </is>
      </c>
      <c r="G7" s="219" t="inlineStr">
        <is>
          <t>общая</t>
        </is>
      </c>
    </row>
    <row r="8">
      <c r="A8" s="219" t="n">
        <v>1</v>
      </c>
      <c r="B8" s="219" t="n">
        <v>2</v>
      </c>
      <c r="C8" s="219" t="n">
        <v>3</v>
      </c>
      <c r="D8" s="219" t="n">
        <v>4</v>
      </c>
      <c r="E8" s="219" t="n">
        <v>5</v>
      </c>
      <c r="F8" s="219" t="n">
        <v>6</v>
      </c>
      <c r="G8" s="219" t="n">
        <v>7</v>
      </c>
    </row>
    <row r="9" ht="15" customHeight="1" s="116">
      <c r="A9" s="153" t="n"/>
      <c r="B9" s="218" t="inlineStr">
        <is>
          <t>ИНЖЕНЕРНОЕ ОБОРУДОВАНИЕ</t>
        </is>
      </c>
      <c r="C9" s="244" t="n"/>
      <c r="D9" s="244" t="n"/>
      <c r="E9" s="244" t="n"/>
      <c r="F9" s="244" t="n"/>
      <c r="G9" s="245" t="n"/>
    </row>
    <row r="10" ht="27" customHeight="1" s="116">
      <c r="A10" s="219" t="n"/>
      <c r="B10" s="213" t="n"/>
      <c r="C10" s="218" t="inlineStr">
        <is>
          <t>ИТОГО ИНЖЕНЕРНОЕ ОБОРУДОВАНИЕ</t>
        </is>
      </c>
      <c r="D10" s="213" t="n"/>
      <c r="E10" s="9" t="n"/>
      <c r="F10" s="221" t="n"/>
      <c r="G10" s="221" t="n">
        <v>0</v>
      </c>
    </row>
    <row r="11">
      <c r="A11" s="219" t="n"/>
      <c r="B11" s="218" t="inlineStr">
        <is>
          <t>ТЕХНОЛОГИЧЕСКОЕ ОБОРУДОВАНИЕ</t>
        </is>
      </c>
      <c r="C11" s="244" t="n"/>
      <c r="D11" s="244" t="n"/>
      <c r="E11" s="244" t="n"/>
      <c r="F11" s="244" t="n"/>
      <c r="G11" s="245" t="n"/>
    </row>
    <row r="12" ht="38.25" customHeight="1" s="116">
      <c r="A12" s="219" t="n">
        <v>1</v>
      </c>
      <c r="B12" s="160">
        <f>'Прил.5 Расчет СМР и ОБ'!B62</f>
        <v/>
      </c>
      <c r="C12" s="139">
        <f>'Прил.5 Расчет СМР и ОБ'!C62</f>
        <v/>
      </c>
      <c r="D12" s="160">
        <f>'Прил.5 Расчет СМР и ОБ'!D62</f>
        <v/>
      </c>
      <c r="E12" s="160">
        <f>'Прил.5 Расчет СМР и ОБ'!E62</f>
        <v/>
      </c>
      <c r="F12" s="141">
        <f>'Прил.5 Расчет СМР и ОБ'!F62</f>
        <v/>
      </c>
      <c r="G12" s="141">
        <f>'Прил.5 Расчет СМР и ОБ'!G62</f>
        <v/>
      </c>
    </row>
    <row r="13" ht="38.25" customHeight="1" s="116">
      <c r="A13" s="219">
        <f>A12+1</f>
        <v/>
      </c>
      <c r="B13" s="160">
        <f>'Прил.5 Расчет СМР и ОБ'!B63</f>
        <v/>
      </c>
      <c r="C13" s="139">
        <f>'Прил.5 Расчет СМР и ОБ'!C63</f>
        <v/>
      </c>
      <c r="D13" s="160">
        <f>'Прил.5 Расчет СМР и ОБ'!D63</f>
        <v/>
      </c>
      <c r="E13" s="160">
        <f>'Прил.5 Расчет СМР и ОБ'!E63</f>
        <v/>
      </c>
      <c r="F13" s="141">
        <f>'Прил.5 Расчет СМР и ОБ'!F63</f>
        <v/>
      </c>
      <c r="G13" s="141">
        <f>'Прил.5 Расчет СМР и ОБ'!G63</f>
        <v/>
      </c>
    </row>
    <row r="14" ht="38.25" customHeight="1" s="116">
      <c r="A14" s="219">
        <f>A13+1</f>
        <v/>
      </c>
      <c r="B14" s="160">
        <f>'Прил.5 Расчет СМР и ОБ'!B64</f>
        <v/>
      </c>
      <c r="C14" s="139">
        <f>'Прил.5 Расчет СМР и ОБ'!C64</f>
        <v/>
      </c>
      <c r="D14" s="160">
        <f>'Прил.5 Расчет СМР и ОБ'!D64</f>
        <v/>
      </c>
      <c r="E14" s="160">
        <f>'Прил.5 Расчет СМР и ОБ'!E64</f>
        <v/>
      </c>
      <c r="F14" s="141">
        <f>'Прил.5 Расчет СМР и ОБ'!F64</f>
        <v/>
      </c>
      <c r="G14" s="141">
        <f>'Прил.5 Расчет СМР и ОБ'!G64</f>
        <v/>
      </c>
    </row>
    <row r="15" ht="38.25" customHeight="1" s="116">
      <c r="A15" s="219">
        <f>A14+1</f>
        <v/>
      </c>
      <c r="B15" s="160">
        <f>'Прил.5 Расчет СМР и ОБ'!B65</f>
        <v/>
      </c>
      <c r="C15" s="139">
        <f>'Прил.5 Расчет СМР и ОБ'!C65</f>
        <v/>
      </c>
      <c r="D15" s="160">
        <f>'Прил.5 Расчет СМР и ОБ'!D65</f>
        <v/>
      </c>
      <c r="E15" s="160">
        <f>'Прил.5 Расчет СМР и ОБ'!E65</f>
        <v/>
      </c>
      <c r="F15" s="141">
        <f>'Прил.5 Расчет СМР и ОБ'!F65</f>
        <v/>
      </c>
      <c r="G15" s="141">
        <f>'Прил.5 Расчет СМР и ОБ'!G65</f>
        <v/>
      </c>
    </row>
    <row r="16" ht="38.25" customHeight="1" s="116">
      <c r="A16" s="219">
        <f>A15+1</f>
        <v/>
      </c>
      <c r="B16" s="160">
        <f>'Прил.5 Расчет СМР и ОБ'!B66</f>
        <v/>
      </c>
      <c r="C16" s="139">
        <f>'Прил.5 Расчет СМР и ОБ'!C66</f>
        <v/>
      </c>
      <c r="D16" s="160">
        <f>'Прил.5 Расчет СМР и ОБ'!D66</f>
        <v/>
      </c>
      <c r="E16" s="160">
        <f>'Прил.5 Расчет СМР и ОБ'!E66</f>
        <v/>
      </c>
      <c r="F16" s="141">
        <f>'Прил.5 Расчет СМР и ОБ'!F66</f>
        <v/>
      </c>
      <c r="G16" s="141">
        <f>'Прил.5 Расчет СМР и ОБ'!G66</f>
        <v/>
      </c>
    </row>
    <row r="17" ht="25.9" customHeight="1" s="116">
      <c r="A17" s="219">
        <f>A16+1</f>
        <v/>
      </c>
      <c r="B17" s="160" t="inlineStr">
        <is>
          <t>БЦ.16.115</t>
        </is>
      </c>
      <c r="C17" s="218">
        <f>'Прил.5 Расчет СМР и ОБ'!C68</f>
        <v/>
      </c>
      <c r="D17" s="219">
        <f>'Прил.5 Расчет СМР и ОБ'!D68</f>
        <v/>
      </c>
      <c r="E17" s="219">
        <f>'Прил.5 Расчет СМР и ОБ'!E68</f>
        <v/>
      </c>
      <c r="F17" s="141">
        <f>'Прил.5 Расчет СМР и ОБ'!F68</f>
        <v/>
      </c>
      <c r="G17" s="141">
        <f>'Прил.5 Расчет СМР и ОБ'!G68</f>
        <v/>
      </c>
    </row>
    <row r="18">
      <c r="A18" s="219">
        <f>A17+1</f>
        <v/>
      </c>
      <c r="B18" s="160" t="inlineStr">
        <is>
          <t>БЦ.60.48</t>
        </is>
      </c>
      <c r="C18" s="218">
        <f>'Прил.5 Расчет СМР и ОБ'!C69</f>
        <v/>
      </c>
      <c r="D18" s="219">
        <f>'Прил.5 Расчет СМР и ОБ'!D69</f>
        <v/>
      </c>
      <c r="E18" s="219">
        <f>'Прил.5 Расчет СМР и ОБ'!E69</f>
        <v/>
      </c>
      <c r="F18" s="141">
        <f>'Прил.5 Расчет СМР и ОБ'!F69</f>
        <v/>
      </c>
      <c r="G18" s="141">
        <f>'Прил.5 Расчет СМР и ОБ'!G69</f>
        <v/>
      </c>
    </row>
    <row r="19" ht="25.5" customHeight="1" s="116">
      <c r="A19" s="219">
        <f>A18+1</f>
        <v/>
      </c>
      <c r="B19" s="160" t="inlineStr">
        <is>
          <t>БЦ.64.94</t>
        </is>
      </c>
      <c r="C19" s="139">
        <f>'Прил.5 Расчет СМР и ОБ'!C70</f>
        <v/>
      </c>
      <c r="D19" s="160">
        <f>'Прил.5 Расчет СМР и ОБ'!D70</f>
        <v/>
      </c>
      <c r="E19" s="160">
        <f>'Прил.5 Расчет СМР и ОБ'!E70</f>
        <v/>
      </c>
      <c r="F19" s="141">
        <f>'Прил.5 Расчет СМР и ОБ'!F70</f>
        <v/>
      </c>
      <c r="G19" s="141">
        <f>'Прил.5 Расчет СМР и ОБ'!G70</f>
        <v/>
      </c>
    </row>
    <row r="20" ht="25.5" customHeight="1" s="116">
      <c r="A20" s="219" t="n"/>
      <c r="B20" s="13" t="n"/>
      <c r="C20" s="13" t="inlineStr">
        <is>
          <t>ИТОГО ТЕХНОЛОГИЧЕСКОЕ ОБОРУДОВАНИЕ</t>
        </is>
      </c>
      <c r="D20" s="13" t="n"/>
      <c r="E20" s="14" t="n"/>
      <c r="F20" s="221" t="n"/>
      <c r="G20" s="141">
        <f>SUM(G12:G19)</f>
        <v/>
      </c>
    </row>
    <row r="21" ht="19.5" customHeight="1" s="116">
      <c r="A21" s="219" t="n"/>
      <c r="B21" s="218" t="n"/>
      <c r="C21" s="218" t="inlineStr">
        <is>
          <t>Всего по разделу «Оборудование»</t>
        </is>
      </c>
      <c r="D21" s="218" t="n"/>
      <c r="E21" s="236" t="n"/>
      <c r="F21" s="221" t="n"/>
      <c r="G21" s="141">
        <f>G10+G20</f>
        <v/>
      </c>
    </row>
    <row r="22">
      <c r="A22" s="174" t="n"/>
      <c r="B22" s="175" t="n"/>
      <c r="C22" s="174" t="n"/>
      <c r="D22" s="174" t="n"/>
      <c r="E22" s="174" t="n"/>
      <c r="F22" s="174" t="n"/>
      <c r="G22" s="174" t="n"/>
    </row>
    <row r="23" s="116">
      <c r="A23" s="187" t="inlineStr">
        <is>
          <t>Составил ______________________       Р.Р. Шагеева</t>
        </is>
      </c>
      <c r="B23" s="188" t="n"/>
      <c r="D23" s="174" t="n"/>
      <c r="E23" s="174" t="n"/>
      <c r="F23" s="174" t="n"/>
      <c r="G23" s="174" t="n"/>
    </row>
    <row r="24" s="116">
      <c r="A24" s="176" t="inlineStr">
        <is>
          <t xml:space="preserve">                         (подпись, инициалы, фамилия)</t>
        </is>
      </c>
      <c r="B24" s="188" t="n"/>
      <c r="D24" s="174" t="n"/>
      <c r="E24" s="174" t="n"/>
      <c r="F24" s="174" t="n"/>
      <c r="G24" s="174" t="n"/>
    </row>
    <row r="25" s="116">
      <c r="A25" s="187" t="n"/>
      <c r="B25" s="188" t="n"/>
      <c r="C25" s="188" t="n"/>
      <c r="D25" s="174" t="n"/>
      <c r="E25" s="174" t="n"/>
      <c r="F25" s="174" t="n"/>
      <c r="G25" s="174" t="n"/>
    </row>
    <row r="26" s="116">
      <c r="A26" s="187" t="inlineStr">
        <is>
          <t>Проверил ______________________        А.В. Костянецкая</t>
        </is>
      </c>
      <c r="B26" s="188" t="n"/>
      <c r="C26" s="188" t="n"/>
      <c r="D26" s="174" t="n"/>
      <c r="E26" s="174" t="n"/>
      <c r="F26" s="174" t="n"/>
      <c r="G26" s="174" t="n"/>
    </row>
    <row r="27" s="116">
      <c r="A27" s="176" t="inlineStr">
        <is>
          <t xml:space="preserve">                        (подпись, инициалы, фамилия)</t>
        </is>
      </c>
      <c r="B27" s="188" t="n"/>
      <c r="C27" s="188" t="n"/>
      <c r="D27" s="174" t="n"/>
      <c r="E27" s="174" t="n"/>
      <c r="F27" s="174" t="n"/>
      <c r="G27" s="1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16" min="1" max="1"/>
    <col width="29.7109375" customWidth="1" style="116" min="2" max="2"/>
    <col width="39.140625" customWidth="1" style="116" min="3" max="3"/>
    <col width="24.5703125" customWidth="1" style="116" min="4" max="4"/>
    <col width="8.85546875" customWidth="1" style="116" min="5" max="5"/>
  </cols>
  <sheetData>
    <row r="1">
      <c r="B1" s="187" t="n"/>
      <c r="C1" s="187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16">
      <c r="A3" s="215" t="inlineStr">
        <is>
          <t>Расчет показателя УНЦ</t>
        </is>
      </c>
    </row>
    <row r="4" ht="24.75" customHeight="1" s="116">
      <c r="A4" s="215" t="n"/>
      <c r="B4" s="215" t="n"/>
      <c r="C4" s="215" t="n"/>
      <c r="D4" s="215" t="n"/>
    </row>
    <row r="5" ht="45" customHeight="1" s="116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</f>
        <v/>
      </c>
    </row>
    <row r="6" ht="19.9" customHeight="1" s="116">
      <c r="A6" s="230" t="inlineStr">
        <is>
          <t>Единица измерения  — 1 ячейка</t>
        </is>
      </c>
      <c r="D6" s="230" t="n"/>
    </row>
    <row r="7">
      <c r="A7" s="187" t="n"/>
      <c r="B7" s="187" t="n"/>
      <c r="C7" s="187" t="n"/>
      <c r="D7" s="187" t="n"/>
    </row>
    <row r="8" ht="14.45" customHeight="1" s="116">
      <c r="A8" s="219" t="inlineStr">
        <is>
          <t>Код показателя</t>
        </is>
      </c>
      <c r="B8" s="219" t="inlineStr">
        <is>
          <t>Наименование показателя</t>
        </is>
      </c>
      <c r="C8" s="219" t="inlineStr">
        <is>
          <t>Наименование РМ, входящих в состав показателя</t>
        </is>
      </c>
      <c r="D8" s="219" t="inlineStr">
        <is>
          <t>Норматив цены на 01.01.2023, тыс.руб.</t>
        </is>
      </c>
    </row>
    <row r="9" ht="15" customHeight="1" s="116">
      <c r="A9" s="247" t="n"/>
      <c r="B9" s="247" t="n"/>
      <c r="C9" s="247" t="n"/>
      <c r="D9" s="247" t="n"/>
    </row>
    <row r="10">
      <c r="A10" s="219" t="n">
        <v>1</v>
      </c>
      <c r="B10" s="219" t="n">
        <v>2</v>
      </c>
      <c r="C10" s="219" t="n">
        <v>3</v>
      </c>
      <c r="D10" s="219" t="n">
        <v>4</v>
      </c>
    </row>
    <row r="11" ht="41.45" customHeight="1" s="116">
      <c r="A11" s="219" t="inlineStr">
        <is>
          <t>В1-01-1</t>
        </is>
      </c>
      <c r="B11" s="219" t="inlineStr">
        <is>
          <t xml:space="preserve">УНЦ ячейки выключателя НУ 110 -750 кВ </t>
        </is>
      </c>
      <c r="C11" s="189">
        <f>D5</f>
        <v/>
      </c>
      <c r="D11" s="186">
        <f>'Прил.4 РМ'!C41/1000</f>
        <v/>
      </c>
      <c r="E11" s="173" t="n"/>
    </row>
    <row r="12">
      <c r="A12" s="174" t="n"/>
      <c r="B12" s="175" t="n"/>
      <c r="C12" s="174" t="n"/>
      <c r="D12" s="174" t="n"/>
    </row>
    <row r="13">
      <c r="A13" s="187" t="inlineStr">
        <is>
          <t>Составил ______________________      Р.Р. Шагеева</t>
        </is>
      </c>
      <c r="B13" s="188" t="n"/>
      <c r="C13" s="188" t="n"/>
      <c r="D13" s="174" t="n"/>
    </row>
    <row r="14">
      <c r="A14" s="176" t="inlineStr">
        <is>
          <t xml:space="preserve">                         (подпись, инициалы, фамилия)</t>
        </is>
      </c>
      <c r="B14" s="188" t="n"/>
      <c r="C14" s="188" t="n"/>
      <c r="D14" s="174" t="n"/>
    </row>
    <row r="15">
      <c r="A15" s="187" t="n"/>
      <c r="B15" s="188" t="n"/>
      <c r="C15" s="188" t="n"/>
      <c r="D15" s="174" t="n"/>
    </row>
    <row r="16">
      <c r="A16" s="187" t="inlineStr">
        <is>
          <t>Проверил ______________________        А.В. Костянецкая</t>
        </is>
      </c>
      <c r="B16" s="188" t="n"/>
      <c r="C16" s="188" t="n"/>
      <c r="D16" s="174" t="n"/>
    </row>
    <row r="17">
      <c r="A17" s="176" t="inlineStr">
        <is>
          <t xml:space="preserve">                        (подпись, инициалы, фамилия)</t>
        </is>
      </c>
      <c r="B17" s="188" t="n"/>
      <c r="C17" s="188" t="n"/>
      <c r="D17" s="1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topLeftCell="A13" zoomScale="85" zoomScaleNormal="85" workbookViewId="0">
      <selection activeCell="B30" sqref="B30"/>
    </sheetView>
  </sheetViews>
  <sheetFormatPr baseColWidth="8" defaultRowHeight="15"/>
  <cols>
    <col width="40.7109375" customWidth="1" style="116" min="2" max="2"/>
    <col width="37" customWidth="1" style="116" min="3" max="3"/>
    <col width="32" customWidth="1" style="116" min="4" max="4"/>
  </cols>
  <sheetData>
    <row r="4" ht="15.75" customHeight="1" s="116">
      <c r="B4" s="202" t="inlineStr">
        <is>
          <t>Приложение № 10</t>
        </is>
      </c>
    </row>
    <row r="5" ht="18.75" customHeight="1" s="116">
      <c r="B5" s="40" t="n"/>
    </row>
    <row r="6" ht="15.75" customHeight="1" s="116">
      <c r="B6" s="207" t="inlineStr">
        <is>
          <t>Используемые индексы изменений сметной стоимости и нормы сопутствующих затрат</t>
        </is>
      </c>
    </row>
    <row r="7" ht="18.75" customHeight="1" s="116">
      <c r="B7" s="80" t="n"/>
    </row>
    <row r="8" ht="47.25" customHeight="1" s="116">
      <c r="B8" s="206" t="inlineStr">
        <is>
          <t>Наименование индекса / норм сопутствующих затрат</t>
        </is>
      </c>
      <c r="C8" s="206" t="inlineStr">
        <is>
          <t>Дата применения и обоснование индекса / норм сопутствующих затрат</t>
        </is>
      </c>
      <c r="D8" s="206" t="inlineStr">
        <is>
          <t>Размер индекса / норма сопутствующих затрат</t>
        </is>
      </c>
    </row>
    <row r="9" ht="15.75" customHeight="1" s="116">
      <c r="B9" s="206" t="n">
        <v>1</v>
      </c>
      <c r="C9" s="206" t="n">
        <v>2</v>
      </c>
      <c r="D9" s="206" t="n">
        <v>3</v>
      </c>
    </row>
    <row r="10" ht="45" customHeight="1" s="116">
      <c r="B10" s="206" t="inlineStr">
        <is>
          <t xml:space="preserve">Индекс изменения сметной стоимости на 1 квартал 2023 года. ОЗП </t>
        </is>
      </c>
      <c r="C10" s="206" t="inlineStr">
        <is>
          <t>Письмо Минстроя России от 30.03.2023г. №17106-ИФ/09  прил.1</t>
        </is>
      </c>
      <c r="D10" s="206" t="n">
        <v>44.29</v>
      </c>
    </row>
    <row r="11" ht="29.25" customHeight="1" s="116">
      <c r="B11" s="206" t="inlineStr">
        <is>
          <t>Индекс изменения сметной стоимости на 1 квартал 2023 года. ЭМ</t>
        </is>
      </c>
      <c r="C11" s="206" t="inlineStr">
        <is>
          <t>Письмо Минстроя России от 30.03.2023г. №17106-ИФ/09  прил.1</t>
        </is>
      </c>
      <c r="D11" s="206" t="n">
        <v>13.47</v>
      </c>
    </row>
    <row r="12" ht="29.25" customHeight="1" s="116">
      <c r="B12" s="206" t="inlineStr">
        <is>
          <t>Индекс изменения сметной стоимости на 1 квартал 2023 года. МАТ</t>
        </is>
      </c>
      <c r="C12" s="206" t="inlineStr">
        <is>
          <t>Письмо Минстроя России от 30.03.2023г. №17106-ИФ/09  прил.1</t>
        </is>
      </c>
      <c r="D12" s="206" t="n">
        <v>8.039999999999999</v>
      </c>
    </row>
    <row r="13" ht="30.75" customHeight="1" s="116">
      <c r="B13" s="206" t="inlineStr">
        <is>
          <t>Индекс изменения сметной стоимости на 1 квартал 2023 года. ОБ</t>
        </is>
      </c>
      <c r="C13" s="83" t="inlineStr">
        <is>
          <t>Письмо Минстроя России от 23.02.2023г. №9791-ИФ/09 прил.6</t>
        </is>
      </c>
      <c r="D13" s="206" t="n">
        <v>6.26</v>
      </c>
    </row>
    <row r="14" ht="89.45" customHeight="1" s="116">
      <c r="B14" s="206" t="inlineStr">
        <is>
          <t>Временные здания и сооружения</t>
        </is>
      </c>
      <c r="C14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16">
      <c r="B15" s="206" t="inlineStr">
        <is>
          <t>Дополнительные затраты при производстве строительно-монтажных работ в зимнее время</t>
        </is>
      </c>
      <c r="C15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16">
      <c r="B16" s="206" t="inlineStr">
        <is>
          <t>Пусконаладочные работы</t>
        </is>
      </c>
      <c r="C16" s="206" t="n"/>
      <c r="D16" s="206" t="inlineStr">
        <is>
          <t>Расчёт</t>
        </is>
      </c>
    </row>
    <row r="17" ht="31.7" customHeight="1" s="116">
      <c r="B17" s="206" t="inlineStr">
        <is>
          <t>Строительный контроль</t>
        </is>
      </c>
      <c r="C17" s="206" t="inlineStr">
        <is>
          <t>Постановление Правительства РФ от 21.06.10 г. № 468</t>
        </is>
      </c>
      <c r="D17" s="52" t="n">
        <v>0.0214</v>
      </c>
    </row>
    <row r="18" ht="31.7" customHeight="1" s="116">
      <c r="B18" s="206" t="inlineStr">
        <is>
          <t>Авторский надзор - 0,2%</t>
        </is>
      </c>
      <c r="C18" s="206" t="inlineStr">
        <is>
          <t>Приказ от 4.08.2020 № 421/пр п.173</t>
        </is>
      </c>
      <c r="D18" s="52" t="n">
        <v>0.002</v>
      </c>
    </row>
    <row r="19" ht="24" customHeight="1" s="116">
      <c r="B19" s="206" t="inlineStr">
        <is>
          <t>Непредвиденные расходы</t>
        </is>
      </c>
      <c r="C19" s="206" t="inlineStr">
        <is>
          <t>Приказ от 4.08.2020 № 421/пр п.179</t>
        </is>
      </c>
      <c r="D19" s="52" t="n">
        <v>0.03</v>
      </c>
    </row>
    <row r="20" ht="18.75" customHeight="1" s="116">
      <c r="B20" s="80" t="n"/>
    </row>
    <row r="21" ht="18.75" customHeight="1" s="116">
      <c r="B21" s="80" t="n"/>
    </row>
    <row r="22" ht="18.75" customHeight="1" s="116">
      <c r="B22" s="80" t="n"/>
    </row>
    <row r="23" ht="18.75" customHeight="1" s="116">
      <c r="B23" s="80" t="n"/>
    </row>
    <row r="26">
      <c r="B26" s="187" t="inlineStr">
        <is>
          <t>Составил ______________________       Р.Р. Шагеева</t>
        </is>
      </c>
      <c r="C26" s="188" t="n"/>
    </row>
    <row r="27">
      <c r="B27" s="176" t="inlineStr">
        <is>
          <t xml:space="preserve">                         (подпись, инициалы, фамилия)</t>
        </is>
      </c>
      <c r="C27" s="188" t="n"/>
    </row>
    <row r="28">
      <c r="B28" s="187" t="n"/>
      <c r="C28" s="188" t="n"/>
    </row>
    <row r="29">
      <c r="B29" s="187" t="inlineStr">
        <is>
          <t>Проверил ______________________        А.В. Костянецкая</t>
        </is>
      </c>
      <c r="C29" s="188" t="n"/>
    </row>
    <row r="30">
      <c r="B30" s="176" t="inlineStr">
        <is>
          <t xml:space="preserve">                        (подпись, инициалы, фамилия)</t>
        </is>
      </c>
      <c r="C30" s="1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3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85" workbookViewId="0">
      <selection activeCell="F21" sqref="F21"/>
    </sheetView>
  </sheetViews>
  <sheetFormatPr baseColWidth="8" defaultRowHeight="15"/>
  <cols>
    <col width="9.140625" customWidth="1" style="116" min="1" max="1"/>
    <col width="44.85546875" customWidth="1" style="116" min="2" max="2"/>
    <col width="13" customWidth="1" style="116" min="3" max="3"/>
    <col width="22.85546875" customWidth="1" style="116" min="4" max="4"/>
    <col width="21.5703125" customWidth="1" style="116" min="5" max="5"/>
    <col width="43.85546875" customWidth="1" style="116" min="6" max="6"/>
    <col width="9.140625" customWidth="1" style="116" min="7" max="7"/>
  </cols>
  <sheetData>
    <row r="2" ht="18" customHeight="1" s="116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16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16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16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4.2</v>
      </c>
      <c r="F10" s="50" t="inlineStr">
        <is>
          <t>РТМ</t>
        </is>
      </c>
      <c r="G10" s="32" t="n"/>
    </row>
    <row r="11" ht="75.2" customHeight="1" s="116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1.38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16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16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2025-01-24T11:54:25Z</dcterms:modified>
  <cp:lastModifiedBy>Danil</cp:lastModifiedBy>
  <cp:lastPrinted>2023-11-24T02:59:02Z</cp:lastPrinted>
</cp:coreProperties>
</file>