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РМ'!$A$1:$E$49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_-* #,##0.0000\ _₽_-;\-* #,##0.0000\ _₽_-;_-* &quot;-&quot;????\ _₽_-;_-@_-"/>
    <numFmt numFmtId="167" formatCode="#,##0.0"/>
    <numFmt numFmtId="168" formatCode="#,##0.000"/>
    <numFmt numFmtId="169" formatCode="0.0000"/>
    <numFmt numFmtId="170" formatCode="#,##0.0000"/>
    <numFmt numFmtId="171" formatCode="#,##0.00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Arial"/>
      <i val="1"/>
      <color rgb="FF000000"/>
      <sz val="9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65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vertical="center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1" fillId="0" borderId="0" applyAlignment="1" pivotButton="0" quotePrefix="0" xfId="0">
      <alignment vertical="top"/>
    </xf>
    <xf numFmtId="4" fontId="2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165" fontId="4" fillId="0" borderId="0" pivotButton="0" quotePrefix="0" xfId="0"/>
    <xf numFmtId="166" fontId="4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9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0" applyAlignment="1" pivotButton="0" quotePrefix="0" xfId="0">
      <alignment horizontal="justify" vertical="center"/>
    </xf>
    <xf numFmtId="0" fontId="0" fillId="4" borderId="0" pivotButton="0" quotePrefix="0" xfId="0"/>
    <xf numFmtId="0" fontId="1" fillId="4" borderId="0" pivotButton="0" quotePrefix="0" xfId="0"/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16" fillId="4" borderId="0" applyAlignment="1" pivotButton="0" quotePrefix="0" xfId="0">
      <alignment horizontal="center" vertical="center"/>
    </xf>
    <xf numFmtId="0" fontId="17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11" fillId="4" borderId="0" applyAlignment="1" pivotButton="0" quotePrefix="0" xfId="0">
      <alignment vertical="top"/>
    </xf>
    <xf numFmtId="0" fontId="17" fillId="4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9" fillId="0" borderId="4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4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7" fillId="4" borderId="0" applyAlignment="1" pivotButton="0" quotePrefix="0" xfId="0">
      <alignment horizontal="justify" vertical="center"/>
    </xf>
    <xf numFmtId="0" fontId="21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4" borderId="0" applyAlignment="1" pivotButton="0" quotePrefix="0" xfId="0">
      <alignment horizontal="left" vertical="center"/>
    </xf>
    <xf numFmtId="0" fontId="17" fillId="4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2" fillId="0" borderId="10" applyAlignment="1" pivotButton="0" quotePrefix="0" xfId="0">
      <alignment horizontal="left" vertical="center" wrapText="1"/>
    </xf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3" zoomScale="60" zoomScaleNormal="70" workbookViewId="0">
      <selection activeCell="C26" sqref="C26"/>
    </sheetView>
  </sheetViews>
  <sheetFormatPr baseColWidth="8" defaultRowHeight="15"/>
  <cols>
    <col width="36.85546875" customWidth="1" style="284" min="3" max="3"/>
    <col width="46" customWidth="1" style="284" min="4" max="4"/>
  </cols>
  <sheetData>
    <row r="3" ht="15.75" customHeight="1" s="284">
      <c r="B3" s="326" t="inlineStr">
        <is>
          <t>Приложение № 1</t>
        </is>
      </c>
    </row>
    <row r="4" ht="18.75" customHeight="1" s="284">
      <c r="B4" s="328" t="inlineStr">
        <is>
          <t>Сравнительная таблица отбора объекта-представителя</t>
        </is>
      </c>
    </row>
    <row r="5" ht="84.2" customHeight="1" s="28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4">
      <c r="B6" s="268" t="n"/>
      <c r="C6" s="268" t="n"/>
      <c r="D6" s="268" t="n"/>
    </row>
    <row r="7" ht="15.75" customHeight="1" s="284">
      <c r="B7" s="327" t="inlineStr">
        <is>
          <t>Наименование разрабатываемого показателя УНЦ — Ячейка выключателя НУ 220(150)кВ, ном.ток вне зависимости, ном.ток отключения 50кА</t>
        </is>
      </c>
    </row>
    <row r="8" ht="31.7" customHeight="1" s="284">
      <c r="B8" s="327" t="inlineStr">
        <is>
          <t>Сопоставимый уровень цен: 3 квартал 2014 года</t>
        </is>
      </c>
    </row>
    <row r="9" ht="15.75" customHeight="1" s="284">
      <c r="B9" s="327" t="inlineStr">
        <is>
          <t>Единица измерения  — 1 ячейка</t>
        </is>
      </c>
    </row>
    <row r="10" ht="18.75" customHeight="1" s="284">
      <c r="B10" s="263" t="n"/>
      <c r="C10" s="264" t="n"/>
      <c r="D10" s="264" t="n"/>
    </row>
    <row r="11" ht="15.75" customHeight="1" s="284">
      <c r="B11" s="336" t="inlineStr">
        <is>
          <t>№ п/п</t>
        </is>
      </c>
      <c r="C11" s="336" t="inlineStr">
        <is>
          <t>Параметр</t>
        </is>
      </c>
      <c r="D11" s="336" t="inlineStr">
        <is>
          <t>Объект-представитель</t>
        </is>
      </c>
    </row>
    <row r="12" ht="31.7" customHeight="1" s="284">
      <c r="B12" s="334" t="n">
        <v>1</v>
      </c>
      <c r="C12" s="226" t="inlineStr">
        <is>
          <t>Наименование объекта-представителя</t>
        </is>
      </c>
      <c r="D12" s="334" t="inlineStr">
        <is>
          <t>ПС Святогор (МЭС Западная Сибирь)</t>
        </is>
      </c>
    </row>
    <row r="13" ht="62.45" customHeight="1" s="284">
      <c r="B13" s="334" t="n">
        <v>2</v>
      </c>
      <c r="C13" s="226" t="inlineStr">
        <is>
          <t>Наименование субъекта Российской Федерации</t>
        </is>
      </c>
      <c r="D13" s="334" t="inlineStr">
        <is>
          <t>Тюменская область 
Ханты-Мансийский автономный округ — Югра
 Нефтеюганский район</t>
        </is>
      </c>
    </row>
    <row r="14" ht="15.75" customHeight="1" s="284">
      <c r="B14" s="334" t="n">
        <v>3</v>
      </c>
      <c r="C14" s="226" t="inlineStr">
        <is>
          <t>Климатический район и подрайон</t>
        </is>
      </c>
      <c r="D14" s="334" t="inlineStr">
        <is>
          <t>I</t>
        </is>
      </c>
    </row>
    <row r="15" ht="15.75" customHeight="1" s="284">
      <c r="B15" s="334" t="n">
        <v>4</v>
      </c>
      <c r="C15" s="226" t="inlineStr">
        <is>
          <t>Мощность объекта</t>
        </is>
      </c>
      <c r="D15" s="334" t="inlineStr">
        <is>
          <t>Кол-во выключателей - 8</t>
        </is>
      </c>
    </row>
    <row r="16" ht="94.7" customHeight="1" s="284">
      <c r="B16" s="334" t="n">
        <v>5</v>
      </c>
      <c r="C16" s="20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</row>
    <row r="17" ht="78.75" customHeight="1" s="284">
      <c r="B17" s="334" t="n">
        <v>6</v>
      </c>
      <c r="C17" s="20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3">
        <f>SUM(D18:D21)</f>
        <v/>
      </c>
    </row>
    <row r="18" ht="15.75" customHeight="1" s="284">
      <c r="B18" s="182" t="inlineStr">
        <is>
          <t>6.1</t>
        </is>
      </c>
      <c r="C18" s="226" t="inlineStr">
        <is>
          <t>строительно-монтажные работы</t>
        </is>
      </c>
      <c r="D18" s="313" t="n">
        <v>19905.25</v>
      </c>
    </row>
    <row r="19" ht="15.75" customHeight="1" s="284">
      <c r="B19" s="182" t="inlineStr">
        <is>
          <t>6.2</t>
        </is>
      </c>
      <c r="C19" s="226" t="inlineStr">
        <is>
          <t>оборудование и инвентарь</t>
        </is>
      </c>
      <c r="D19" s="313" t="n">
        <v>28244.98</v>
      </c>
    </row>
    <row r="20" ht="15.75" customHeight="1" s="284">
      <c r="B20" s="182" t="inlineStr">
        <is>
          <t>6.3</t>
        </is>
      </c>
      <c r="C20" s="226" t="inlineStr">
        <is>
          <t>пусконаладочные работы</t>
        </is>
      </c>
      <c r="D20" s="313" t="n"/>
    </row>
    <row r="21" ht="31.7" customHeight="1" s="284">
      <c r="B21" s="182" t="inlineStr">
        <is>
          <t>6.4</t>
        </is>
      </c>
      <c r="C21" s="226" t="inlineStr">
        <is>
          <t>прочие и лимитированные затраты</t>
        </is>
      </c>
      <c r="D21" s="313" t="n">
        <v>7467.02</v>
      </c>
    </row>
    <row r="22" ht="15.75" customHeight="1" s="284">
      <c r="B22" s="334" t="n">
        <v>7</v>
      </c>
      <c r="C22" s="226" t="inlineStr">
        <is>
          <t>Сопоставимый уровень цен</t>
        </is>
      </c>
      <c r="D22" s="313" t="inlineStr">
        <is>
          <t>3 кв 2014</t>
        </is>
      </c>
    </row>
    <row r="23" ht="110.25" customHeight="1" s="284">
      <c r="B23" s="334" t="n">
        <v>8</v>
      </c>
      <c r="C23" s="20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3">
        <f>D17</f>
        <v/>
      </c>
    </row>
    <row r="24" ht="61.5" customHeight="1" s="284">
      <c r="B24" s="334" t="n">
        <v>9</v>
      </c>
      <c r="C24" s="201" t="inlineStr">
        <is>
          <t>Приведенная сметная стоимость на единицу мощности, тыс. руб. (строка 8/строку 4)</t>
        </is>
      </c>
      <c r="D24" s="313">
        <f>D23/8</f>
        <v/>
      </c>
    </row>
    <row r="25" ht="37.5" customHeight="1" s="284">
      <c r="B25" s="175" t="n"/>
      <c r="C25" s="176" t="n"/>
      <c r="D25" s="176" t="n"/>
    </row>
    <row r="26">
      <c r="B26" s="298" t="inlineStr">
        <is>
          <t>Составил ______________________        Е.А. Князева</t>
        </is>
      </c>
      <c r="C26" s="301" t="n"/>
    </row>
    <row r="27">
      <c r="B27" s="300" t="inlineStr">
        <is>
          <t xml:space="preserve">                         (подпись, инициалы, фамилия)</t>
        </is>
      </c>
      <c r="C27" s="301" t="n"/>
    </row>
    <row r="28">
      <c r="B28" s="298" t="n"/>
      <c r="C28" s="301" t="n"/>
    </row>
    <row r="29">
      <c r="B29" s="298" t="inlineStr">
        <is>
          <t>Проверил ______________________        А.В. Костянецкая</t>
        </is>
      </c>
      <c r="C29" s="301" t="n"/>
    </row>
    <row r="30">
      <c r="B30" s="300" t="inlineStr">
        <is>
          <t xml:space="preserve">                        (подпись, инициалы, фамилия)</t>
        </is>
      </c>
      <c r="C30" s="301" t="n"/>
    </row>
    <row r="31" ht="15.75" customHeight="1" s="284">
      <c r="B31" s="176" t="n"/>
      <c r="C31" s="176" t="n"/>
      <c r="D31" s="17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10" zoomScale="60" zoomScaleNormal="70" workbookViewId="0">
      <selection activeCell="C18" sqref="C18"/>
    </sheetView>
  </sheetViews>
  <sheetFormatPr baseColWidth="8" defaultRowHeight="15"/>
  <cols>
    <col width="5.5703125" customWidth="1" style="284" min="1" max="1"/>
    <col width="35.28515625" customWidth="1" style="284" min="3" max="3"/>
    <col width="13.85546875" customWidth="1" style="284" min="4" max="4"/>
    <col width="17.42578125" customWidth="1" style="284" min="5" max="5"/>
    <col width="12.7109375" customWidth="1" style="284" min="6" max="6"/>
    <col width="14.85546875" customWidth="1" style="284" min="7" max="7"/>
    <col width="16.7109375" customWidth="1" style="284" min="8" max="8"/>
    <col width="13" customWidth="1" style="284" min="9" max="10"/>
    <col width="18" customWidth="1" style="284" min="11" max="11"/>
  </cols>
  <sheetData>
    <row r="3" ht="15.75" customHeight="1" s="284">
      <c r="B3" s="326" t="inlineStr">
        <is>
          <t>Приложение № 2</t>
        </is>
      </c>
    </row>
    <row r="4" ht="15.75" customHeight="1" s="28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84"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</row>
    <row r="6" ht="15.75" customHeight="1" s="284">
      <c r="B6" s="333" t="inlineStr">
        <is>
          <t>Наименование разрабатываемого показателя УНЦ - Ячейка выключателя НУ 220 кВ 40 кА</t>
        </is>
      </c>
    </row>
    <row r="7" ht="15.75" customHeight="1" s="284">
      <c r="B7" s="333" t="inlineStr">
        <is>
          <t>Единица измерения  — 1 ячейка</t>
        </is>
      </c>
    </row>
    <row r="8" ht="18.75" customHeight="1" s="284">
      <c r="B8" s="174" t="n"/>
    </row>
    <row r="9" ht="15.75" customHeight="1" s="284">
      <c r="B9" s="334" t="inlineStr">
        <is>
          <t>№ п/п</t>
        </is>
      </c>
      <c r="C9" s="3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4" t="inlineStr">
        <is>
          <t>Объект-представитель 1</t>
        </is>
      </c>
      <c r="E9" s="415" t="n"/>
      <c r="F9" s="415" t="n"/>
      <c r="G9" s="415" t="n"/>
      <c r="H9" s="415" t="n"/>
      <c r="I9" s="415" t="n"/>
      <c r="J9" s="416" t="n"/>
    </row>
    <row r="10" ht="15.75" customHeight="1" s="284">
      <c r="B10" s="417" t="n"/>
      <c r="C10" s="417" t="n"/>
      <c r="D10" s="334" t="inlineStr">
        <is>
          <t>Номер сметы</t>
        </is>
      </c>
      <c r="E10" s="334" t="inlineStr">
        <is>
          <t>Наименование сметы</t>
        </is>
      </c>
      <c r="F10" s="334" t="inlineStr">
        <is>
          <t>Сметная стоимость в уровне цен 3 кв. 2014 г., тыс. руб.</t>
        </is>
      </c>
      <c r="G10" s="415" t="n"/>
      <c r="H10" s="415" t="n"/>
      <c r="I10" s="415" t="n"/>
      <c r="J10" s="416" t="n"/>
    </row>
    <row r="11" ht="31.7" customHeight="1" s="284">
      <c r="B11" s="418" t="n"/>
      <c r="C11" s="418" t="n"/>
      <c r="D11" s="418" t="n"/>
      <c r="E11" s="418" t="n"/>
      <c r="F11" s="334" t="inlineStr">
        <is>
          <t>Строительные работы</t>
        </is>
      </c>
      <c r="G11" s="334" t="inlineStr">
        <is>
          <t>Монтажные работы</t>
        </is>
      </c>
      <c r="H11" s="334" t="inlineStr">
        <is>
          <t>Оборудование</t>
        </is>
      </c>
      <c r="I11" s="334" t="inlineStr">
        <is>
          <t>Прочее</t>
        </is>
      </c>
      <c r="J11" s="334" t="inlineStr">
        <is>
          <t>Всего</t>
        </is>
      </c>
    </row>
    <row r="12" ht="125.1" customHeight="1" s="284">
      <c r="B12" s="334" t="n">
        <v>1</v>
      </c>
      <c r="C12" s="334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334" t="inlineStr">
        <is>
          <t>ОСР 01-03</t>
        </is>
      </c>
      <c r="E12" s="334" t="inlineStr">
        <is>
          <t>01-03 Подготовительные работы</t>
        </is>
      </c>
      <c r="F12" s="313">
        <f>2693538*7.39/1000</f>
        <v/>
      </c>
      <c r="G12" s="313" t="n"/>
      <c r="H12" s="313">
        <f>6991331*4.04/1000</f>
        <v/>
      </c>
      <c r="I12" s="313">
        <f>941617*7.93/1000</f>
        <v/>
      </c>
      <c r="J12" s="313">
        <f>SUM(F12:I12)</f>
        <v/>
      </c>
    </row>
    <row r="13" ht="15.75" customHeight="1" s="284">
      <c r="B13" s="330" t="inlineStr">
        <is>
          <t>Всего по объекту:</t>
        </is>
      </c>
      <c r="C13" s="419" t="n"/>
      <c r="D13" s="419" t="n"/>
      <c r="E13" s="420" t="n"/>
      <c r="F13" s="314">
        <f>SUM(F12)</f>
        <v/>
      </c>
      <c r="G13" s="314" t="n"/>
      <c r="H13" s="314">
        <f>SUM(H12)</f>
        <v/>
      </c>
      <c r="I13" s="316">
        <f>I12</f>
        <v/>
      </c>
      <c r="J13" s="314">
        <f>SUM(J12)</f>
        <v/>
      </c>
    </row>
    <row r="14" ht="28.5" customHeight="1" s="284">
      <c r="B14" s="331" t="inlineStr">
        <is>
          <t>Всего по объекту в сопоставимом уровне цен 3 кв. 2014 г:</t>
        </is>
      </c>
      <c r="C14" s="415" t="n"/>
      <c r="D14" s="415" t="n"/>
      <c r="E14" s="416" t="n"/>
      <c r="F14" s="316">
        <f>SUM(F13)</f>
        <v/>
      </c>
      <c r="G14" s="316" t="n"/>
      <c r="H14" s="316">
        <f>SUM(H13)</f>
        <v/>
      </c>
      <c r="I14" s="316">
        <f>SUM(I13)</f>
        <v/>
      </c>
      <c r="J14" s="316">
        <f>SUM(J13)</f>
        <v/>
      </c>
    </row>
    <row r="15" ht="18.75" customHeight="1" s="284">
      <c r="B15" s="263" t="n"/>
      <c r="C15" s="264" t="n"/>
      <c r="D15" s="264" t="n"/>
      <c r="E15" s="264" t="n"/>
      <c r="F15" s="264" t="n"/>
      <c r="G15" s="264" t="n"/>
      <c r="H15" s="264" t="n"/>
      <c r="I15" s="264" t="n"/>
      <c r="J15" s="264" t="n"/>
    </row>
    <row r="16">
      <c r="B16" s="264" t="n"/>
      <c r="C16" s="264" t="n"/>
      <c r="D16" s="264" t="n"/>
      <c r="E16" s="264" t="n"/>
      <c r="F16" s="264" t="n"/>
      <c r="G16" s="264" t="n"/>
      <c r="H16" s="264" t="n"/>
      <c r="I16" s="264" t="n"/>
      <c r="J16" s="264" t="n"/>
    </row>
    <row r="17">
      <c r="B17" s="264" t="n"/>
      <c r="C17" s="264" t="n"/>
      <c r="D17" s="264" t="n"/>
      <c r="E17" s="264" t="n"/>
      <c r="F17" s="264" t="n"/>
      <c r="G17" s="264" t="n"/>
      <c r="H17" s="264" t="n"/>
      <c r="I17" s="264" t="n"/>
      <c r="J17" s="264" t="n"/>
    </row>
    <row r="18">
      <c r="B18" s="264" t="n"/>
      <c r="C18" s="265" t="inlineStr">
        <is>
          <t>Составил ______________________        Е.А. Князева</t>
        </is>
      </c>
      <c r="D18" s="266" t="n"/>
      <c r="E18" s="264" t="n"/>
      <c r="F18" s="264" t="n"/>
      <c r="G18" s="264" t="n"/>
      <c r="H18" s="264" t="n"/>
      <c r="I18" s="264" t="n"/>
      <c r="J18" s="264" t="n"/>
    </row>
    <row r="19">
      <c r="B19" s="264" t="n"/>
      <c r="C19" s="267" t="inlineStr">
        <is>
          <t xml:space="preserve">                         (подпись, инициалы, фамилия)</t>
        </is>
      </c>
      <c r="D19" s="266" t="n"/>
      <c r="E19" s="264" t="n"/>
      <c r="F19" s="264" t="n"/>
      <c r="G19" s="264" t="n"/>
      <c r="H19" s="264" t="n"/>
      <c r="I19" s="264" t="n"/>
      <c r="J19" s="264" t="n"/>
    </row>
    <row r="20">
      <c r="C20" s="298" t="n"/>
      <c r="D20" s="301" t="n"/>
    </row>
    <row r="21">
      <c r="C21" s="298" t="inlineStr">
        <is>
          <t>Проверил ______________________        А.В. Костянецкая</t>
        </is>
      </c>
      <c r="D21" s="301" t="n"/>
    </row>
    <row r="22">
      <c r="C22" s="300" t="inlineStr">
        <is>
          <t xml:space="preserve">                        (подпись, инициалы, фамилия)</t>
        </is>
      </c>
      <c r="D22" s="30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48"/>
  <sheetViews>
    <sheetView view="pageBreakPreview" topLeftCell="A118" zoomScale="60" zoomScaleNormal="85" workbookViewId="0">
      <selection activeCell="D143" sqref="D143"/>
    </sheetView>
  </sheetViews>
  <sheetFormatPr baseColWidth="8" defaultRowHeight="15"/>
  <cols>
    <col width="12.5703125" customWidth="1" style="284" min="2" max="2"/>
    <col width="17" customWidth="1" style="284" min="3" max="3"/>
    <col width="49.7109375" customWidth="1" style="284" min="4" max="4"/>
    <col width="16.28515625" customWidth="1" style="284" min="5" max="5"/>
    <col width="20.7109375" customWidth="1" style="284" min="6" max="6"/>
    <col width="16.140625" customWidth="1" style="284" min="7" max="7"/>
    <col width="16.7109375" customWidth="1" style="284" min="8" max="8"/>
  </cols>
  <sheetData>
    <row r="2" ht="15.75" customHeight="1" s="284">
      <c r="A2" s="326" t="inlineStr">
        <is>
          <t xml:space="preserve">Приложение № 3 </t>
        </is>
      </c>
    </row>
    <row r="3" ht="18.75" customHeight="1" s="284">
      <c r="A3" s="328" t="inlineStr">
        <is>
          <t>Объектная ресурсная ведомость</t>
        </is>
      </c>
    </row>
    <row r="4" ht="25.5" customHeight="1" s="284">
      <c r="A4" s="264" t="n"/>
      <c r="B4" s="275" t="n"/>
      <c r="C4" s="3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25.5" customHeight="1" s="284">
      <c r="A5" s="264" t="n"/>
      <c r="B5" s="275" t="n"/>
      <c r="C5" s="339" t="n"/>
      <c r="D5" s="339" t="n"/>
      <c r="E5" s="339" t="n"/>
      <c r="F5" s="339" t="n"/>
      <c r="G5" s="339" t="n"/>
      <c r="H5" s="339" t="n"/>
    </row>
    <row r="6" ht="18.75" customHeight="1" s="284">
      <c r="A6" s="263" t="n"/>
      <c r="B6" s="264" t="n"/>
      <c r="C6" s="264" t="n"/>
      <c r="D6" s="264" t="n"/>
      <c r="E6" s="264" t="n"/>
      <c r="F6" s="264" t="n"/>
      <c r="G6" s="264" t="n"/>
      <c r="H6" s="264" t="n"/>
    </row>
    <row r="7" ht="15.75" customHeight="1" s="284">
      <c r="A7" s="335" t="inlineStr">
        <is>
          <t>Наименование разрабатываемого показателя УНЦ - Ячейка выключателя НУ 220 кВ 40 кА</t>
        </is>
      </c>
    </row>
    <row r="8" ht="15.75" customHeight="1" s="284">
      <c r="A8" s="335" t="n"/>
      <c r="B8" s="335" t="n"/>
      <c r="C8" s="335" t="n"/>
      <c r="D8" s="335" t="n"/>
      <c r="E8" s="335" t="n"/>
      <c r="F8" s="335" t="n"/>
      <c r="G8" s="335" t="n"/>
      <c r="H8" s="335" t="n"/>
    </row>
    <row r="9" ht="38.25" customHeight="1" s="284">
      <c r="A9" s="336" t="inlineStr">
        <is>
          <t>п/п</t>
        </is>
      </c>
      <c r="B9" s="336" t="inlineStr">
        <is>
          <t>№ЛСР</t>
        </is>
      </c>
      <c r="C9" s="336" t="inlineStr">
        <is>
          <t>Код ресурса</t>
        </is>
      </c>
      <c r="D9" s="336" t="inlineStr">
        <is>
          <t>Наименование ресурса</t>
        </is>
      </c>
      <c r="E9" s="336" t="inlineStr">
        <is>
          <t>Ед. изм.</t>
        </is>
      </c>
      <c r="F9" s="336" t="inlineStr">
        <is>
          <t>Кол-во единиц по данным объекта-представителя</t>
        </is>
      </c>
      <c r="G9" s="336" t="inlineStr">
        <is>
          <t>Сметная стоимость в ценах на 01.01.2000 (руб.)</t>
        </is>
      </c>
      <c r="H9" s="416" t="n"/>
    </row>
    <row r="10" ht="40.7" customHeight="1" s="284">
      <c r="A10" s="418" t="n"/>
      <c r="B10" s="418" t="n"/>
      <c r="C10" s="418" t="n"/>
      <c r="D10" s="418" t="n"/>
      <c r="E10" s="418" t="n"/>
      <c r="F10" s="418" t="n"/>
      <c r="G10" s="336" t="inlineStr">
        <is>
          <t>на ед.изм.</t>
        </is>
      </c>
      <c r="H10" s="336" t="inlineStr">
        <is>
          <t>общая</t>
        </is>
      </c>
    </row>
    <row r="11" ht="15.75" customHeight="1" s="284">
      <c r="A11" s="334" t="n">
        <v>1</v>
      </c>
      <c r="B11" s="179" t="n"/>
      <c r="C11" s="334" t="n">
        <v>2</v>
      </c>
      <c r="D11" s="334" t="inlineStr">
        <is>
          <t>З</t>
        </is>
      </c>
      <c r="E11" s="334" t="n">
        <v>4</v>
      </c>
      <c r="F11" s="334" t="n">
        <v>5</v>
      </c>
      <c r="G11" s="179" t="n">
        <v>6</v>
      </c>
      <c r="H11" s="179" t="n">
        <v>7</v>
      </c>
    </row>
    <row r="12" ht="15" customHeight="1" s="284">
      <c r="A12" s="337" t="inlineStr">
        <is>
          <t>Затраты труда рабочих</t>
        </is>
      </c>
      <c r="B12" s="415" t="n"/>
      <c r="C12" s="415" t="n"/>
      <c r="D12" s="415" t="n"/>
      <c r="E12" s="415" t="n"/>
      <c r="F12" s="196">
        <f>SUM(F13:F13)</f>
        <v/>
      </c>
      <c r="G12" s="200" t="n"/>
      <c r="H12" s="200">
        <f>SUM(H13:H13)</f>
        <v/>
      </c>
    </row>
    <row r="13">
      <c r="A13" s="162" t="n">
        <v>1</v>
      </c>
      <c r="B13" s="302" t="n"/>
      <c r="C13" s="162" t="inlineStr">
        <is>
          <t>1-4-4</t>
        </is>
      </c>
      <c r="D13" s="150" t="inlineStr">
        <is>
          <t>Затраты труда рабочих (средний разряд работы 4,4)</t>
        </is>
      </c>
      <c r="E13" s="345" t="inlineStr">
        <is>
          <t>чел.-ч.</t>
        </is>
      </c>
      <c r="F13" s="293" t="n">
        <v>42507</v>
      </c>
      <c r="G13" s="242">
        <f>ROUND(J13/44.29,2)</f>
        <v/>
      </c>
      <c r="H13" s="242" t="n">
        <v>422523.73</v>
      </c>
    </row>
    <row r="14" ht="15" customHeight="1" s="284">
      <c r="A14" s="341" t="inlineStr">
        <is>
          <t>Затраты труда машинистов</t>
        </is>
      </c>
      <c r="B14" s="415" t="n"/>
      <c r="C14" s="415" t="n"/>
      <c r="D14" s="415" t="n"/>
      <c r="E14" s="416" t="n"/>
      <c r="F14" s="196" t="n"/>
      <c r="G14" s="200" t="n"/>
      <c r="H14" s="200">
        <f>H15</f>
        <v/>
      </c>
    </row>
    <row r="15">
      <c r="A15" s="162" t="inlineStr">
        <is>
          <t>2</t>
        </is>
      </c>
      <c r="B15" s="302" t="n"/>
      <c r="C15" s="162" t="n">
        <v>2</v>
      </c>
      <c r="D15" s="344" t="inlineStr">
        <is>
          <t>Затраты труда машинистов</t>
        </is>
      </c>
      <c r="E15" s="345" t="inlineStr">
        <is>
          <t>чел.-ч</t>
        </is>
      </c>
      <c r="F15" s="240" t="n">
        <v>20831.0575</v>
      </c>
      <c r="G15" s="242" t="n"/>
      <c r="H15" s="242" t="n">
        <v>327212.48</v>
      </c>
      <c r="L15" s="198" t="n"/>
    </row>
    <row r="16" ht="15" customHeight="1" s="284">
      <c r="A16" s="341" t="inlineStr">
        <is>
          <t>Машины и механизмы</t>
        </is>
      </c>
      <c r="B16" s="415" t="n"/>
      <c r="C16" s="415" t="n"/>
      <c r="D16" s="415" t="n"/>
      <c r="E16" s="416" t="n"/>
      <c r="F16" s="196" t="n"/>
      <c r="G16" s="200" t="n"/>
      <c r="H16" s="200">
        <f>SUM(H17:H50)</f>
        <v/>
      </c>
    </row>
    <row r="17">
      <c r="A17" s="162">
        <f>A15+1</f>
        <v/>
      </c>
      <c r="B17" s="302" t="n"/>
      <c r="C17" s="162" t="inlineStr">
        <is>
          <t>91.21.22-447</t>
        </is>
      </c>
      <c r="D17" s="344" t="inlineStr">
        <is>
          <t>Установки электрометаллизационные</t>
        </is>
      </c>
      <c r="E17" s="345" t="inlineStr">
        <is>
          <t>маш.час</t>
        </is>
      </c>
      <c r="F17" s="240" t="n">
        <v>5615.9031</v>
      </c>
      <c r="G17" s="244" t="n">
        <v>74.23999999999999</v>
      </c>
      <c r="H17" s="242">
        <f>ROUND(F17*G17,2)</f>
        <v/>
      </c>
      <c r="J17" s="205" t="n"/>
    </row>
    <row r="18" ht="25.5" customHeight="1" s="284">
      <c r="A18" s="162">
        <f>A17+1</f>
        <v/>
      </c>
      <c r="B18" s="302" t="n"/>
      <c r="C18" s="162" t="inlineStr">
        <is>
          <t>91.02.02-003</t>
        </is>
      </c>
      <c r="D18" s="344" t="inlineStr">
        <is>
          <t>Агрегаты копровые без дизель-молота на базе экскаватора с емкостью ковша 1 м3</t>
        </is>
      </c>
      <c r="E18" s="345" t="inlineStr">
        <is>
          <t>маш.час</t>
        </is>
      </c>
      <c r="F18" s="293" t="n">
        <v>1965</v>
      </c>
      <c r="G18" s="244" t="n">
        <v>200.67</v>
      </c>
      <c r="H18" s="242">
        <f>ROUND(F18*G18,2)</f>
        <v/>
      </c>
      <c r="J18" s="205" t="n"/>
    </row>
    <row r="19" ht="25.5" customHeight="1" s="284">
      <c r="A19" s="162">
        <f>A18+1</f>
        <v/>
      </c>
      <c r="B19" s="302" t="n"/>
      <c r="C19" s="162" t="inlineStr">
        <is>
          <t>91.05.05-014</t>
        </is>
      </c>
      <c r="D19" s="344" t="inlineStr">
        <is>
          <t>Краны на автомобильном ходу, грузоподъемность 10 т</t>
        </is>
      </c>
      <c r="E19" s="345" t="inlineStr">
        <is>
          <t>маш.час</t>
        </is>
      </c>
      <c r="F19" s="293" t="n">
        <v>2430</v>
      </c>
      <c r="G19" s="244" t="n">
        <v>111.99</v>
      </c>
      <c r="H19" s="242">
        <f>ROUND(F19*G19,2)</f>
        <v/>
      </c>
      <c r="J19" s="205" t="n"/>
    </row>
    <row r="20" ht="38.85" customHeight="1" s="284">
      <c r="A20" s="162">
        <f>A19+1</f>
        <v/>
      </c>
      <c r="B20" s="302" t="n"/>
      <c r="C20" s="162" t="inlineStr">
        <is>
          <t>91.04.01-021</t>
        </is>
      </c>
      <c r="D20" s="34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20" s="345" t="inlineStr">
        <is>
          <t>маш.час</t>
        </is>
      </c>
      <c r="F20" s="293" t="n">
        <v>2442</v>
      </c>
      <c r="G20" s="244" t="n">
        <v>87.59999999999999</v>
      </c>
      <c r="H20" s="242">
        <f>ROUND(F20*G20,2)</f>
        <v/>
      </c>
      <c r="J20" s="205" t="n"/>
    </row>
    <row r="21" ht="38.25" customHeight="1" s="284">
      <c r="A21" s="162">
        <f>A20+1</f>
        <v/>
      </c>
      <c r="B21" s="302" t="n"/>
      <c r="C21" s="162" t="inlineStr">
        <is>
          <t>91.14.02-004</t>
        </is>
      </c>
      <c r="D21" s="344" t="inlineStr">
        <is>
          <t>Автомобили бортовые, грузоподъемность до 15 т</t>
        </is>
      </c>
      <c r="E21" s="345" t="inlineStr">
        <is>
          <t>маш.час</t>
        </is>
      </c>
      <c r="F21" s="293" t="n">
        <v>2146.8889962</v>
      </c>
      <c r="G21" s="244" t="n">
        <v>92.94</v>
      </c>
      <c r="H21" s="242">
        <f>ROUND(F21*G21,2)</f>
        <v/>
      </c>
      <c r="J21" s="205" t="n"/>
    </row>
    <row r="22">
      <c r="A22" s="162">
        <f>A21+1</f>
        <v/>
      </c>
      <c r="B22" s="302" t="n"/>
      <c r="C22" s="162" t="inlineStr">
        <is>
          <t>91.02.03-024</t>
        </is>
      </c>
      <c r="D22" s="344" t="inlineStr">
        <is>
          <t>Дизель-молоты 2,5 т</t>
        </is>
      </c>
      <c r="E22" s="345" t="inlineStr">
        <is>
          <t>маш.час</t>
        </is>
      </c>
      <c r="F22" s="293" t="n">
        <v>1965</v>
      </c>
      <c r="G22" s="244" t="n">
        <v>70.67</v>
      </c>
      <c r="H22" s="242">
        <f>ROUND(F22*G22,2)</f>
        <v/>
      </c>
      <c r="J22" s="205" t="n"/>
    </row>
    <row r="23" ht="25.5" customHeight="1" s="284">
      <c r="A23" s="162">
        <f>A22+1</f>
        <v/>
      </c>
      <c r="B23" s="302" t="n"/>
      <c r="C23" s="162" t="inlineStr">
        <is>
          <t>91.10.05-001</t>
        </is>
      </c>
      <c r="D23" s="344" t="inlineStr">
        <is>
          <t>Трубоукладчики для труб диаметром 800-1000 мм, грузоподъемность 35 т</t>
        </is>
      </c>
      <c r="E23" s="345" t="inlineStr">
        <is>
          <t>маш.час</t>
        </is>
      </c>
      <c r="F23" s="240" t="n">
        <v>520</v>
      </c>
      <c r="G23" s="244" t="n">
        <v>175.35</v>
      </c>
      <c r="H23" s="242">
        <f>ROUND(F23*G23,2)</f>
        <v/>
      </c>
      <c r="J23" s="205" t="n"/>
    </row>
    <row r="24">
      <c r="A24" s="162">
        <f>A23+1</f>
        <v/>
      </c>
      <c r="B24" s="302" t="n"/>
      <c r="C24" s="162" t="inlineStr">
        <is>
          <t>91.14.02-001</t>
        </is>
      </c>
      <c r="D24" s="344" t="inlineStr">
        <is>
          <t>Автомобили бортовые, грузоподъемность до 5 т</t>
        </is>
      </c>
      <c r="E24" s="345" t="inlineStr">
        <is>
          <t>маш.час</t>
        </is>
      </c>
      <c r="F24" s="240" t="n">
        <v>635.9544</v>
      </c>
      <c r="G24" s="244" t="n">
        <v>87.17</v>
      </c>
      <c r="H24" s="242">
        <f>ROUND(F24*G24,2)</f>
        <v/>
      </c>
      <c r="J24" s="205" t="n"/>
    </row>
    <row r="25">
      <c r="A25" s="162">
        <f>A24+1</f>
        <v/>
      </c>
      <c r="B25" s="302" t="n"/>
      <c r="C25" s="162" t="inlineStr">
        <is>
          <t>91.10.01-002</t>
        </is>
      </c>
      <c r="D25" s="344" t="inlineStr">
        <is>
          <t>Агрегаты наполнительно-опрессовочные до 300 м3/ч</t>
        </is>
      </c>
      <c r="E25" s="345" t="inlineStr">
        <is>
          <t>маш.-ч</t>
        </is>
      </c>
      <c r="F25" s="240" t="n">
        <v>251</v>
      </c>
      <c r="G25" s="244" t="n">
        <v>287.99</v>
      </c>
      <c r="H25" s="242">
        <f>ROUND(F25*G25,2)</f>
        <v/>
      </c>
    </row>
    <row r="26">
      <c r="A26" s="162">
        <f>A25+1</f>
        <v/>
      </c>
      <c r="B26" s="302" t="n"/>
      <c r="C26" s="162" t="inlineStr">
        <is>
          <t>91.06.06-014</t>
        </is>
      </c>
      <c r="D26" s="344" t="inlineStr">
        <is>
          <t>Автогидроподъемники, высота подъема 28 м</t>
        </is>
      </c>
      <c r="E26" s="345" t="inlineStr">
        <is>
          <t>маш.-ч</t>
        </is>
      </c>
      <c r="F26" s="240" t="n">
        <v>241</v>
      </c>
      <c r="G26" s="244" t="n">
        <v>243.49</v>
      </c>
      <c r="H26" s="242">
        <f>ROUND(F26*G26,2)</f>
        <v/>
      </c>
    </row>
    <row r="27">
      <c r="A27" s="162">
        <f>A26+1</f>
        <v/>
      </c>
      <c r="B27" s="302" t="n"/>
      <c r="C27" s="162" t="inlineStr">
        <is>
          <t>91.06.06-042</t>
        </is>
      </c>
      <c r="D27" s="344" t="inlineStr">
        <is>
          <t>Подъемники гидравлические, высота подъема 10 м</t>
        </is>
      </c>
      <c r="E27" s="345" t="inlineStr">
        <is>
          <t>маш.-ч</t>
        </is>
      </c>
      <c r="F27" s="240" t="n">
        <v>1516</v>
      </c>
      <c r="G27" s="244" t="n">
        <v>29.6</v>
      </c>
      <c r="H27" s="242">
        <f>ROUND(F27*G27,2)</f>
        <v/>
      </c>
    </row>
    <row r="28" ht="25.5" customHeight="1" s="284">
      <c r="A28" s="162">
        <f>A27+1</f>
        <v/>
      </c>
      <c r="B28" s="302" t="n"/>
      <c r="C28" s="162" t="inlineStr">
        <is>
          <t>91.06.03-058</t>
        </is>
      </c>
      <c r="D28" s="344" t="inlineStr">
        <is>
          <t>Лебедки электрические тяговым усилием 156,96 кН (16 т)</t>
        </is>
      </c>
      <c r="E28" s="345" t="inlineStr">
        <is>
          <t>маш.час</t>
        </is>
      </c>
      <c r="F28" s="240" t="n">
        <v>251</v>
      </c>
      <c r="G28" s="244" t="n">
        <v>131.44</v>
      </c>
      <c r="H28" s="242">
        <f>ROUND(F28*G28,2)</f>
        <v/>
      </c>
    </row>
    <row r="29">
      <c r="A29" s="162">
        <f>A28+1</f>
        <v/>
      </c>
      <c r="B29" s="302" t="n"/>
      <c r="C29" s="162" t="inlineStr">
        <is>
          <t>91.14.03-002</t>
        </is>
      </c>
      <c r="D29" s="344" t="inlineStr">
        <is>
          <t>Автомобили-самосвалы, грузоподъемность до 10 т</t>
        </is>
      </c>
      <c r="E29" s="345" t="inlineStr">
        <is>
          <t>маш.-ч</t>
        </is>
      </c>
      <c r="F29" s="240" t="n">
        <v>127.8225</v>
      </c>
      <c r="G29" s="244" t="n">
        <v>87.48999999999999</v>
      </c>
      <c r="H29" s="242">
        <f>ROUND(F29*G29,2)</f>
        <v/>
      </c>
    </row>
    <row r="30" ht="25.5" customHeight="1" s="284">
      <c r="A30" s="162">
        <f>A29+1</f>
        <v/>
      </c>
      <c r="B30" s="302" t="n"/>
      <c r="C30" s="162" t="inlineStr">
        <is>
          <t>91.15.02-029</t>
        </is>
      </c>
      <c r="D30" s="344" t="inlineStr">
        <is>
          <t>Тракторы на гусеничном ходу с лебедкой 132 кВт (180 л.с.)</t>
        </is>
      </c>
      <c r="E30" s="345" t="inlineStr">
        <is>
          <t>маш.час</t>
        </is>
      </c>
      <c r="F30" s="240" t="n">
        <v>70.92749999999999</v>
      </c>
      <c r="G30" s="244" t="n">
        <v>147.43</v>
      </c>
      <c r="H30" s="242">
        <f>ROUND(F30*G30,2)</f>
        <v/>
      </c>
    </row>
    <row r="31">
      <c r="A31" s="162">
        <f>A30+1</f>
        <v/>
      </c>
      <c r="B31" s="302" t="n"/>
      <c r="C31" s="162" t="inlineStr">
        <is>
          <t>91.05.06-007</t>
        </is>
      </c>
      <c r="D31" s="344" t="inlineStr">
        <is>
          <t>Краны на гусеничном ходу, грузоподъемность 25 т</t>
        </is>
      </c>
      <c r="E31" s="345" t="inlineStr">
        <is>
          <t>маш.-ч</t>
        </is>
      </c>
      <c r="F31" s="240" t="n">
        <v>75.435</v>
      </c>
      <c r="G31" s="244" t="n">
        <v>120.04</v>
      </c>
      <c r="H31" s="242">
        <f>ROUND(F31*G31,2)</f>
        <v/>
      </c>
    </row>
    <row r="32" ht="25.5" customHeight="1" s="284">
      <c r="A32" s="162">
        <f>A31+1</f>
        <v/>
      </c>
      <c r="B32" s="302" t="n"/>
      <c r="C32" s="162" t="inlineStr">
        <is>
          <t>91.17.04-036</t>
        </is>
      </c>
      <c r="D32" s="344" t="inlineStr">
        <is>
          <t>Агрегаты сварочные передвижные с дизельным двигателем, номинальный сварочный ток 250-400 А</t>
        </is>
      </c>
      <c r="E32" s="345" t="inlineStr">
        <is>
          <t>маш.-ч</t>
        </is>
      </c>
      <c r="F32" s="240" t="n">
        <v>583.53</v>
      </c>
      <c r="G32" s="244" t="n">
        <v>14</v>
      </c>
      <c r="H32" s="242">
        <f>ROUND(F32*G32,2)</f>
        <v/>
      </c>
    </row>
    <row r="33">
      <c r="A33" s="162">
        <f>A32+1</f>
        <v/>
      </c>
      <c r="B33" s="302" t="n"/>
      <c r="C33" s="162" t="inlineStr">
        <is>
          <t>91.14.04-001</t>
        </is>
      </c>
      <c r="D33" s="344" t="inlineStr">
        <is>
          <t>Тягачи седельные, грузоподъемность 12 т</t>
        </is>
      </c>
      <c r="E33" s="345" t="inlineStr">
        <is>
          <t>маш.час</t>
        </is>
      </c>
      <c r="F33" s="240" t="n">
        <v>43.35</v>
      </c>
      <c r="G33" s="244" t="n">
        <v>127.82</v>
      </c>
      <c r="H33" s="242">
        <f>ROUND(F33*G33,2)</f>
        <v/>
      </c>
    </row>
    <row r="34">
      <c r="A34" s="162">
        <f>A33+1</f>
        <v/>
      </c>
      <c r="B34" s="302" t="n"/>
      <c r="C34" s="162" t="inlineStr">
        <is>
          <t>91.06.05-011</t>
        </is>
      </c>
      <c r="D34" s="344" t="inlineStr">
        <is>
          <t>Погрузчики, грузоподъемность 5 т</t>
        </is>
      </c>
      <c r="E34" s="345" t="inlineStr">
        <is>
          <t>маш.-ч</t>
        </is>
      </c>
      <c r="F34" s="240" t="n">
        <v>60.08115</v>
      </c>
      <c r="G34" s="244" t="n">
        <v>89.98999999999999</v>
      </c>
      <c r="H34" s="242">
        <f>ROUND(F34*G34,2)</f>
        <v/>
      </c>
    </row>
    <row r="35" ht="25.5" customHeight="1" s="284">
      <c r="A35" s="162">
        <f>A34+1</f>
        <v/>
      </c>
      <c r="B35" s="302" t="n"/>
      <c r="C35" s="162" t="inlineStr">
        <is>
          <t>91.05.06-012</t>
        </is>
      </c>
      <c r="D35" s="344" t="inlineStr">
        <is>
          <t>Краны на гусеничном ходу, грузоподъемность до 16 т</t>
        </is>
      </c>
      <c r="E35" s="345" t="inlineStr">
        <is>
          <t>маш.-ч</t>
        </is>
      </c>
      <c r="F35" s="240" t="n">
        <v>29.88</v>
      </c>
      <c r="G35" s="244" t="n">
        <v>96.89</v>
      </c>
      <c r="H35" s="242">
        <f>ROUND(F35*G35,2)</f>
        <v/>
      </c>
    </row>
    <row r="36" ht="25.5" customHeight="1" s="284">
      <c r="A36" s="162">
        <f>A35+1</f>
        <v/>
      </c>
      <c r="B36" s="302" t="n"/>
      <c r="C36" s="162" t="inlineStr">
        <is>
          <t>91.17.04-233</t>
        </is>
      </c>
      <c r="D36" s="344" t="inlineStr">
        <is>
          <t>Установки для сварки ручной дуговой (постоянного тока)</t>
        </is>
      </c>
      <c r="E36" s="345" t="inlineStr">
        <is>
          <t>маш.час</t>
        </is>
      </c>
      <c r="F36" s="240" t="n">
        <v>283.1475</v>
      </c>
      <c r="G36" s="244" t="n">
        <v>8.1</v>
      </c>
      <c r="H36" s="242">
        <f>ROUND(F36*G36,2)</f>
        <v/>
      </c>
    </row>
    <row r="37" ht="25.5" customHeight="1" s="284">
      <c r="A37" s="162">
        <f>A36+1</f>
        <v/>
      </c>
      <c r="B37" s="302" t="n"/>
      <c r="C37" s="162" t="inlineStr">
        <is>
          <t>91.06.01-003</t>
        </is>
      </c>
      <c r="D37" s="344" t="inlineStr">
        <is>
          <t>Домкраты гидравлические, грузоподъемность 63-100 т</t>
        </is>
      </c>
      <c r="E37" s="345" t="inlineStr">
        <is>
          <t>маш.-ч</t>
        </is>
      </c>
      <c r="F37" s="240" t="n">
        <v>851.5425</v>
      </c>
      <c r="G37" s="244" t="n">
        <v>0.9</v>
      </c>
      <c r="H37" s="242">
        <f>ROUND(F37*G37,2)</f>
        <v/>
      </c>
    </row>
    <row r="38">
      <c r="A38" s="162">
        <f>A37+1</f>
        <v/>
      </c>
      <c r="B38" s="302" t="n"/>
      <c r="C38" s="162" t="inlineStr">
        <is>
          <t>91.14.02-002</t>
        </is>
      </c>
      <c r="D38" s="344" t="inlineStr">
        <is>
          <t>Автомобили бортовые, грузоподъемность до 8 т</t>
        </is>
      </c>
      <c r="E38" s="345" t="inlineStr">
        <is>
          <t>маш.час</t>
        </is>
      </c>
      <c r="F38" s="240" t="n">
        <v>5.7975</v>
      </c>
      <c r="G38" s="244" t="n">
        <v>107.3</v>
      </c>
      <c r="H38" s="242">
        <f>ROUND(F38*G38,2)</f>
        <v/>
      </c>
    </row>
    <row r="39" ht="25.5" customHeight="1" s="284">
      <c r="A39" s="162">
        <f>A38+1</f>
        <v/>
      </c>
      <c r="B39" s="302" t="n"/>
      <c r="C39" s="162" t="inlineStr">
        <is>
          <t>91.14.05-011</t>
        </is>
      </c>
      <c r="D39" s="344" t="inlineStr">
        <is>
          <t>Полуприцепы общего назначения, грузоподъемность 12 т</t>
        </is>
      </c>
      <c r="E39" s="345" t="inlineStr">
        <is>
          <t>маш.час</t>
        </is>
      </c>
      <c r="F39" s="240" t="n">
        <v>43.35</v>
      </c>
      <c r="G39" s="244" t="n">
        <v>12</v>
      </c>
      <c r="H39" s="242">
        <f>ROUND(F39*G39,2)</f>
        <v/>
      </c>
    </row>
    <row r="40" ht="25.5" customHeight="1" s="284">
      <c r="A40" s="162">
        <f>A39+1</f>
        <v/>
      </c>
      <c r="B40" s="302" t="n"/>
      <c r="C40" s="162" t="inlineStr">
        <is>
          <t>91.21.01-012</t>
        </is>
      </c>
      <c r="D40" s="344" t="inlineStr">
        <is>
          <t>Агрегаты окрасочные высокого давления для окраски поверхностей конструкций, мощность 1 кВт</t>
        </is>
      </c>
      <c r="E40" s="345" t="inlineStr">
        <is>
          <t>маш.-ч</t>
        </is>
      </c>
      <c r="F40" s="240" t="n">
        <v>32.4225</v>
      </c>
      <c r="G40" s="244" t="n">
        <v>6.82</v>
      </c>
      <c r="H40" s="242">
        <f>ROUND(F40*G40,2)</f>
        <v/>
      </c>
    </row>
    <row r="41" ht="25.5" customHeight="1" s="284">
      <c r="A41" s="162">
        <f>A36+1</f>
        <v/>
      </c>
      <c r="B41" s="302" t="n"/>
      <c r="C41" s="162" t="inlineStr">
        <is>
          <t>91.17.04-171</t>
        </is>
      </c>
      <c r="D41" s="344" t="inlineStr">
        <is>
          <t>Преобразователи сварочные номинальным сварочным током 315-500 А</t>
        </is>
      </c>
      <c r="E41" s="345" t="inlineStr">
        <is>
          <t>маш.-ч</t>
        </is>
      </c>
      <c r="F41" s="240" t="n">
        <v>17.88</v>
      </c>
      <c r="G41" s="244" t="n">
        <v>12.31</v>
      </c>
      <c r="H41" s="242">
        <f>ROUND(F41*G41,2)</f>
        <v/>
      </c>
    </row>
    <row r="42" ht="25.5" customHeight="1" s="284">
      <c r="A42" s="162">
        <f>A41+1</f>
        <v/>
      </c>
      <c r="B42" s="302" t="n"/>
      <c r="C42" s="162" t="inlineStr">
        <is>
          <t>91.21.22-703</t>
        </is>
      </c>
      <c r="D42" s="344" t="inlineStr">
        <is>
          <t>Молотки-перфораторы гидравлические, диаметр выбуриваемых отверстий 25-50 мм</t>
        </is>
      </c>
      <c r="E42" s="345" t="inlineStr">
        <is>
          <t>маш.-ч</t>
        </is>
      </c>
      <c r="F42" s="240" t="n">
        <v>16.3725</v>
      </c>
      <c r="G42" s="244" t="n">
        <v>8.09</v>
      </c>
      <c r="H42" s="242">
        <f>ROUND(F42*G42,2)</f>
        <v/>
      </c>
    </row>
    <row r="43">
      <c r="A43" s="162">
        <f>A42+1</f>
        <v/>
      </c>
      <c r="B43" s="302" t="n"/>
      <c r="C43" s="162" t="inlineStr">
        <is>
          <t>91.01.01-035</t>
        </is>
      </c>
      <c r="D43" s="344" t="inlineStr">
        <is>
          <t>Бульдозеры, мощность 79 кВт (108 л.с.)</t>
        </is>
      </c>
      <c r="E43" s="345" t="inlineStr">
        <is>
          <t>маш.-ч</t>
        </is>
      </c>
      <c r="F43" s="240" t="n">
        <v>1.125</v>
      </c>
      <c r="G43" s="244" t="n">
        <v>79.06999999999999</v>
      </c>
      <c r="H43" s="242">
        <f>ROUND(F43*G43,2)</f>
        <v/>
      </c>
    </row>
    <row r="44">
      <c r="A44" s="162">
        <f>A43+1</f>
        <v/>
      </c>
      <c r="B44" s="302" t="n"/>
      <c r="C44" s="162" t="inlineStr">
        <is>
          <t>91.05.02-005</t>
        </is>
      </c>
      <c r="D44" s="344" t="inlineStr">
        <is>
          <t>Краны козловые, грузоподъемность 32 т</t>
        </is>
      </c>
      <c r="E44" s="345" t="inlineStr">
        <is>
          <t>маш.-ч</t>
        </is>
      </c>
      <c r="F44" s="240" t="n">
        <v>0.255</v>
      </c>
      <c r="G44" s="244" t="n">
        <v>120.24</v>
      </c>
      <c r="H44" s="242">
        <f>ROUND(F44*G44,2)</f>
        <v/>
      </c>
    </row>
    <row r="45">
      <c r="A45" s="162">
        <f>A40+1</f>
        <v/>
      </c>
      <c r="B45" s="302" t="n"/>
      <c r="C45" s="162" t="inlineStr">
        <is>
          <t>91.17.03-021</t>
        </is>
      </c>
      <c r="D45" s="344" t="inlineStr">
        <is>
          <t>Печи нагревательные</t>
        </is>
      </c>
      <c r="E45" s="345" t="inlineStr">
        <is>
          <t>маш.-ч</t>
        </is>
      </c>
      <c r="F45" s="240" t="n">
        <v>0.885</v>
      </c>
      <c r="G45" s="244" t="n">
        <v>25.3</v>
      </c>
      <c r="H45" s="242">
        <f>ROUND(F45*G45,2)</f>
        <v/>
      </c>
    </row>
    <row r="46">
      <c r="A46" s="162">
        <f>A45+1</f>
        <v/>
      </c>
      <c r="B46" s="302" t="n"/>
      <c r="C46" s="162" t="inlineStr">
        <is>
          <t>91.17.04-042</t>
        </is>
      </c>
      <c r="D46" s="344" t="inlineStr">
        <is>
          <t>Аппараты для газовой сварки и резки</t>
        </is>
      </c>
      <c r="E46" s="345" t="inlineStr">
        <is>
          <t>маш.-ч</t>
        </is>
      </c>
      <c r="F46" s="240" t="n">
        <v>4.2225</v>
      </c>
      <c r="G46" s="244" t="n">
        <v>1.2</v>
      </c>
      <c r="H46" s="242">
        <f>ROUND(F46*G46,2)</f>
        <v/>
      </c>
    </row>
    <row r="47" ht="25.5" customHeight="1" s="284">
      <c r="A47" s="162">
        <f>A46+1</f>
        <v/>
      </c>
      <c r="B47" s="302" t="n"/>
      <c r="C47" s="162" t="inlineStr">
        <is>
          <t>91.09.12-103</t>
        </is>
      </c>
      <c r="D47" s="344" t="inlineStr">
        <is>
          <t>Станки сверлильно-шлифовальные (сверлошлифовалки)</t>
        </is>
      </c>
      <c r="E47" s="345" t="inlineStr">
        <is>
          <t>маш.-ч</t>
        </is>
      </c>
      <c r="F47" s="240" t="n">
        <v>0.75</v>
      </c>
      <c r="G47" s="244" t="n">
        <v>6.4</v>
      </c>
      <c r="H47" s="242">
        <f>ROUND(F47*G47,2)</f>
        <v/>
      </c>
    </row>
    <row r="48" ht="25.5" customHeight="1" s="284">
      <c r="A48" s="162">
        <f>A47+1</f>
        <v/>
      </c>
      <c r="B48" s="302" t="n"/>
      <c r="C48" s="162" t="inlineStr">
        <is>
          <t>91.06.03-061</t>
        </is>
      </c>
      <c r="D48" s="344" t="inlineStr">
        <is>
          <t>Лебедки электрические тяговым усилием до 12,26 кН (1,25 т)</t>
        </is>
      </c>
      <c r="E48" s="345" t="inlineStr">
        <is>
          <t>маш.час</t>
        </is>
      </c>
      <c r="F48" s="240" t="n">
        <v>0.645</v>
      </c>
      <c r="G48" s="244" t="n">
        <v>3.28</v>
      </c>
      <c r="H48" s="242">
        <f>ROUND(F48*G48,2)</f>
        <v/>
      </c>
    </row>
    <row r="49">
      <c r="A49" s="162">
        <f>A48+1</f>
        <v/>
      </c>
      <c r="B49" s="302" t="n"/>
      <c r="C49" s="162" t="inlineStr">
        <is>
          <t>91.14.03-001</t>
        </is>
      </c>
      <c r="D49" s="344" t="inlineStr">
        <is>
          <t>Автомобили-самосвалы, грузоподъемность до 7 т</t>
        </is>
      </c>
      <c r="E49" s="345" t="inlineStr">
        <is>
          <t>маш.-ч</t>
        </is>
      </c>
      <c r="F49" s="240" t="n">
        <v>0.0225</v>
      </c>
      <c r="G49" s="244" t="n">
        <v>89.54000000000001</v>
      </c>
      <c r="H49" s="242">
        <f>ROUND(F49*G49,2)</f>
        <v/>
      </c>
    </row>
    <row r="50" ht="25.5" customHeight="1" s="284">
      <c r="A50" s="162">
        <f>A49+1</f>
        <v/>
      </c>
      <c r="B50" s="302" t="n"/>
      <c r="C50" s="162" t="inlineStr">
        <is>
          <t>91.06.03-060</t>
        </is>
      </c>
      <c r="D50" s="344" t="inlineStr">
        <is>
          <t>Лебедки электрические тяговым усилием до 5,79 кН (0,59 т)</t>
        </is>
      </c>
      <c r="E50" s="345" t="inlineStr">
        <is>
          <t>маш.час</t>
        </is>
      </c>
      <c r="F50" s="240" t="n">
        <v>0.3375</v>
      </c>
      <c r="G50" s="244" t="n">
        <v>1.7</v>
      </c>
      <c r="H50" s="242">
        <f>ROUND(F50*G50,2)</f>
        <v/>
      </c>
    </row>
    <row r="51" ht="15" customHeight="1" s="284">
      <c r="A51" s="341" t="inlineStr">
        <is>
          <t>Оборудование</t>
        </is>
      </c>
      <c r="B51" s="415" t="n"/>
      <c r="C51" s="415" t="n"/>
      <c r="D51" s="415" t="n"/>
      <c r="E51" s="416" t="n"/>
      <c r="F51" s="196" t="n"/>
      <c r="G51" s="200" t="n"/>
      <c r="H51" s="200">
        <f>SUM(H52:H56)</f>
        <v/>
      </c>
    </row>
    <row r="52" ht="25.5" customHeight="1" s="284">
      <c r="A52" s="303">
        <f>A50+1</f>
        <v/>
      </c>
      <c r="B52" s="302" t="n"/>
      <c r="C52" s="162" t="inlineStr">
        <is>
          <t>Прайс из СД ОП</t>
        </is>
      </c>
      <c r="D52" s="344" t="inlineStr">
        <is>
          <t>Выключатель элегазовый колонковый ВГТ-220-2500/40</t>
        </is>
      </c>
      <c r="E52" s="345" t="inlineStr">
        <is>
          <t>компл.</t>
        </is>
      </c>
      <c r="F52" s="345" t="n">
        <v>8</v>
      </c>
      <c r="G52" s="242" t="n">
        <v>990938.38</v>
      </c>
      <c r="H52" s="242">
        <f>ROUND(F52*G52,2)</f>
        <v/>
      </c>
    </row>
    <row r="53">
      <c r="A53" s="303">
        <f>A52+1</f>
        <v/>
      </c>
      <c r="B53" s="302" t="n"/>
      <c r="C53" s="162" t="inlineStr">
        <is>
          <t>Прайс из СД ОП</t>
        </is>
      </c>
      <c r="D53" s="344" t="inlineStr">
        <is>
          <t>Трансформатор тока СА-245</t>
        </is>
      </c>
      <c r="E53" s="345" t="inlineStr">
        <is>
          <t>шт</t>
        </is>
      </c>
      <c r="F53" s="345" t="n">
        <v>48</v>
      </c>
      <c r="G53" s="242" t="n">
        <v>129904.08</v>
      </c>
      <c r="H53" s="242">
        <f>ROUND(F53*G53,2)</f>
        <v/>
      </c>
    </row>
    <row r="54" ht="25.5" customHeight="1" s="284">
      <c r="A54" s="303">
        <f>A53+1</f>
        <v/>
      </c>
      <c r="B54" s="302" t="n"/>
      <c r="C54" s="162" t="inlineStr">
        <is>
          <t>Прайс из СД ОП</t>
        </is>
      </c>
      <c r="D54" s="344" t="inlineStr">
        <is>
          <t>Разъединитель трехполюсный с двумя комплектами заземляющих ножей РГН.2-220/1000</t>
        </is>
      </c>
      <c r="E54" s="345" t="inlineStr">
        <is>
          <t>компл</t>
        </is>
      </c>
      <c r="F54" s="345" t="n">
        <v>18</v>
      </c>
      <c r="G54" s="242" t="n">
        <v>205619.71</v>
      </c>
      <c r="H54" s="242">
        <f>ROUND(F54*G54,2)</f>
        <v/>
      </c>
    </row>
    <row r="55" ht="25.5" customHeight="1" s="284">
      <c r="A55" s="303">
        <f>A54+1</f>
        <v/>
      </c>
      <c r="B55" s="302" t="n"/>
      <c r="C55" s="162" t="inlineStr">
        <is>
          <t>Прайс из СД ОП</t>
        </is>
      </c>
      <c r="D55" s="344" t="inlineStr">
        <is>
          <t>Трансформатор напряжения 220 кВ</t>
        </is>
      </c>
      <c r="E55" s="345" t="inlineStr">
        <is>
          <t>шт</t>
        </is>
      </c>
      <c r="F55" s="345" t="n">
        <v>24</v>
      </c>
      <c r="G55" s="242" t="n">
        <v>114491.74</v>
      </c>
      <c r="H55" s="242">
        <f>ROUND(F55*G55,2)</f>
        <v/>
      </c>
    </row>
    <row r="56" ht="25.5" customHeight="1" s="284">
      <c r="A56" s="303">
        <f>A55+1</f>
        <v/>
      </c>
      <c r="B56" s="302" t="n"/>
      <c r="C56" s="162" t="inlineStr">
        <is>
          <t>Прайс из СД ОП</t>
        </is>
      </c>
      <c r="D56" s="344" t="inlineStr">
        <is>
          <t xml:space="preserve">Ограничитель перенапряжения 220кВ ОПН-220 </t>
        </is>
      </c>
      <c r="E56" s="345" t="inlineStr">
        <is>
          <t>шт</t>
        </is>
      </c>
      <c r="F56" s="345" t="n">
        <v>24</v>
      </c>
      <c r="G56" s="242" t="n">
        <v>36891.78</v>
      </c>
      <c r="H56" s="242">
        <f>ROUND(F56*G56,2)</f>
        <v/>
      </c>
    </row>
    <row r="57" ht="15" customHeight="1" s="284">
      <c r="A57" s="341" t="inlineStr">
        <is>
          <t>Материалы</t>
        </is>
      </c>
      <c r="B57" s="415" t="n"/>
      <c r="C57" s="415" t="n"/>
      <c r="D57" s="415" t="n"/>
      <c r="E57" s="416" t="n"/>
      <c r="F57" s="196" t="n"/>
      <c r="G57" s="200" t="n"/>
      <c r="H57" s="200">
        <f>SUM(H58:H138)</f>
        <v/>
      </c>
    </row>
    <row r="58" ht="25.5" customHeight="1" s="284">
      <c r="A58" s="162" t="inlineStr">
        <is>
          <t>38</t>
        </is>
      </c>
      <c r="B58" s="302" t="n"/>
      <c r="C58" s="162" t="inlineStr">
        <is>
          <t>05.1.05.16-0040</t>
        </is>
      </c>
      <c r="D58" s="344" t="inlineStr">
        <is>
          <t>Сваи железобетонные С35-1-12-1 (бетон B22,5, расход арматуры 185 кг)</t>
        </is>
      </c>
      <c r="E58" s="345" t="inlineStr">
        <is>
          <t>м3</t>
        </is>
      </c>
      <c r="F58" s="253" t="n">
        <v>1946</v>
      </c>
      <c r="G58" s="242" t="n">
        <v>5337.26</v>
      </c>
      <c r="H58" s="242">
        <f>ROUND(F58*G58,2)</f>
        <v/>
      </c>
      <c r="J58" s="205" t="n"/>
    </row>
    <row r="59">
      <c r="A59" s="162">
        <f>A58+1</f>
        <v/>
      </c>
      <c r="B59" s="302" t="n"/>
      <c r="C59" s="162" t="inlineStr">
        <is>
          <t>22.2.02.07-0003</t>
        </is>
      </c>
      <c r="D59" s="344" t="inlineStr">
        <is>
          <t>Конструкции стальные порталов ОРУ</t>
        </is>
      </c>
      <c r="E59" s="345" t="inlineStr">
        <is>
          <t>т</t>
        </is>
      </c>
      <c r="F59" s="240" t="n">
        <v>267.54</v>
      </c>
      <c r="G59" s="242" t="n">
        <v>12500</v>
      </c>
      <c r="H59" s="242">
        <f>ROUND(F59*G59,2)</f>
        <v/>
      </c>
      <c r="J59" s="205" t="n"/>
    </row>
    <row r="60" ht="25.9" customHeight="1" s="284">
      <c r="A60" s="162">
        <f>A59+1</f>
        <v/>
      </c>
      <c r="B60" s="302" t="n"/>
      <c r="C60" s="162" t="inlineStr">
        <is>
          <t>Прайс из СД ОП</t>
        </is>
      </c>
      <c r="D60" s="344" t="inlineStr">
        <is>
          <t>Провод неизолированный для воздушных линий электропередачи АС 500/26</t>
        </is>
      </c>
      <c r="E60" s="345" t="inlineStr">
        <is>
          <t>т</t>
        </is>
      </c>
      <c r="F60" s="240" t="n">
        <v>17.417</v>
      </c>
      <c r="G60" s="347" t="n">
        <v>54179.98</v>
      </c>
      <c r="H60" s="242">
        <f>ROUND(F60*G60,2)</f>
        <v/>
      </c>
      <c r="J60" s="205" t="n"/>
    </row>
    <row r="61" ht="25.5" customHeight="1" s="284">
      <c r="A61" s="162">
        <f>A60+1</f>
        <v/>
      </c>
      <c r="B61" s="302" t="n"/>
      <c r="C61" s="162" t="inlineStr">
        <is>
          <t>Прайс из СД ОП</t>
        </is>
      </c>
      <c r="D61" s="344" t="inlineStr">
        <is>
          <t>Опора шинная ШО-220.II-1 УХЛ1</t>
        </is>
      </c>
      <c r="E61" s="345" t="inlineStr">
        <is>
          <t>шт</t>
        </is>
      </c>
      <c r="F61" s="240" t="n">
        <v>48</v>
      </c>
      <c r="G61" s="347" t="n">
        <v>16231.17</v>
      </c>
      <c r="H61" s="242">
        <f>ROUND(F61*G61,2)</f>
        <v/>
      </c>
      <c r="J61" s="205" t="n"/>
    </row>
    <row r="62">
      <c r="A62" s="162">
        <f>A61+1</f>
        <v/>
      </c>
      <c r="B62" s="302" t="n"/>
      <c r="C62" s="162" t="inlineStr">
        <is>
          <t>22.2.02.07-0041</t>
        </is>
      </c>
      <c r="D62" s="344" t="inlineStr">
        <is>
          <t>Ростверки стальные массой до 0,2т</t>
        </is>
      </c>
      <c r="E62" s="345" t="inlineStr">
        <is>
          <t>т</t>
        </is>
      </c>
      <c r="F62" s="240" t="n">
        <v>61.05</v>
      </c>
      <c r="G62" s="242" t="n">
        <v>8200</v>
      </c>
      <c r="H62" s="242">
        <f>ROUND(F62*G62,2)</f>
        <v/>
      </c>
      <c r="J62" s="205" t="n"/>
    </row>
    <row r="63" ht="25.5" customHeight="1" s="284">
      <c r="A63" s="162">
        <f>A62+1</f>
        <v/>
      </c>
      <c r="B63" s="302" t="n"/>
      <c r="C63" s="346" t="inlineStr">
        <is>
          <t>25.2.01.07-0001</t>
        </is>
      </c>
      <c r="D63" s="344" t="inlineStr">
        <is>
          <t>Изоляторы</t>
        </is>
      </c>
      <c r="E63" s="345" t="inlineStr">
        <is>
          <t>шт</t>
        </is>
      </c>
      <c r="F63" s="240" t="n">
        <v>6378</v>
      </c>
      <c r="G63" s="347" t="n">
        <v>51.5</v>
      </c>
      <c r="H63" s="242">
        <f>ROUND(F63*G63,2)</f>
        <v/>
      </c>
      <c r="J63" s="205" t="n"/>
    </row>
    <row r="64" ht="25.9" customHeight="1" s="284">
      <c r="A64" s="162">
        <f>A63+1</f>
        <v/>
      </c>
      <c r="B64" s="302" t="n"/>
      <c r="C64" s="346" t="inlineStr">
        <is>
          <t>10.1.02.03-0001</t>
        </is>
      </c>
      <c r="D64" s="344" t="inlineStr">
        <is>
          <t>Проволока алюминиевая, марка АМЦ, диаметр 1,4-1,8 мм</t>
        </is>
      </c>
      <c r="E64" s="345" t="inlineStr">
        <is>
          <t>т</t>
        </is>
      </c>
      <c r="F64" s="240" t="n">
        <v>9.02129115</v>
      </c>
      <c r="G64" s="347" t="n">
        <v>30090</v>
      </c>
      <c r="H64" s="242">
        <f>ROUND(F64*G64,2)</f>
        <v/>
      </c>
      <c r="J64" s="205" t="n"/>
    </row>
    <row r="65">
      <c r="A65" s="162">
        <f>A64+1</f>
        <v/>
      </c>
      <c r="B65" s="302" t="n"/>
      <c r="C65" s="346" t="inlineStr">
        <is>
          <t>14.4.02.09-0301</t>
        </is>
      </c>
      <c r="D65" s="344" t="inlineStr">
        <is>
          <t>Композиция антикоррозионная цинкнаполненная</t>
        </is>
      </c>
      <c r="E65" s="345" t="inlineStr">
        <is>
          <t>кг</t>
        </is>
      </c>
      <c r="F65" s="240" t="n">
        <v>920.04</v>
      </c>
      <c r="G65" s="347" t="n">
        <v>238.48</v>
      </c>
      <c r="H65" s="242">
        <f>ROUND(F65*G65,2)</f>
        <v/>
      </c>
      <c r="J65" s="205" t="n"/>
    </row>
    <row r="66">
      <c r="A66" s="162">
        <f>A65+1</f>
        <v/>
      </c>
      <c r="B66" s="302" t="n"/>
      <c r="C66" s="346" t="inlineStr">
        <is>
          <t>01.4.01.10-0016</t>
        </is>
      </c>
      <c r="D66" s="344" t="inlineStr">
        <is>
          <t>Шнек, диаметр 135 мм</t>
        </is>
      </c>
      <c r="E66" s="345" t="inlineStr">
        <is>
          <t>шт</t>
        </is>
      </c>
      <c r="F66" s="240" t="n">
        <v>315.024</v>
      </c>
      <c r="G66" s="347" t="n">
        <v>597</v>
      </c>
      <c r="H66" s="242">
        <f>ROUND(F66*G66,2)</f>
        <v/>
      </c>
      <c r="J66" s="205" t="n"/>
    </row>
    <row r="67" ht="38.25" customHeight="1" s="284">
      <c r="A67" s="162">
        <f>A66+1</f>
        <v/>
      </c>
      <c r="B67" s="302" t="n"/>
      <c r="C67" s="346" t="inlineStr">
        <is>
          <t>20.5.04.04-0061</t>
        </is>
      </c>
      <c r="D67" s="344" t="inlineStr">
        <is>
          <t>Зажимы натяжные болтовые НБН алюминиевые для крепления многопроволочных проводов сечением 95-120 мм2</t>
        </is>
      </c>
      <c r="E67" s="345" t="inlineStr">
        <is>
          <t>шт.</t>
        </is>
      </c>
      <c r="F67" s="240" t="n">
        <v>382.5</v>
      </c>
      <c r="G67" s="347" t="n">
        <v>389.85</v>
      </c>
      <c r="H67" s="242">
        <f>ROUND(F67*G67,2)</f>
        <v/>
      </c>
      <c r="J67" s="205" t="n"/>
    </row>
    <row r="68">
      <c r="A68" s="162">
        <f>A67+1</f>
        <v/>
      </c>
      <c r="B68" s="302" t="n"/>
      <c r="C68" s="346" t="inlineStr">
        <is>
          <t>22.2.02.07-0004</t>
        </is>
      </c>
      <c r="D68" s="344" t="inlineStr">
        <is>
          <t>Конструкции стальные прожекторных мачт ОРУ</t>
        </is>
      </c>
      <c r="E68" s="345" t="inlineStr">
        <is>
          <t>т</t>
        </is>
      </c>
      <c r="F68" s="240" t="n">
        <v>11.07</v>
      </c>
      <c r="G68" s="347" t="n">
        <v>12500</v>
      </c>
      <c r="H68" s="242">
        <f>ROUND(F68*G68,2)</f>
        <v/>
      </c>
    </row>
    <row r="69" ht="51" customHeight="1" s="284">
      <c r="A69" s="162">
        <f>A68+1</f>
        <v/>
      </c>
      <c r="B69" s="302" t="n"/>
      <c r="C69" s="346" t="inlineStr">
        <is>
          <t>07.2.07.12-0012</t>
        </is>
      </c>
      <c r="D69" s="344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E69" s="345" t="inlineStr">
        <is>
          <t>т</t>
        </is>
      </c>
      <c r="F69" s="240" t="n">
        <v>13.02</v>
      </c>
      <c r="G69" s="347" t="n">
        <v>10508</v>
      </c>
      <c r="H69" s="242">
        <f>ROUND(F69*G69,2)</f>
        <v/>
      </c>
    </row>
    <row r="70">
      <c r="A70" s="162">
        <f>A69+1</f>
        <v/>
      </c>
      <c r="B70" s="302" t="n"/>
      <c r="C70" s="346" t="inlineStr">
        <is>
          <t>08.1.02.20-0001</t>
        </is>
      </c>
      <c r="D70" s="344" t="inlineStr">
        <is>
          <t>Звено соединительное, диаметр 28 мм</t>
        </is>
      </c>
      <c r="E70" s="345" t="inlineStr">
        <is>
          <t>шт</t>
        </is>
      </c>
      <c r="F70" s="240" t="n">
        <v>402</v>
      </c>
      <c r="G70" s="347" t="n">
        <v>248.78</v>
      </c>
      <c r="H70" s="242">
        <f>ROUND(F70*G70,2)</f>
        <v/>
      </c>
    </row>
    <row r="71">
      <c r="A71" s="162">
        <f>A70+1</f>
        <v/>
      </c>
      <c r="B71" s="302" t="n"/>
      <c r="C71" s="346" t="inlineStr">
        <is>
          <t>20.1.02.22-0003</t>
        </is>
      </c>
      <c r="D71" s="344" t="inlineStr">
        <is>
          <t>Ушко двухлапчатое У2-12-16</t>
        </is>
      </c>
      <c r="E71" s="345" t="inlineStr">
        <is>
          <t>шт.</t>
        </is>
      </c>
      <c r="F71" s="240" t="n">
        <v>258</v>
      </c>
      <c r="G71" s="347" t="n">
        <v>194.37</v>
      </c>
      <c r="H71" s="242">
        <f>ROUND(F71*G71,2)</f>
        <v/>
      </c>
    </row>
    <row r="72" ht="25.5" customHeight="1" s="284">
      <c r="A72" s="162">
        <f>A71+1</f>
        <v/>
      </c>
      <c r="B72" s="302" t="n"/>
      <c r="C72" s="346" t="inlineStr">
        <is>
          <t>22.2.02.07-0002</t>
        </is>
      </c>
      <c r="D72" s="344" t="inlineStr">
        <is>
          <t>Конструкции стальные отдельностоящих молниеотводов ОРУ</t>
        </is>
      </c>
      <c r="E72" s="345" t="inlineStr">
        <is>
          <t>т</t>
        </is>
      </c>
      <c r="F72" s="240" t="n">
        <v>5.082</v>
      </c>
      <c r="G72" s="347" t="n">
        <v>9800</v>
      </c>
      <c r="H72" s="242">
        <f>ROUND(F72*G72,2)</f>
        <v/>
      </c>
    </row>
    <row r="73" ht="25.5" customHeight="1" s="284">
      <c r="A73" s="162">
        <f>A72+1</f>
        <v/>
      </c>
      <c r="B73" s="302" t="n"/>
      <c r="C73" s="346" t="inlineStr">
        <is>
          <t>21.2.01.02-0094</t>
        </is>
      </c>
      <c r="D73" s="344" t="inlineStr">
        <is>
          <t>Провод неизолированный для воздушных линий электропередачи АС 300/39</t>
        </is>
      </c>
      <c r="E73" s="345" t="inlineStr">
        <is>
          <t>т</t>
        </is>
      </c>
      <c r="F73" s="240" t="n">
        <v>1.0738155</v>
      </c>
      <c r="G73" s="347" t="n">
        <v>32758.86</v>
      </c>
      <c r="H73" s="242">
        <f>ROUND(F73*G73,2)</f>
        <v/>
      </c>
    </row>
    <row r="74" ht="38.25" customHeight="1" s="284">
      <c r="A74" s="162">
        <f>A73+1</f>
        <v/>
      </c>
      <c r="B74" s="302" t="n"/>
      <c r="C74" s="346" t="inlineStr">
        <is>
          <t>04.1.02.05-0062</t>
        </is>
      </c>
      <c r="D74" s="344" t="inlineStr">
        <is>
          <t>Смеси бетонные тяжелого бетона (БСТ), крупность заполнителя 40 мм, класс В22,5 (М300) (Надбавка W8)</t>
        </is>
      </c>
      <c r="E74" s="345" t="inlineStr">
        <is>
          <t>м3</t>
        </is>
      </c>
      <c r="F74" s="240" t="n">
        <v>1459.5</v>
      </c>
      <c r="G74" s="347" t="n">
        <v>20.74</v>
      </c>
      <c r="H74" s="242">
        <f>ROUND(F74*G74,2)</f>
        <v/>
      </c>
    </row>
    <row r="75" ht="38.25" customHeight="1" s="284">
      <c r="A75" s="162">
        <f>A74+1</f>
        <v/>
      </c>
      <c r="B75" s="302" t="n"/>
      <c r="C75" s="346" t="inlineStr">
        <is>
          <t>07.2.07.13-0161</t>
        </is>
      </c>
      <c r="D75" s="344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75" s="345" t="inlineStr">
        <is>
          <t>т</t>
        </is>
      </c>
      <c r="F75" s="240" t="n">
        <v>2.5029615</v>
      </c>
      <c r="G75" s="347" t="n">
        <v>11879.77</v>
      </c>
      <c r="H75" s="242">
        <f>ROUND(F75*G75,2)</f>
        <v/>
      </c>
    </row>
    <row r="76">
      <c r="A76" s="162">
        <f>A75+1</f>
        <v/>
      </c>
      <c r="B76" s="302" t="n"/>
      <c r="C76" s="346" t="inlineStr">
        <is>
          <t>20.2.08.05-0017</t>
        </is>
      </c>
      <c r="D76" s="344" t="inlineStr">
        <is>
          <t>Профиль монтажный</t>
        </is>
      </c>
      <c r="E76" s="345" t="inlineStr">
        <is>
          <t>шт.</t>
        </is>
      </c>
      <c r="F76" s="240" t="n">
        <v>433.5</v>
      </c>
      <c r="G76" s="347" t="n">
        <v>66.81999999999999</v>
      </c>
      <c r="H76" s="242">
        <f>ROUND(F76*G76,2)</f>
        <v/>
      </c>
    </row>
    <row r="77">
      <c r="A77" s="162">
        <f>A76+1</f>
        <v/>
      </c>
      <c r="B77" s="302" t="n"/>
      <c r="C77" s="346" t="inlineStr">
        <is>
          <t>25.2.01.06-0101</t>
        </is>
      </c>
      <c r="D77" s="344" t="inlineStr">
        <is>
          <t>Зажим фиксирующий (КС-049-5) (КС-329)</t>
        </is>
      </c>
      <c r="E77" s="345" t="inlineStr">
        <is>
          <t>шт</t>
        </is>
      </c>
      <c r="F77" s="240" t="n">
        <v>407.25</v>
      </c>
      <c r="G77" s="347" t="n">
        <v>66.68000000000001</v>
      </c>
      <c r="H77" s="242">
        <f>ROUND(F77*G77,2)</f>
        <v/>
      </c>
    </row>
    <row r="78">
      <c r="A78" s="162">
        <f>A77+1</f>
        <v/>
      </c>
      <c r="B78" s="302" t="n"/>
      <c r="C78" s="346" t="inlineStr">
        <is>
          <t>14.2.01.05-0001</t>
        </is>
      </c>
      <c r="D78" s="344" t="inlineStr">
        <is>
          <t>Композиция на основе термопластичных полимеров</t>
        </is>
      </c>
      <c r="E78" s="345" t="inlineStr">
        <is>
          <t>кг</t>
        </is>
      </c>
      <c r="F78" s="240" t="n">
        <v>437.58</v>
      </c>
      <c r="G78" s="347" t="n">
        <v>54.99</v>
      </c>
      <c r="H78" s="242">
        <f>ROUND(F78*G78,2)</f>
        <v/>
      </c>
    </row>
    <row r="79">
      <c r="A79" s="162">
        <f>A78+1</f>
        <v/>
      </c>
      <c r="B79" s="302" t="n"/>
      <c r="C79" s="346" t="inlineStr">
        <is>
          <t>14.5.09.11-0102</t>
        </is>
      </c>
      <c r="D79" s="344" t="inlineStr">
        <is>
          <t>Уайт-спирит</t>
        </is>
      </c>
      <c r="E79" s="345" t="inlineStr">
        <is>
          <t>кг</t>
        </is>
      </c>
      <c r="F79" s="240" t="n">
        <v>2987.1825</v>
      </c>
      <c r="G79" s="347" t="n">
        <v>6.67</v>
      </c>
      <c r="H79" s="242">
        <f>ROUND(F79*G79,2)</f>
        <v/>
      </c>
    </row>
    <row r="80">
      <c r="A80" s="162">
        <f>A79+1</f>
        <v/>
      </c>
      <c r="B80" s="302" t="n"/>
      <c r="C80" s="346" t="inlineStr">
        <is>
          <t>20.2.11.04-0011</t>
        </is>
      </c>
      <c r="D80" s="344" t="inlineStr">
        <is>
          <t>Распорки 125-1</t>
        </is>
      </c>
      <c r="E80" s="345" t="inlineStr">
        <is>
          <t>шт</t>
        </is>
      </c>
      <c r="F80" s="240" t="n">
        <v>525</v>
      </c>
      <c r="G80" s="347" t="n">
        <v>36.61</v>
      </c>
      <c r="H80" s="242">
        <f>ROUND(F80*G80,2)</f>
        <v/>
      </c>
    </row>
    <row r="81">
      <c r="A81" s="162">
        <f>A80+1</f>
        <v/>
      </c>
      <c r="B81" s="302" t="n"/>
      <c r="C81" s="346" t="inlineStr">
        <is>
          <t>01.7.11.07-0032</t>
        </is>
      </c>
      <c r="D81" s="344" t="inlineStr">
        <is>
          <t>Электроды сварочные Э42, диаметр 4 мм</t>
        </is>
      </c>
      <c r="E81" s="345" t="inlineStr">
        <is>
          <t>т</t>
        </is>
      </c>
      <c r="F81" s="240" t="n">
        <v>1.74765</v>
      </c>
      <c r="G81" s="347" t="n">
        <v>10315.01</v>
      </c>
      <c r="H81" s="242">
        <f>ROUND(F81*G81,2)</f>
        <v/>
      </c>
    </row>
    <row r="82" ht="38.25" customHeight="1" s="284">
      <c r="A82" s="162">
        <f>A81+1</f>
        <v/>
      </c>
      <c r="B82" s="302" t="n"/>
      <c r="C82" s="346" t="inlineStr">
        <is>
          <t>07.2.07.12-0020</t>
        </is>
      </c>
      <c r="D82" s="344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82" s="345" t="inlineStr">
        <is>
          <t>т</t>
        </is>
      </c>
      <c r="F82" s="240" t="n">
        <v>2.20455</v>
      </c>
      <c r="G82" s="347" t="n">
        <v>7712</v>
      </c>
      <c r="H82" s="242">
        <f>ROUND(F82*G82,2)</f>
        <v/>
      </c>
    </row>
    <row r="83">
      <c r="A83" s="162">
        <f>A82+1</f>
        <v/>
      </c>
      <c r="B83" s="302" t="n"/>
      <c r="C83" s="346" t="inlineStr">
        <is>
          <t>20.1.02.21-0071</t>
        </is>
      </c>
      <c r="D83" s="344" t="inlineStr">
        <is>
          <t>Узел крепления фиксатора окрашенный</t>
        </is>
      </c>
      <c r="E83" s="345" t="inlineStr">
        <is>
          <t>шт.</t>
        </is>
      </c>
      <c r="F83" s="240" t="n">
        <v>258</v>
      </c>
      <c r="G83" s="347" t="n">
        <v>56.95</v>
      </c>
      <c r="H83" s="242">
        <f>ROUND(F83*G83,2)</f>
        <v/>
      </c>
    </row>
    <row r="84" ht="25.5" customHeight="1" s="284">
      <c r="A84" s="162">
        <f>A83+1</f>
        <v/>
      </c>
      <c r="B84" s="302" t="n"/>
      <c r="C84" s="346" t="inlineStr">
        <is>
          <t>08.3.07.01-0051</t>
        </is>
      </c>
      <c r="D84" s="344" t="inlineStr">
        <is>
          <t>Прокат полосовой, горячекатаный, марка стали Ст3сп, размер 50х4 мм</t>
        </is>
      </c>
      <c r="E84" s="345" t="inlineStr">
        <is>
          <t>т</t>
        </is>
      </c>
      <c r="F84" s="240" t="n">
        <v>1.911</v>
      </c>
      <c r="G84" s="347" t="n">
        <v>7396.23</v>
      </c>
      <c r="H84" s="242">
        <f>ROUND(F84*G84,2)</f>
        <v/>
      </c>
    </row>
    <row r="85" ht="25.5" customHeight="1" s="284">
      <c r="A85" s="162">
        <f>A84+1</f>
        <v/>
      </c>
      <c r="B85" s="302" t="n"/>
      <c r="C85" s="346" t="inlineStr">
        <is>
          <t>01.7.15.03-0036</t>
        </is>
      </c>
      <c r="D85" s="344" t="inlineStr">
        <is>
          <t>Болты с гайками и шайбами оцинкованные, диаметр 24 мм</t>
        </is>
      </c>
      <c r="E85" s="345" t="inlineStr">
        <is>
          <t>кг</t>
        </is>
      </c>
      <c r="F85" s="240" t="n">
        <v>487.5</v>
      </c>
      <c r="G85" s="347" t="n">
        <v>24.79</v>
      </c>
      <c r="H85" s="242">
        <f>ROUND(F85*G85,2)</f>
        <v/>
      </c>
    </row>
    <row r="86" ht="25.5" customHeight="1" s="284">
      <c r="A86" s="162">
        <f>A85+1</f>
        <v/>
      </c>
      <c r="B86" s="302" t="n"/>
      <c r="C86" s="346" t="inlineStr">
        <is>
          <t>25.2.01.10-0003</t>
        </is>
      </c>
      <c r="D86" s="344" t="inlineStr">
        <is>
          <t>Коромысло для анкеровки усиливающих и питающих проводов (КС-122)</t>
        </is>
      </c>
      <c r="E86" s="345" t="inlineStr">
        <is>
          <t>шт.</t>
        </is>
      </c>
      <c r="F86" s="240" t="n">
        <v>144</v>
      </c>
      <c r="G86" s="347" t="n">
        <v>81</v>
      </c>
      <c r="H86" s="242">
        <f>ROUND(F86*G86,2)</f>
        <v/>
      </c>
    </row>
    <row r="87" ht="25.5" customHeight="1" s="284">
      <c r="A87" s="162">
        <f>A86+1</f>
        <v/>
      </c>
      <c r="B87" s="302" t="n"/>
      <c r="C87" s="346" t="inlineStr">
        <is>
          <t>07.2.07.04-0007</t>
        </is>
      </c>
      <c r="D87" s="344" t="inlineStr">
        <is>
          <t>Конструкции стальные индивидуальные решетчатые сварные массой до 0,1 т</t>
        </is>
      </c>
      <c r="E87" s="345" t="inlineStr">
        <is>
          <t>т</t>
        </is>
      </c>
      <c r="F87" s="240" t="n">
        <v>0.5625</v>
      </c>
      <c r="G87" s="347" t="n">
        <v>11500</v>
      </c>
      <c r="H87" s="242">
        <f>ROUND(F87*G87,2)</f>
        <v/>
      </c>
    </row>
    <row r="88">
      <c r="A88" s="162">
        <f>A87+1</f>
        <v/>
      </c>
      <c r="B88" s="302" t="n"/>
      <c r="C88" s="346" t="inlineStr">
        <is>
          <t>11.1.03.05-0041</t>
        </is>
      </c>
      <c r="D88" s="344" t="inlineStr">
        <is>
          <t>Доски необрезные, дубовые, II сорт</t>
        </is>
      </c>
      <c r="E88" s="345" t="inlineStr">
        <is>
          <t>м3</t>
        </is>
      </c>
      <c r="F88" s="240" t="n">
        <v>4.335</v>
      </c>
      <c r="G88" s="347" t="n">
        <v>1410</v>
      </c>
      <c r="H88" s="242">
        <f>ROUND(F88*G88,2)</f>
        <v/>
      </c>
    </row>
    <row r="89" ht="25.5" customHeight="1" s="284">
      <c r="A89" s="162">
        <f>A88+1</f>
        <v/>
      </c>
      <c r="B89" s="302" t="n"/>
      <c r="C89" s="346" t="inlineStr">
        <is>
          <t>08.3.07.01-0076</t>
        </is>
      </c>
      <c r="D89" s="344" t="inlineStr">
        <is>
          <t>Прокат полосовой, горячекатаный, марка стали Ст3сп, ширина 50-200 мм, толщина 4-5 мм</t>
        </is>
      </c>
      <c r="E89" s="345" t="inlineStr">
        <is>
          <t>т</t>
        </is>
      </c>
      <c r="F89" s="240" t="n">
        <v>1.0305375</v>
      </c>
      <c r="G89" s="347" t="n">
        <v>5000</v>
      </c>
      <c r="H89" s="242">
        <f>ROUND(F89*G89,2)</f>
        <v/>
      </c>
    </row>
    <row r="90" ht="25.5" customHeight="1" s="284">
      <c r="A90" s="162">
        <f>A89+1</f>
        <v/>
      </c>
      <c r="B90" s="302" t="n"/>
      <c r="C90" s="346" t="inlineStr">
        <is>
          <t>24.3.03.06-0041</t>
        </is>
      </c>
      <c r="D90" s="344" t="inlineStr">
        <is>
          <t>Трубы дренажные полиэтиленовые гофрированные, диаметр 50 мм, тип 1</t>
        </is>
      </c>
      <c r="E90" s="345" t="inlineStr">
        <is>
          <t>м</t>
        </is>
      </c>
      <c r="F90" s="240" t="n">
        <v>423</v>
      </c>
      <c r="G90" s="347" t="n">
        <v>10.65</v>
      </c>
      <c r="H90" s="242">
        <f>ROUND(F90*G90,2)</f>
        <v/>
      </c>
    </row>
    <row r="91">
      <c r="A91" s="162">
        <f>A90+1</f>
        <v/>
      </c>
      <c r="B91" s="302" t="n"/>
      <c r="C91" s="346" t="inlineStr">
        <is>
          <t>01.7.15.10-0041</t>
        </is>
      </c>
      <c r="D91" s="344" t="inlineStr">
        <is>
          <t>Скобы</t>
        </is>
      </c>
      <c r="E91" s="345" t="inlineStr">
        <is>
          <t>10 шт.</t>
        </is>
      </c>
      <c r="F91" s="240" t="n">
        <v>57.6</v>
      </c>
      <c r="G91" s="347" t="n">
        <v>64.8</v>
      </c>
      <c r="H91" s="242">
        <f>ROUND(F91*G91,2)</f>
        <v/>
      </c>
    </row>
    <row r="92">
      <c r="A92" s="162">
        <f>A91+1</f>
        <v/>
      </c>
      <c r="B92" s="302" t="n"/>
      <c r="C92" s="346" t="inlineStr">
        <is>
          <t>14.4.02.09-0001</t>
        </is>
      </c>
      <c r="D92" s="344" t="inlineStr">
        <is>
          <t>Краска</t>
        </is>
      </c>
      <c r="E92" s="345" t="inlineStr">
        <is>
          <t>кг</t>
        </is>
      </c>
      <c r="F92" s="240" t="n">
        <v>126.09</v>
      </c>
      <c r="G92" s="347" t="n">
        <v>28.6</v>
      </c>
      <c r="H92" s="242">
        <f>ROUND(F92*G92,2)</f>
        <v/>
      </c>
    </row>
    <row r="93">
      <c r="A93" s="162">
        <f>A92+1</f>
        <v/>
      </c>
      <c r="B93" s="302" t="n"/>
      <c r="C93" s="346" t="inlineStr">
        <is>
          <t>01.7.15.03-0042</t>
        </is>
      </c>
      <c r="D93" s="344" t="inlineStr">
        <is>
          <t>Болты с гайками и шайбами строительные</t>
        </is>
      </c>
      <c r="E93" s="345" t="inlineStr">
        <is>
          <t>кг</t>
        </is>
      </c>
      <c r="F93" s="240" t="n">
        <v>378.88125</v>
      </c>
      <c r="G93" s="347" t="n">
        <v>9.039999999999999</v>
      </c>
      <c r="H93" s="242">
        <f>ROUND(F93*G93,2)</f>
        <v/>
      </c>
    </row>
    <row r="94">
      <c r="A94" s="162">
        <f>A93+1</f>
        <v/>
      </c>
      <c r="B94" s="302" t="n"/>
      <c r="C94" s="346" t="inlineStr">
        <is>
          <t>01.7.17.11-0001</t>
        </is>
      </c>
      <c r="D94" s="344" t="inlineStr">
        <is>
          <t>Бумага шлифовальная</t>
        </is>
      </c>
      <c r="E94" s="345" t="inlineStr">
        <is>
          <t>кг</t>
        </is>
      </c>
      <c r="F94" s="240" t="n">
        <v>60</v>
      </c>
      <c r="G94" s="347" t="n">
        <v>50</v>
      </c>
      <c r="H94" s="242">
        <f>ROUND(F94*G94,2)</f>
        <v/>
      </c>
    </row>
    <row r="95">
      <c r="A95" s="162">
        <f>A94+1</f>
        <v/>
      </c>
      <c r="B95" s="302" t="n"/>
      <c r="C95" s="346" t="inlineStr">
        <is>
          <t>20.1.02.14-0002</t>
        </is>
      </c>
      <c r="D95" s="344" t="inlineStr">
        <is>
          <t>Серьга Ср-4,5 075</t>
        </is>
      </c>
      <c r="E95" s="345" t="inlineStr">
        <is>
          <t>шт.</t>
        </is>
      </c>
      <c r="F95" s="240" t="n">
        <v>258</v>
      </c>
      <c r="G95" s="347" t="n">
        <v>11.39</v>
      </c>
      <c r="H95" s="242">
        <f>ROUND(F95*G95,2)</f>
        <v/>
      </c>
    </row>
    <row r="96">
      <c r="A96" s="162">
        <f>A95+1</f>
        <v/>
      </c>
      <c r="B96" s="302" t="n"/>
      <c r="C96" s="346" t="inlineStr">
        <is>
          <t>01.7.11.07-0034</t>
        </is>
      </c>
      <c r="D96" s="344" t="inlineStr">
        <is>
          <t>Электроды сварочные Э42А, диаметр 4 мм</t>
        </is>
      </c>
      <c r="E96" s="345" t="inlineStr">
        <is>
          <t>кг</t>
        </is>
      </c>
      <c r="F96" s="240" t="n">
        <v>243.45945</v>
      </c>
      <c r="G96" s="347" t="n">
        <v>10.57</v>
      </c>
      <c r="H96" s="242">
        <f>ROUND(F96*G96,2)</f>
        <v/>
      </c>
    </row>
    <row r="97" ht="25.5" customHeight="1" s="284">
      <c r="A97" s="162">
        <f>A96+1</f>
        <v/>
      </c>
      <c r="B97" s="302" t="n"/>
      <c r="C97" s="346" t="inlineStr">
        <is>
          <t>21.2.03.05-0055</t>
        </is>
      </c>
      <c r="D97" s="344" t="inlineStr">
        <is>
          <t>Провод силовой установочный с медными жилами ПВ1 25-450</t>
        </is>
      </c>
      <c r="E97" s="345" t="inlineStr">
        <is>
          <t>1000 м</t>
        </is>
      </c>
      <c r="F97" s="240" t="n">
        <v>0.09945</v>
      </c>
      <c r="G97" s="347" t="n">
        <v>19363.45</v>
      </c>
      <c r="H97" s="242">
        <f>ROUND(F97*G97,2)</f>
        <v/>
      </c>
    </row>
    <row r="98" ht="25.5" customHeight="1" s="284">
      <c r="A98" s="162">
        <f>A97+1</f>
        <v/>
      </c>
      <c r="B98" s="302" t="n"/>
      <c r="C98" s="346" t="inlineStr">
        <is>
          <t>01.3.01.06-0050</t>
        </is>
      </c>
      <c r="D98" s="344" t="inlineStr">
        <is>
          <t>Смазка универсальная тугоплавкая УТ (консталин жировой)</t>
        </is>
      </c>
      <c r="E98" s="345" t="inlineStr">
        <is>
          <t>т</t>
        </is>
      </c>
      <c r="F98" s="240" t="n">
        <v>0.101025</v>
      </c>
      <c r="G98" s="347" t="n">
        <v>17500</v>
      </c>
      <c r="H98" s="242">
        <f>ROUND(F98*G98,2)</f>
        <v/>
      </c>
    </row>
    <row r="99" ht="25.5" customHeight="1" s="284">
      <c r="A99" s="162">
        <f>A98+1</f>
        <v/>
      </c>
      <c r="B99" s="302" t="n"/>
      <c r="C99" s="346" t="inlineStr">
        <is>
          <t>999-9950</t>
        </is>
      </c>
      <c r="D99" s="344" t="inlineStr">
        <is>
          <t>Вспомогательные ненормируемые материальные ресурсы (2% от оплаты труда рабочих)</t>
        </is>
      </c>
      <c r="E99" s="345" t="inlineStr">
        <is>
          <t>руб.</t>
        </is>
      </c>
      <c r="F99" s="240" t="n">
        <v>1715.310075</v>
      </c>
      <c r="G99" s="347" t="n">
        <v>1</v>
      </c>
      <c r="H99" s="242">
        <f>ROUND(F99*G99,2)</f>
        <v/>
      </c>
    </row>
    <row r="100">
      <c r="A100" s="162">
        <f>A99+1</f>
        <v/>
      </c>
      <c r="B100" s="302" t="n"/>
      <c r="C100" s="346" t="inlineStr">
        <is>
          <t>01.4.01.06-0014</t>
        </is>
      </c>
      <c r="D100" s="344" t="inlineStr">
        <is>
          <t>Коронки буровые типа К-100В</t>
        </is>
      </c>
      <c r="E100" s="345" t="inlineStr">
        <is>
          <t>шт.</t>
        </is>
      </c>
      <c r="F100" s="240" t="n">
        <v>8.499750000000001</v>
      </c>
      <c r="G100" s="347" t="n">
        <v>176.51</v>
      </c>
      <c r="H100" s="242">
        <f>ROUND(F100*G100,2)</f>
        <v/>
      </c>
    </row>
    <row r="101" ht="25.5" customHeight="1" s="284">
      <c r="A101" s="162">
        <f>A100+1</f>
        <v/>
      </c>
      <c r="B101" s="302" t="n"/>
      <c r="C101" s="346" t="inlineStr">
        <is>
          <t>07.2.05.01-0032</t>
        </is>
      </c>
      <c r="D101" s="344" t="inlineStr">
        <is>
          <t>Ограждения лестничных проемов, лестничные марши, пожарные лестницы</t>
        </is>
      </c>
      <c r="E101" s="345" t="inlineStr">
        <is>
          <t>т</t>
        </is>
      </c>
      <c r="F101" s="240" t="n">
        <v>0.187254</v>
      </c>
      <c r="G101" s="347" t="n">
        <v>7571</v>
      </c>
      <c r="H101" s="242">
        <f>ROUND(F101*G101,2)</f>
        <v/>
      </c>
    </row>
    <row r="102" ht="25.5" customHeight="1" s="284">
      <c r="A102" s="162">
        <f>A101+1</f>
        <v/>
      </c>
      <c r="B102" s="302" t="n"/>
      <c r="C102" s="346" t="inlineStr">
        <is>
          <t>22.1.01.02-0002</t>
        </is>
      </c>
      <c r="D102" s="344" t="inlineStr">
        <is>
          <t>Щит распределительный навесной ЩРН-9, размер 250х300х120 мм</t>
        </is>
      </c>
      <c r="E102" s="345" t="inlineStr">
        <is>
          <t>шт</t>
        </is>
      </c>
      <c r="F102" s="240" t="n">
        <v>15</v>
      </c>
      <c r="G102" s="347" t="n">
        <v>85.45999999999999</v>
      </c>
      <c r="H102" s="242">
        <f>ROUND(F102*G102,2)</f>
        <v/>
      </c>
    </row>
    <row r="103">
      <c r="A103" s="162">
        <f>A102+1</f>
        <v/>
      </c>
      <c r="B103" s="302" t="n"/>
      <c r="C103" s="346" t="inlineStr">
        <is>
          <t>01.7.20.08-0031</t>
        </is>
      </c>
      <c r="D103" s="344" t="inlineStr">
        <is>
          <t>Бязь суровая</t>
        </is>
      </c>
      <c r="E103" s="345" t="inlineStr">
        <is>
          <t>10 м2</t>
        </is>
      </c>
      <c r="F103" s="240" t="n">
        <v>12.744</v>
      </c>
      <c r="G103" s="347" t="n">
        <v>79.09999999999999</v>
      </c>
      <c r="H103" s="242">
        <f>ROUND(F103*G103,2)</f>
        <v/>
      </c>
    </row>
    <row r="104" ht="63.75" customHeight="1" s="284">
      <c r="A104" s="162">
        <f>A103+1</f>
        <v/>
      </c>
      <c r="B104" s="302" t="n"/>
      <c r="C104" s="346" t="inlineStr">
        <is>
          <t>07.2.07.12-0003</t>
        </is>
      </c>
      <c r="D104" s="34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04" s="345" t="inlineStr">
        <is>
          <t>т</t>
        </is>
      </c>
      <c r="F104" s="240" t="n">
        <v>0.0867</v>
      </c>
      <c r="G104" s="347" t="n">
        <v>11255</v>
      </c>
      <c r="H104" s="242">
        <f>ROUND(F104*G104,2)</f>
        <v/>
      </c>
    </row>
    <row r="105">
      <c r="A105" s="162">
        <f>A104+1</f>
        <v/>
      </c>
      <c r="B105" s="302" t="n"/>
      <c r="C105" s="346" t="inlineStr">
        <is>
          <t>20.5.04.09-0001</t>
        </is>
      </c>
      <c r="D105" s="344" t="inlineStr">
        <is>
          <t>Сжимы ответвительные</t>
        </is>
      </c>
      <c r="E105" s="345" t="inlineStr">
        <is>
          <t>100 шт</t>
        </is>
      </c>
      <c r="F105" s="240" t="n">
        <v>1.6575</v>
      </c>
      <c r="G105" s="347" t="n">
        <v>528</v>
      </c>
      <c r="H105" s="242">
        <f>ROUND(F105*G105,2)</f>
        <v/>
      </c>
    </row>
    <row r="106" ht="25.5" customHeight="1" s="284">
      <c r="A106" s="162">
        <f>A105+1</f>
        <v/>
      </c>
      <c r="B106" s="302" t="n"/>
      <c r="C106" s="346" t="inlineStr">
        <is>
          <t>22.1.01.02-0003</t>
        </is>
      </c>
      <c r="D106" s="344" t="inlineStr">
        <is>
          <t>Щит распределительный навесной ЩРН-9, размер 250х350х120 мм</t>
        </is>
      </c>
      <c r="E106" s="345" t="inlineStr">
        <is>
          <t>шт</t>
        </is>
      </c>
      <c r="F106" s="240" t="n">
        <v>7.5</v>
      </c>
      <c r="G106" s="347" t="n">
        <v>92.25</v>
      </c>
      <c r="H106" s="242">
        <f>ROUND(F106*G106,2)</f>
        <v/>
      </c>
    </row>
    <row r="107" ht="25.5" customHeight="1" s="284">
      <c r="A107" s="162">
        <f>A106+1</f>
        <v/>
      </c>
      <c r="B107" s="302" t="n"/>
      <c r="C107" s="346" t="inlineStr">
        <is>
          <t>14.4.02.04-0142</t>
        </is>
      </c>
      <c r="D107" s="344" t="inlineStr">
        <is>
          <t>Краска масляная земляная МА-0115, мумия, сурик железный</t>
        </is>
      </c>
      <c r="E107" s="345" t="inlineStr">
        <is>
          <t>кг</t>
        </is>
      </c>
      <c r="F107" s="240" t="n">
        <v>28.875</v>
      </c>
      <c r="G107" s="347" t="n">
        <v>15.12</v>
      </c>
      <c r="H107" s="242">
        <f>ROUND(F107*G107,2)</f>
        <v/>
      </c>
    </row>
    <row r="108">
      <c r="A108" s="162">
        <f>A107+1</f>
        <v/>
      </c>
      <c r="B108" s="302" t="n"/>
      <c r="C108" s="346" t="inlineStr">
        <is>
          <t>22.2.01.05-0051</t>
        </is>
      </c>
      <c r="D108" s="344" t="inlineStr">
        <is>
          <t>Изолятор опорный ИОР-10-375 УХЛ</t>
        </is>
      </c>
      <c r="E108" s="345" t="inlineStr">
        <is>
          <t>шт</t>
        </is>
      </c>
      <c r="F108" s="240" t="n">
        <v>9</v>
      </c>
      <c r="G108" s="347" t="n">
        <v>41.1</v>
      </c>
      <c r="H108" s="242">
        <f>ROUND(F108*G108,2)</f>
        <v/>
      </c>
    </row>
    <row r="109">
      <c r="A109" s="162">
        <f>A108+1</f>
        <v/>
      </c>
      <c r="B109" s="302" t="n"/>
      <c r="C109" s="346" t="inlineStr">
        <is>
          <t>01.7.15.06-0111</t>
        </is>
      </c>
      <c r="D109" s="344" t="inlineStr">
        <is>
          <t>Гвозди строительные</t>
        </is>
      </c>
      <c r="E109" s="345" t="inlineStr">
        <is>
          <t>т</t>
        </is>
      </c>
      <c r="F109" s="240" t="n">
        <v>0.028875</v>
      </c>
      <c r="G109" s="347" t="n">
        <v>11978</v>
      </c>
      <c r="H109" s="242">
        <f>ROUND(F109*G109,2)</f>
        <v/>
      </c>
    </row>
    <row r="110">
      <c r="A110" s="162">
        <f>A109+1</f>
        <v/>
      </c>
      <c r="B110" s="302" t="n"/>
      <c r="C110" s="346" t="inlineStr">
        <is>
          <t>24.3.05.07-0002</t>
        </is>
      </c>
      <c r="D110" s="344" t="inlineStr">
        <is>
          <t>Муфта</t>
        </is>
      </c>
      <c r="E110" s="345" t="inlineStr">
        <is>
          <t>шт</t>
        </is>
      </c>
      <c r="F110" s="240" t="n">
        <v>57.75</v>
      </c>
      <c r="G110" s="347" t="n">
        <v>5.96</v>
      </c>
      <c r="H110" s="242">
        <f>ROUND(F110*G110,2)</f>
        <v/>
      </c>
    </row>
    <row r="111">
      <c r="A111" s="162">
        <f>A110+1</f>
        <v/>
      </c>
      <c r="B111" s="302" t="n"/>
      <c r="C111" s="346" t="inlineStr">
        <is>
          <t>01.7.15.07-0014</t>
        </is>
      </c>
      <c r="D111" s="344" t="inlineStr">
        <is>
          <t>Дюбели распорные полипропиленовые</t>
        </is>
      </c>
      <c r="E111" s="345" t="inlineStr">
        <is>
          <t>100 шт.</t>
        </is>
      </c>
      <c r="F111" s="240" t="n">
        <v>3.468</v>
      </c>
      <c r="G111" s="347" t="n">
        <v>86</v>
      </c>
      <c r="H111" s="242">
        <f>ROUND(F111*G111,2)</f>
        <v/>
      </c>
    </row>
    <row r="112" ht="25.5" customHeight="1" s="284">
      <c r="A112" s="162">
        <f>A111+1</f>
        <v/>
      </c>
      <c r="B112" s="302" t="n"/>
      <c r="C112" s="346" t="inlineStr">
        <is>
          <t>08.3.05.02-0101</t>
        </is>
      </c>
      <c r="D112" s="344" t="inlineStr">
        <is>
          <t>Прокат толстолистовой горячекатаный в листах, марка стали ВСт3пс5, толщина 4-6 мм</t>
        </is>
      </c>
      <c r="E112" s="345" t="inlineStr">
        <is>
          <t>т</t>
        </is>
      </c>
      <c r="F112" s="240" t="n">
        <v>0.039</v>
      </c>
      <c r="G112" s="347" t="n">
        <v>5763</v>
      </c>
      <c r="H112" s="242">
        <f>ROUND(F112*G112,2)</f>
        <v/>
      </c>
    </row>
    <row r="113" ht="25.5" customHeight="1" s="284">
      <c r="A113" s="162">
        <f>A112+1</f>
        <v/>
      </c>
      <c r="B113" s="302" t="n"/>
      <c r="C113" s="346" t="inlineStr">
        <is>
          <t>10.2.02.07-0109</t>
        </is>
      </c>
      <c r="D113" s="344" t="inlineStr">
        <is>
          <t>Проволока латунная, круглая, твердая, нормальной точности, марка Л68, диаметр 0,50 мм</t>
        </is>
      </c>
      <c r="E113" s="345" t="inlineStr">
        <is>
          <t>т</t>
        </is>
      </c>
      <c r="F113" s="240" t="n">
        <v>0.0024</v>
      </c>
      <c r="G113" s="347" t="n">
        <v>62000</v>
      </c>
      <c r="H113" s="242">
        <f>ROUND(F113*G113,2)</f>
        <v/>
      </c>
    </row>
    <row r="114">
      <c r="A114" s="162">
        <f>A113+1</f>
        <v/>
      </c>
      <c r="B114" s="302" t="n"/>
      <c r="C114" s="346" t="inlineStr">
        <is>
          <t>01.7.11.07-0035</t>
        </is>
      </c>
      <c r="D114" s="344" t="inlineStr">
        <is>
          <t>Электроды диаметром 4 мм Э46</t>
        </is>
      </c>
      <c r="E114" s="345" t="inlineStr">
        <is>
          <t>т</t>
        </is>
      </c>
      <c r="F114" s="240" t="n">
        <v>0.01035</v>
      </c>
      <c r="G114" s="347" t="n">
        <v>10749</v>
      </c>
      <c r="H114" s="242">
        <f>ROUND(F114*G114,2)</f>
        <v/>
      </c>
    </row>
    <row r="115" ht="25.5" customHeight="1" s="284">
      <c r="A115" s="162">
        <f>A114+1</f>
        <v/>
      </c>
      <c r="B115" s="302" t="n"/>
      <c r="C115" s="346" t="inlineStr">
        <is>
          <t>11.1.03.06-0022</t>
        </is>
      </c>
      <c r="D115" s="344" t="inlineStr">
        <is>
          <t>Доски обрезные (береза, липа) длиной: 4-6,5 м, все ширины, толщиной 19-22 мм, III сорта</t>
        </is>
      </c>
      <c r="E115" s="345" t="inlineStr">
        <is>
          <t>м3</t>
        </is>
      </c>
      <c r="F115" s="240" t="n">
        <v>0.096</v>
      </c>
      <c r="G115" s="347" t="n">
        <v>1057.61</v>
      </c>
      <c r="H115" s="242">
        <f>ROUND(F115*G115,2)</f>
        <v/>
      </c>
    </row>
    <row r="116">
      <c r="A116" s="162">
        <f>A115+1</f>
        <v/>
      </c>
      <c r="B116" s="302" t="n"/>
      <c r="C116" s="346" t="inlineStr">
        <is>
          <t>01.3.02.08-0001</t>
        </is>
      </c>
      <c r="D116" s="344" t="inlineStr">
        <is>
          <t>Кислород газообразный технический</t>
        </is>
      </c>
      <c r="E116" s="345" t="inlineStr">
        <is>
          <t>м3</t>
        </is>
      </c>
      <c r="F116" s="240" t="n">
        <v>8.34285</v>
      </c>
      <c r="G116" s="347" t="n">
        <v>6.22</v>
      </c>
      <c r="H116" s="242">
        <f>ROUND(F116*G116,2)</f>
        <v/>
      </c>
    </row>
    <row r="117">
      <c r="A117" s="162">
        <f>A116+1</f>
        <v/>
      </c>
      <c r="B117" s="302" t="n"/>
      <c r="C117" s="346" t="inlineStr">
        <is>
          <t>01.3.02.09-0022</t>
        </is>
      </c>
      <c r="D117" s="344" t="inlineStr">
        <is>
          <t>Пропан-бутан, смесь техническая</t>
        </is>
      </c>
      <c r="E117" s="345" t="inlineStr">
        <is>
          <t>кг</t>
        </is>
      </c>
      <c r="F117" s="240" t="n">
        <v>7.06005</v>
      </c>
      <c r="G117" s="347" t="n">
        <v>6.09</v>
      </c>
      <c r="H117" s="242">
        <f>ROUND(F117*G117,2)</f>
        <v/>
      </c>
    </row>
    <row r="118" ht="25.5" customHeight="1" s="284">
      <c r="A118" s="162">
        <f>A117+1</f>
        <v/>
      </c>
      <c r="B118" s="302" t="n"/>
      <c r="C118" s="346" t="inlineStr">
        <is>
          <t>01.7.15.06-0121</t>
        </is>
      </c>
      <c r="D118" s="344" t="inlineStr">
        <is>
          <t>Гвозди строительные с плоской головкой, размер 1,6х50 мм</t>
        </is>
      </c>
      <c r="E118" s="345" t="inlineStr">
        <is>
          <t>т</t>
        </is>
      </c>
      <c r="F118" s="240" t="n">
        <v>0.0039</v>
      </c>
      <c r="G118" s="347" t="n">
        <v>8475</v>
      </c>
      <c r="H118" s="242">
        <f>ROUND(F118*G118,2)</f>
        <v/>
      </c>
    </row>
    <row r="119">
      <c r="A119" s="162">
        <f>A118+1</f>
        <v/>
      </c>
      <c r="B119" s="302" t="n"/>
      <c r="C119" s="346" t="inlineStr">
        <is>
          <t>08.3.11.01-0091</t>
        </is>
      </c>
      <c r="D119" s="344" t="inlineStr">
        <is>
          <t>Швеллеры № 40, марка стали Ст0</t>
        </is>
      </c>
      <c r="E119" s="345" t="inlineStr">
        <is>
          <t>т</t>
        </is>
      </c>
      <c r="F119" s="240" t="n">
        <v>0.005025</v>
      </c>
      <c r="G119" s="347" t="n">
        <v>4920</v>
      </c>
      <c r="H119" s="242">
        <f>ROUND(F119*G119,2)</f>
        <v/>
      </c>
    </row>
    <row r="120">
      <c r="A120" s="162">
        <f>A119+1</f>
        <v/>
      </c>
      <c r="B120" s="302" t="n"/>
      <c r="C120" s="346" t="inlineStr">
        <is>
          <t>14.1.02.01-0002</t>
        </is>
      </c>
      <c r="D120" s="344" t="inlineStr">
        <is>
          <t>Клей БМК-5к</t>
        </is>
      </c>
      <c r="E120" s="345" t="inlineStr">
        <is>
          <t>кг</t>
        </is>
      </c>
      <c r="F120" s="240" t="n">
        <v>0.846</v>
      </c>
      <c r="G120" s="347" t="n">
        <v>25.8</v>
      </c>
      <c r="H120" s="242">
        <f>ROUND(F120*G120,2)</f>
        <v/>
      </c>
    </row>
    <row r="121">
      <c r="A121" s="162">
        <f>A120+1</f>
        <v/>
      </c>
      <c r="B121" s="302" t="n"/>
      <c r="C121" s="346" t="inlineStr">
        <is>
          <t>14.5.09.07-0029</t>
        </is>
      </c>
      <c r="D121" s="344" t="inlineStr">
        <is>
          <t>Растворитель марки Р-4</t>
        </is>
      </c>
      <c r="E121" s="345" t="inlineStr">
        <is>
          <t>т</t>
        </is>
      </c>
      <c r="F121" s="240" t="n">
        <v>0.0015</v>
      </c>
      <c r="G121" s="347" t="n">
        <v>9420</v>
      </c>
      <c r="H121" s="242">
        <f>ROUND(F121*G121,2)</f>
        <v/>
      </c>
    </row>
    <row r="122">
      <c r="A122" s="162">
        <f>A121+1</f>
        <v/>
      </c>
      <c r="B122" s="302" t="n"/>
      <c r="C122" s="346" t="inlineStr">
        <is>
          <t>14.4.01.01-0003</t>
        </is>
      </c>
      <c r="D122" s="344" t="inlineStr">
        <is>
          <t>Грунтовка ГФ-021</t>
        </is>
      </c>
      <c r="E122" s="345" t="inlineStr">
        <is>
          <t>т</t>
        </is>
      </c>
      <c r="F122" s="240" t="n">
        <v>0.000825</v>
      </c>
      <c r="G122" s="347" t="n">
        <v>15620</v>
      </c>
      <c r="H122" s="242">
        <f>ROUND(F122*G122,2)</f>
        <v/>
      </c>
    </row>
    <row r="123">
      <c r="A123" s="162">
        <f>A122+1</f>
        <v/>
      </c>
      <c r="B123" s="302" t="n"/>
      <c r="C123" s="346" t="inlineStr">
        <is>
          <t>01.7.20.08-0071</t>
        </is>
      </c>
      <c r="D123" s="344" t="inlineStr">
        <is>
          <t>Канат пеньковый пропитанный</t>
        </is>
      </c>
      <c r="E123" s="345" t="inlineStr">
        <is>
          <t>т</t>
        </is>
      </c>
      <c r="F123" s="240" t="n">
        <v>0.000225</v>
      </c>
      <c r="G123" s="347" t="n">
        <v>37900</v>
      </c>
      <c r="H123" s="242">
        <f>ROUND(F123*G123,2)</f>
        <v/>
      </c>
    </row>
    <row r="124" ht="38.25" customHeight="1" s="284">
      <c r="A124" s="162">
        <f>A123+1</f>
        <v/>
      </c>
      <c r="B124" s="302" t="n"/>
      <c r="C124" s="346" t="inlineStr">
        <is>
          <t>01.7.15.14-0043</t>
        </is>
      </c>
      <c r="D124" s="344" t="inlineStr">
        <is>
          <t>Шурупы самонарезающий прокалывающий, для крепления металлических профилей или листовых деталей 3,5/11 мм</t>
        </is>
      </c>
      <c r="E124" s="345" t="inlineStr">
        <is>
          <t>100 шт</t>
        </is>
      </c>
      <c r="F124" s="240" t="n">
        <v>3.468</v>
      </c>
      <c r="G124" s="347" t="n">
        <v>2</v>
      </c>
      <c r="H124" s="242">
        <f>ROUND(F124*G124,2)</f>
        <v/>
      </c>
    </row>
    <row r="125">
      <c r="A125" s="162">
        <f>A124+1</f>
        <v/>
      </c>
      <c r="B125" s="302" t="n"/>
      <c r="C125" s="346" t="inlineStr">
        <is>
          <t>01.7.15.07-0031</t>
        </is>
      </c>
      <c r="D125" s="344" t="inlineStr">
        <is>
          <t>Дюбели распорные с гайкой</t>
        </is>
      </c>
      <c r="E125" s="345" t="inlineStr">
        <is>
          <t>100 шт</t>
        </is>
      </c>
      <c r="F125" s="240" t="n">
        <v>0.0612</v>
      </c>
      <c r="G125" s="347" t="n">
        <v>110</v>
      </c>
      <c r="H125" s="242">
        <f>ROUND(F125*G125,2)</f>
        <v/>
      </c>
    </row>
    <row r="126" ht="25.5" customHeight="1" s="284">
      <c r="A126" s="162">
        <f>A125+1</f>
        <v/>
      </c>
      <c r="B126" s="302" t="n"/>
      <c r="C126" s="346" t="inlineStr">
        <is>
          <t>03.2.01.01-0003</t>
        </is>
      </c>
      <c r="D126" s="344" t="inlineStr">
        <is>
          <t>Портландцемент общестроительного назначения бездобавочный М500 Д0 (ЦЕМ I 42,5Н)</t>
        </is>
      </c>
      <c r="E126" s="345" t="inlineStr">
        <is>
          <t>т</t>
        </is>
      </c>
      <c r="F126" s="240" t="n">
        <v>0.0138</v>
      </c>
      <c r="G126" s="347" t="n">
        <v>480</v>
      </c>
      <c r="H126" s="242">
        <f>ROUND(F126*G126,2)</f>
        <v/>
      </c>
    </row>
    <row r="127" ht="25.5" customHeight="1" s="284">
      <c r="A127" s="162">
        <f>A126+1</f>
        <v/>
      </c>
      <c r="B127" s="302" t="n"/>
      <c r="C127" s="346" t="inlineStr">
        <is>
          <t>10.3.02.03-0011</t>
        </is>
      </c>
      <c r="D127" s="344" t="inlineStr">
        <is>
          <t>Припои оловянно-свинцовые бессурьмянистые, марка ПОС30</t>
        </is>
      </c>
      <c r="E127" s="345" t="inlineStr">
        <is>
          <t>т</t>
        </is>
      </c>
      <c r="F127" s="240" t="n">
        <v>7.575e-05</v>
      </c>
      <c r="G127" s="347" t="n">
        <v>68050</v>
      </c>
      <c r="H127" s="242">
        <f>ROUND(F127*G127,2)</f>
        <v/>
      </c>
    </row>
    <row r="128" ht="25.5" customHeight="1" s="284">
      <c r="A128" s="162">
        <f>A127+1</f>
        <v/>
      </c>
      <c r="B128" s="302" t="n"/>
      <c r="C128" s="346" t="inlineStr">
        <is>
          <t>11.1.03.01-0077</t>
        </is>
      </c>
      <c r="D128" s="344" t="inlineStr">
        <is>
          <t>Бруски обрезные, хвойных пород, длина 4-6,5 м, ширина 75-150 мм, толщина 40-75 мм, сорт I</t>
        </is>
      </c>
      <c r="E128" s="345" t="inlineStr">
        <is>
          <t>м3</t>
        </is>
      </c>
      <c r="F128" s="240" t="n">
        <v>0.002625</v>
      </c>
      <c r="G128" s="347" t="n">
        <v>1700</v>
      </c>
      <c r="H128" s="242">
        <f>ROUND(F128*G128,2)</f>
        <v/>
      </c>
    </row>
    <row r="129">
      <c r="A129" s="162">
        <f>A128+1</f>
        <v/>
      </c>
      <c r="B129" s="302" t="n"/>
      <c r="C129" s="346" t="inlineStr">
        <is>
          <t>01.7.07.12-0021</t>
        </is>
      </c>
      <c r="D129" s="344" t="inlineStr">
        <is>
          <t>Пленка полиэтиленовая толщиной 0,2-0,5 мм</t>
        </is>
      </c>
      <c r="E129" s="345" t="inlineStr">
        <is>
          <t>т</t>
        </is>
      </c>
      <c r="F129" s="240" t="n">
        <v>0.00015</v>
      </c>
      <c r="G129" s="347" t="n">
        <v>23500</v>
      </c>
      <c r="H129" s="242">
        <f>ROUND(F129*G129,2)</f>
        <v/>
      </c>
    </row>
    <row r="130" ht="51" customHeight="1" s="284">
      <c r="A130" s="162">
        <f>A129+1</f>
        <v/>
      </c>
      <c r="B130" s="302" t="n"/>
      <c r="C130" s="346" t="inlineStr">
        <is>
          <t>08.2.02.11-0007</t>
        </is>
      </c>
      <c r="D130" s="34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30" s="345" t="inlineStr">
        <is>
          <t>10 м</t>
        </is>
      </c>
      <c r="F130" s="240" t="n">
        <v>0.048375</v>
      </c>
      <c r="G130" s="347" t="n">
        <v>50.24</v>
      </c>
      <c r="H130" s="242">
        <f>ROUND(F130*G130,2)</f>
        <v/>
      </c>
    </row>
    <row r="131">
      <c r="A131" s="162">
        <f>A130+1</f>
        <v/>
      </c>
      <c r="B131" s="302" t="n"/>
      <c r="C131" s="346" t="inlineStr">
        <is>
          <t>14.4.03.03-0002</t>
        </is>
      </c>
      <c r="D131" s="344" t="inlineStr">
        <is>
          <t>Лак битумный БТ-123</t>
        </is>
      </c>
      <c r="E131" s="345" t="inlineStr">
        <is>
          <t>т</t>
        </is>
      </c>
      <c r="F131" s="240" t="n">
        <v>0.000225</v>
      </c>
      <c r="G131" s="347" t="n">
        <v>7826.9</v>
      </c>
      <c r="H131" s="242">
        <f>ROUND(F131*G131,2)</f>
        <v/>
      </c>
    </row>
    <row r="132">
      <c r="A132" s="162">
        <f>A131+1</f>
        <v/>
      </c>
      <c r="B132" s="302" t="n"/>
      <c r="C132" s="346" t="inlineStr">
        <is>
          <t>01.7.17.11-0003</t>
        </is>
      </c>
      <c r="D132" s="344" t="inlineStr">
        <is>
          <t>Бумага шлифовальная</t>
        </is>
      </c>
      <c r="E132" s="345" t="inlineStr">
        <is>
          <t>лист</t>
        </is>
      </c>
      <c r="F132" s="240" t="n">
        <v>0.3</v>
      </c>
      <c r="G132" s="347" t="n">
        <v>3.75</v>
      </c>
      <c r="H132" s="242">
        <f>ROUND(F132*G132,2)</f>
        <v/>
      </c>
    </row>
    <row r="133">
      <c r="A133" s="162">
        <f>A132+1</f>
        <v/>
      </c>
      <c r="B133" s="302" t="n"/>
      <c r="C133" s="346" t="inlineStr">
        <is>
          <t>01.7.06.07-0001</t>
        </is>
      </c>
      <c r="D133" s="344" t="inlineStr">
        <is>
          <t>Лента К226</t>
        </is>
      </c>
      <c r="E133" s="345" t="inlineStr">
        <is>
          <t>100 м</t>
        </is>
      </c>
      <c r="F133" s="240" t="n">
        <v>0.0072</v>
      </c>
      <c r="G133" s="347" t="n">
        <v>120</v>
      </c>
      <c r="H133" s="242">
        <f>ROUND(F133*G133,2)</f>
        <v/>
      </c>
    </row>
    <row r="134">
      <c r="A134" s="162">
        <f>A133+1</f>
        <v/>
      </c>
      <c r="B134" s="302" t="n"/>
      <c r="C134" s="346" t="inlineStr">
        <is>
          <t>01.3.01.07-0009</t>
        </is>
      </c>
      <c r="D134" s="344" t="inlineStr">
        <is>
          <t>Спирт этиловый ректификованный технический, сорт I</t>
        </is>
      </c>
      <c r="E134" s="345" t="inlineStr">
        <is>
          <t>кг</t>
        </is>
      </c>
      <c r="F134" s="240" t="n">
        <v>0.0192</v>
      </c>
      <c r="G134" s="347" t="n">
        <v>38.89</v>
      </c>
      <c r="H134" s="242">
        <f>ROUND(F134*G134,2)</f>
        <v/>
      </c>
    </row>
    <row r="135">
      <c r="A135" s="162">
        <f>A134+1</f>
        <v/>
      </c>
      <c r="B135" s="302" t="n"/>
      <c r="C135" s="346" t="inlineStr">
        <is>
          <t>02.2.05.04-1777</t>
        </is>
      </c>
      <c r="D135" s="344" t="inlineStr">
        <is>
          <t>Щебень М 800, фракция 20-40 мм, группа 2</t>
        </is>
      </c>
      <c r="E135" s="345" t="inlineStr">
        <is>
          <t>м3</t>
        </is>
      </c>
      <c r="F135" s="240" t="n">
        <v>0.0069</v>
      </c>
      <c r="G135" s="347" t="n">
        <v>108.4</v>
      </c>
      <c r="H135" s="242">
        <f>ROUND(F135*G135,2)</f>
        <v/>
      </c>
    </row>
    <row r="136">
      <c r="A136" s="162">
        <f>A135+1</f>
        <v/>
      </c>
      <c r="B136" s="302" t="n"/>
      <c r="C136" s="346" t="inlineStr">
        <is>
          <t>01.7.02.09-0002</t>
        </is>
      </c>
      <c r="D136" s="344" t="inlineStr">
        <is>
          <t>Шпагат бумажный</t>
        </is>
      </c>
      <c r="E136" s="345" t="inlineStr">
        <is>
          <t>кг</t>
        </is>
      </c>
      <c r="F136" s="240" t="n">
        <v>0.06</v>
      </c>
      <c r="G136" s="347" t="n">
        <v>11.5</v>
      </c>
      <c r="H136" s="242">
        <f>ROUND(F136*G136,2)</f>
        <v/>
      </c>
    </row>
    <row r="137">
      <c r="A137" s="162">
        <f>A136+1</f>
        <v/>
      </c>
      <c r="B137" s="302" t="n"/>
      <c r="C137" s="346" t="inlineStr">
        <is>
          <t>02.3.01.02-1012</t>
        </is>
      </c>
      <c r="D137" s="344" t="inlineStr">
        <is>
          <t>Песок природный II класс, средний, круглые сита</t>
        </is>
      </c>
      <c r="E137" s="345" t="inlineStr">
        <is>
          <t>м3</t>
        </is>
      </c>
      <c r="F137" s="240" t="n">
        <v>0.011475</v>
      </c>
      <c r="G137" s="347" t="n">
        <v>59.99</v>
      </c>
      <c r="H137" s="242">
        <f>ROUND(F137*G137,2)</f>
        <v/>
      </c>
    </row>
    <row r="138" ht="25.5" customHeight="1" s="284">
      <c r="A138" s="162">
        <f>A137+1</f>
        <v/>
      </c>
      <c r="B138" s="302" t="n"/>
      <c r="C138" s="346" t="inlineStr">
        <is>
          <t>08.3.03.06-0002</t>
        </is>
      </c>
      <c r="D138" s="344" t="inlineStr">
        <is>
          <t>Проволока горячекатаная в мотках, диаметр 6,3-6,5 мм</t>
        </is>
      </c>
      <c r="E138" s="345" t="inlineStr">
        <is>
          <t>т</t>
        </is>
      </c>
      <c r="F138" s="240" t="n">
        <v>7.499999999999999e-05</v>
      </c>
      <c r="G138" s="347" t="n">
        <v>4455.2</v>
      </c>
      <c r="H138" s="242">
        <f>ROUND(F138*G138,2)</f>
        <v/>
      </c>
    </row>
    <row r="140" ht="25.5" customHeight="1" s="284">
      <c r="B140" s="199" t="inlineStr">
        <is>
          <t xml:space="preserve">Примечание: </t>
        </is>
      </c>
      <c r="C140" s="34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44">
      <c r="B144" s="298" t="inlineStr">
        <is>
          <t>Составил ______________________        Е.А. Князева</t>
        </is>
      </c>
      <c r="C144" s="301" t="n"/>
    </row>
    <row r="145">
      <c r="B145" s="300" t="inlineStr">
        <is>
          <t xml:space="preserve">                         (подпись, инициалы, фамилия)</t>
        </is>
      </c>
      <c r="C145" s="301" t="n"/>
    </row>
    <row r="146">
      <c r="B146" s="298" t="n"/>
      <c r="C146" s="301" t="n"/>
    </row>
    <row r="147">
      <c r="B147" s="298" t="inlineStr">
        <is>
          <t>Проверил ______________________        А.В. Костянецкая</t>
        </is>
      </c>
      <c r="C147" s="301" t="n"/>
    </row>
    <row r="148">
      <c r="B148" s="300" t="inlineStr">
        <is>
          <t xml:space="preserve">                        (подпись, инициалы, фамилия)</t>
        </is>
      </c>
      <c r="C148" s="301" t="n"/>
    </row>
  </sheetData>
  <mergeCells count="17">
    <mergeCell ref="C9:C10"/>
    <mergeCell ref="B9:B10"/>
    <mergeCell ref="A12:E12"/>
    <mergeCell ref="A3:H3"/>
    <mergeCell ref="E9:E10"/>
    <mergeCell ref="A57:E57"/>
    <mergeCell ref="F9:F10"/>
    <mergeCell ref="A16:E16"/>
    <mergeCell ref="A7:H7"/>
    <mergeCell ref="A9:A10"/>
    <mergeCell ref="D9:D10"/>
    <mergeCell ref="A2:H2"/>
    <mergeCell ref="C140:H140"/>
    <mergeCell ref="A51:E51"/>
    <mergeCell ref="C4:H4"/>
    <mergeCell ref="A14:E14"/>
    <mergeCell ref="G9:H9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L51"/>
  <sheetViews>
    <sheetView view="pageBreakPreview" topLeftCell="A37" workbookViewId="0">
      <selection activeCell="D47" sqref="D46:D47"/>
    </sheetView>
  </sheetViews>
  <sheetFormatPr baseColWidth="8" defaultColWidth="9.140625" defaultRowHeight="15"/>
  <cols>
    <col width="4.140625" customWidth="1" style="284" min="1" max="1"/>
    <col width="36.28515625" customWidth="1" style="284" min="2" max="2"/>
    <col width="18.85546875" customWidth="1" style="284" min="3" max="3"/>
    <col width="18.28515625" customWidth="1" style="284" min="4" max="4"/>
    <col width="18.85546875" customWidth="1" style="284" min="5" max="5"/>
    <col width="9.140625" customWidth="1" style="284" min="6" max="6"/>
    <col width="12.85546875" customWidth="1" style="284" min="7" max="7"/>
    <col width="9.140625" customWidth="1" style="284" min="8" max="11"/>
    <col width="13.5703125" customWidth="1" style="284" min="12" max="12"/>
    <col width="9.140625" customWidth="1" style="284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69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19" t="inlineStr">
        <is>
          <t>Ресурсная модель</t>
        </is>
      </c>
    </row>
    <row r="6">
      <c r="A6" s="343" t="n"/>
      <c r="E6" s="319" t="n"/>
    </row>
    <row r="7">
      <c r="B7" s="168" t="n"/>
      <c r="C7" s="298" t="n"/>
      <c r="D7" s="298" t="n"/>
      <c r="E7" s="298" t="n"/>
    </row>
    <row r="8">
      <c r="B8" s="342" t="inlineStr">
        <is>
          <t>Наименование разрабатываемой расценки УНЦ — Ячейка выключателя НУ 220 кВ 40 кА</t>
        </is>
      </c>
    </row>
    <row r="9">
      <c r="B9" s="342" t="inlineStr">
        <is>
          <t>Единица измерения  — 1 ячейка</t>
        </is>
      </c>
    </row>
    <row r="10">
      <c r="B10" s="168" t="n"/>
      <c r="C10" s="298" t="n"/>
      <c r="D10" s="298" t="n"/>
      <c r="E10" s="298" t="n"/>
    </row>
    <row r="11" ht="51" customHeight="1" s="284">
      <c r="B11" s="345" t="inlineStr">
        <is>
          <t>Наименование</t>
        </is>
      </c>
      <c r="C11" s="345" t="inlineStr">
        <is>
          <t>Сметная стоимость в ценах на 01.01.2023
 (руб.)</t>
        </is>
      </c>
      <c r="D11" s="345" t="inlineStr">
        <is>
          <t>Удельный вес, 
(в СМР)</t>
        </is>
      </c>
      <c r="E11" s="345" t="inlineStr">
        <is>
          <t>Удельный вес, % 
(от всего по РМ)</t>
        </is>
      </c>
    </row>
    <row r="12">
      <c r="B12" s="207" t="inlineStr">
        <is>
          <t>Оплата труда рабочих</t>
        </is>
      </c>
      <c r="C12" s="208">
        <f>'Прил.5 Расчет СМР и ОБ'!J13</f>
        <v/>
      </c>
      <c r="D12" s="209">
        <f>C12/$C$25</f>
        <v/>
      </c>
      <c r="E12" s="209">
        <f>C12/$C$41</f>
        <v/>
      </c>
    </row>
    <row r="13">
      <c r="B13" s="207" t="inlineStr">
        <is>
          <t>Эксплуатация машин основных</t>
        </is>
      </c>
      <c r="C13" s="208">
        <f>'Прил.5 Расчет СМР и ОБ'!J27</f>
        <v/>
      </c>
      <c r="D13" s="209">
        <f>C13/$C$25</f>
        <v/>
      </c>
      <c r="E13" s="209">
        <f>C13/$C$41</f>
        <v/>
      </c>
    </row>
    <row r="14">
      <c r="B14" s="207" t="inlineStr">
        <is>
          <t>Эксплуатация машин прочих</t>
        </is>
      </c>
      <c r="C14" s="208">
        <f>'Прил.5 Расчет СМР и ОБ'!J54</f>
        <v/>
      </c>
      <c r="D14" s="209">
        <f>C14/$C$25</f>
        <v/>
      </c>
      <c r="E14" s="209">
        <f>C14/$C$41</f>
        <v/>
      </c>
    </row>
    <row r="15">
      <c r="B15" s="207" t="inlineStr">
        <is>
          <t>ЭКСПЛУАТАЦИЯ МАШИН, ВСЕГО:</t>
        </is>
      </c>
      <c r="C15" s="208">
        <f>C14+C13</f>
        <v/>
      </c>
      <c r="D15" s="209">
        <f>C15/$C$25</f>
        <v/>
      </c>
      <c r="E15" s="209">
        <f>C15/$C$41</f>
        <v/>
      </c>
    </row>
    <row r="16">
      <c r="B16" s="207" t="inlineStr">
        <is>
          <t>в том числе зарплата машинистов</t>
        </is>
      </c>
      <c r="C16" s="208">
        <f>'Прил.5 Расчет СМР и ОБ'!J16</f>
        <v/>
      </c>
      <c r="D16" s="209">
        <f>C16/$C$25</f>
        <v/>
      </c>
      <c r="E16" s="209">
        <f>C16/$C$41</f>
        <v/>
      </c>
    </row>
    <row r="17">
      <c r="B17" s="207" t="inlineStr">
        <is>
          <t>Материалы основные</t>
        </is>
      </c>
      <c r="C17" s="208">
        <f>'Прил.5 Расчет СМР и ОБ'!J73</f>
        <v/>
      </c>
      <c r="D17" s="209">
        <f>C17/$C$25</f>
        <v/>
      </c>
      <c r="E17" s="209">
        <f>C17/$C$41</f>
        <v/>
      </c>
    </row>
    <row r="18">
      <c r="B18" s="207" t="inlineStr">
        <is>
          <t>Материалы прочие</t>
        </is>
      </c>
      <c r="C18" s="208">
        <f>'Прил.5 Расчет СМР и ОБ'!J151</f>
        <v/>
      </c>
      <c r="D18" s="209">
        <f>C18/$C$25</f>
        <v/>
      </c>
      <c r="E18" s="209">
        <f>C18/$C$41</f>
        <v/>
      </c>
      <c r="G18" s="169" t="n"/>
    </row>
    <row r="19">
      <c r="B19" s="207" t="inlineStr">
        <is>
          <t>МАТЕРИАЛЫ, ВСЕГО:</t>
        </is>
      </c>
      <c r="C19" s="208">
        <f>C18+C17</f>
        <v/>
      </c>
      <c r="D19" s="209">
        <f>C19/$C$25</f>
        <v/>
      </c>
      <c r="E19" s="209">
        <f>C19/$C$41</f>
        <v/>
      </c>
    </row>
    <row r="20">
      <c r="B20" s="207" t="inlineStr">
        <is>
          <t>ИТОГО</t>
        </is>
      </c>
      <c r="C20" s="208">
        <f>C19+C15+C12</f>
        <v/>
      </c>
      <c r="D20" s="209" t="n"/>
      <c r="E20" s="207" t="n"/>
    </row>
    <row r="21">
      <c r="B21" s="207" t="inlineStr">
        <is>
          <t>Сметная прибыль, руб.</t>
        </is>
      </c>
      <c r="C21" s="208">
        <f>ROUND(59.22%*(C12+C16),2)</f>
        <v/>
      </c>
      <c r="D21" s="209">
        <f>C21/$C$25</f>
        <v/>
      </c>
      <c r="E21" s="209">
        <f>C21/$C$41</f>
        <v/>
      </c>
    </row>
    <row r="22">
      <c r="B22" s="207" t="inlineStr">
        <is>
          <t>Сметная прибыль, %</t>
        </is>
      </c>
      <c r="C22" s="210">
        <f>'Прил.5 Расчет СМР и ОБ'!D155</f>
        <v/>
      </c>
      <c r="D22" s="209" t="n"/>
      <c r="E22" s="207" t="n"/>
    </row>
    <row r="23">
      <c r="B23" s="207" t="inlineStr">
        <is>
          <t>Накладные расходы, руб.</t>
        </is>
      </c>
      <c r="C23" s="208">
        <f>ROUND(107.11%*(C12+C16),2)</f>
        <v/>
      </c>
      <c r="D23" s="209">
        <f>C23/$C$25</f>
        <v/>
      </c>
      <c r="E23" s="209">
        <f>C23/$C$41</f>
        <v/>
      </c>
    </row>
    <row r="24">
      <c r="B24" s="207" t="inlineStr">
        <is>
          <t>Накладные расходы, %</t>
        </is>
      </c>
      <c r="C24" s="210">
        <f>'Прил.5 Расчет СМР и ОБ'!D154</f>
        <v/>
      </c>
      <c r="D24" s="209" t="n"/>
      <c r="E24" s="207" t="n"/>
    </row>
    <row r="25">
      <c r="B25" s="207" t="inlineStr">
        <is>
          <t>ВСЕГО СМР с НР и СП</t>
        </is>
      </c>
      <c r="C25" s="208">
        <f>C20+C21+C23</f>
        <v/>
      </c>
      <c r="D25" s="209">
        <f>C25/$C$25</f>
        <v/>
      </c>
      <c r="E25" s="209">
        <f>C25/$C$41</f>
        <v/>
      </c>
    </row>
    <row r="26" ht="25.5" customHeight="1" s="284">
      <c r="B26" s="207" t="inlineStr">
        <is>
          <t>ВСЕГО стоимость оборудования, в том числе</t>
        </is>
      </c>
      <c r="C26" s="208">
        <f>'Прил.5 Расчет СМР и ОБ'!J66</f>
        <v/>
      </c>
      <c r="D26" s="209" t="n"/>
      <c r="E26" s="209">
        <f>C26/$C$41</f>
        <v/>
      </c>
    </row>
    <row r="27" ht="25.5" customHeight="1" s="284">
      <c r="B27" s="207" t="inlineStr">
        <is>
          <t>стоимость оборудования технологического</t>
        </is>
      </c>
      <c r="C27" s="208">
        <f>C26</f>
        <v/>
      </c>
      <c r="D27" s="209" t="n"/>
      <c r="E27" s="209">
        <f>C27/$C$41</f>
        <v/>
      </c>
    </row>
    <row r="28">
      <c r="B28" s="207" t="inlineStr">
        <is>
          <t>ИТОГО (СМР + ОБОРУДОВАНИЕ)</t>
        </is>
      </c>
      <c r="C28" s="211">
        <f>C25+C26</f>
        <v/>
      </c>
      <c r="D28" s="209" t="n"/>
      <c r="E28" s="209">
        <f>C28/$C$41</f>
        <v/>
      </c>
    </row>
    <row r="29" ht="33" customHeight="1" s="284">
      <c r="B29" s="207" t="inlineStr">
        <is>
          <t>ПРОЧ. ЗАТР., УЧТЕННЫЕ ПОКАЗАТЕЛЕМ,  в том числе</t>
        </is>
      </c>
      <c r="C29" s="207" t="n"/>
      <c r="D29" s="207" t="n"/>
      <c r="E29" s="207" t="n"/>
    </row>
    <row r="30" ht="25.5" customHeight="1" s="284">
      <c r="B30" s="207" t="inlineStr">
        <is>
          <t>Временные здания и сооружения - 3,9%</t>
        </is>
      </c>
      <c r="C30" s="211">
        <f>ROUND(C25*3.9%,2)</f>
        <v/>
      </c>
      <c r="D30" s="207" t="n"/>
      <c r="E30" s="209">
        <f>C30/$C$41</f>
        <v/>
      </c>
    </row>
    <row r="31" ht="38.25" customHeight="1" s="284">
      <c r="B31" s="207" t="inlineStr">
        <is>
          <t>Дополнительные затраты при производстве строительно-монтажных работ в зимнее время - 2,1%</t>
        </is>
      </c>
      <c r="C31" s="211">
        <f>ROUND((C25+C30)*2.1%,2)</f>
        <v/>
      </c>
      <c r="D31" s="207" t="n"/>
      <c r="E31" s="209">
        <f>C31/$C$41</f>
        <v/>
      </c>
    </row>
    <row r="32" ht="25.5" customHeight="1" s="284">
      <c r="B32" s="207" t="inlineStr">
        <is>
          <t>Пусконаладочные работы (по данным расчетов ОП)</t>
        </is>
      </c>
      <c r="C32" s="211" t="n">
        <v>10326662.52</v>
      </c>
      <c r="D32" s="207" t="n"/>
      <c r="E32" s="209">
        <f>C32/$C$41</f>
        <v/>
      </c>
    </row>
    <row r="33" ht="25.5" customHeight="1" s="284">
      <c r="B33" s="207" t="inlineStr">
        <is>
          <t>Затраты по перевозке работников к месту работы и обратно</t>
        </is>
      </c>
      <c r="C33" s="211">
        <f>ROUND($C$28*0%,2)</f>
        <v/>
      </c>
      <c r="D33" s="207" t="n"/>
      <c r="E33" s="209">
        <f>C33/$C$41</f>
        <v/>
      </c>
    </row>
    <row r="34" ht="25.5" customHeight="1" s="284">
      <c r="B34" s="207" t="inlineStr">
        <is>
          <t>Затраты, связанные с осуществлением работ вахтовым методом</t>
        </is>
      </c>
      <c r="C34" s="211">
        <f>ROUND($C$28*0%,2)</f>
        <v/>
      </c>
      <c r="D34" s="207" t="n"/>
      <c r="E34" s="209">
        <f>C34/$C$41</f>
        <v/>
      </c>
    </row>
    <row r="35" ht="51" customHeight="1" s="284">
      <c r="B35" s="20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5" s="211">
        <f>ROUND($C$28*0%,2)</f>
        <v/>
      </c>
      <c r="D35" s="207" t="n"/>
      <c r="E35" s="209">
        <f>C35/$C$41</f>
        <v/>
      </c>
    </row>
    <row r="36" ht="76.7" customHeight="1" s="284">
      <c r="B36" s="20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6" s="273">
        <f>ROUND($C$28*0%,2)</f>
        <v/>
      </c>
      <c r="D36" s="272" t="n"/>
      <c r="E36" s="209">
        <f>C36/$C$41</f>
        <v/>
      </c>
    </row>
    <row r="37" ht="25.5" customHeight="1" s="284">
      <c r="B37" s="207" t="inlineStr">
        <is>
          <t>Строительный контроль и содержание службы заказчика - 2,14%</t>
        </is>
      </c>
      <c r="C37" s="273">
        <f>ROUND((C28+C33+C34+C35+C36+C30+C32+C31)*2.14%,2)</f>
        <v/>
      </c>
      <c r="D37" s="272" t="n"/>
      <c r="E37" s="209">
        <f>C37/$C$41</f>
        <v/>
      </c>
      <c r="G37" s="158" t="n"/>
      <c r="L37" s="170" t="n"/>
    </row>
    <row r="38">
      <c r="B38" s="207" t="inlineStr">
        <is>
          <t>Авторский надзор - 0,2%</t>
        </is>
      </c>
      <c r="C38" s="273">
        <f>ROUND((C28+C33+C34+C35+C36+C30+C32+C31)*0.2%,2)</f>
        <v/>
      </c>
      <c r="D38" s="272" t="n"/>
      <c r="E38" s="209">
        <f>C38/$C$41</f>
        <v/>
      </c>
      <c r="G38" s="158" t="n"/>
      <c r="L38" s="170" t="n"/>
    </row>
    <row r="39" ht="38.25" customHeight="1" s="284">
      <c r="B39" s="207" t="inlineStr">
        <is>
          <t>ИТОГО (СМР+ОБОРУДОВАНИЕ+ПРОЧ. ЗАТР., УЧТЕННЫЕ ПОКАЗАТЕЛЕМ)</t>
        </is>
      </c>
      <c r="C39" s="274">
        <f>C28+C33+C34+C35+C36+C30+C32+C31+C37+C38</f>
        <v/>
      </c>
      <c r="D39" s="272" t="n"/>
      <c r="E39" s="209">
        <f>C39/$C$41</f>
        <v/>
      </c>
    </row>
    <row r="40" ht="13.7" customHeight="1" s="284">
      <c r="B40" s="207" t="inlineStr">
        <is>
          <t>Непредвиденные расходы</t>
        </is>
      </c>
      <c r="C40" s="208">
        <f>ROUND(C39*3%,2)</f>
        <v/>
      </c>
      <c r="D40" s="207" t="n"/>
      <c r="E40" s="209">
        <f>C40/$C$39</f>
        <v/>
      </c>
    </row>
    <row r="41">
      <c r="B41" s="207" t="inlineStr">
        <is>
          <t>ВСЕГО:</t>
        </is>
      </c>
      <c r="C41" s="208">
        <f>C40+C39</f>
        <v/>
      </c>
      <c r="D41" s="207" t="n"/>
      <c r="E41" s="209">
        <f>C41/$C$41</f>
        <v/>
      </c>
    </row>
    <row r="42">
      <c r="B42" s="207" t="inlineStr">
        <is>
          <t>ИТОГО ПОКАЗАТЕЛЬ НА ЕД. ИЗМ.</t>
        </is>
      </c>
      <c r="C42" s="208">
        <f>C41/'Прил.5 Расчет СМР и ОБ'!E158</f>
        <v/>
      </c>
      <c r="D42" s="207" t="n"/>
      <c r="E42" s="207" t="n"/>
    </row>
    <row r="43">
      <c r="B43" s="295" t="n"/>
      <c r="C43" s="298" t="n"/>
      <c r="D43" s="298" t="n"/>
      <c r="E43" s="298" t="n"/>
    </row>
    <row r="44">
      <c r="B44" s="295" t="inlineStr">
        <is>
          <t>Составил ____________________________ Е. М. Добровольская</t>
        </is>
      </c>
      <c r="C44" s="298" t="n"/>
      <c r="D44" s="298" t="n"/>
      <c r="E44" s="298" t="n"/>
    </row>
    <row r="45">
      <c r="B45" s="295" t="inlineStr">
        <is>
          <t xml:space="preserve">(должность, подпись, инициалы, фамилия) </t>
        </is>
      </c>
      <c r="C45" s="298" t="n"/>
      <c r="D45" s="298" t="n"/>
      <c r="E45" s="298" t="n"/>
    </row>
    <row r="46">
      <c r="B46" s="295" t="n"/>
      <c r="C46" s="298" t="n"/>
      <c r="D46" s="298" t="n"/>
      <c r="E46" s="298" t="n"/>
    </row>
    <row r="47">
      <c r="B47" s="295" t="inlineStr">
        <is>
          <t>Проверил ____________________________ А.В. Костянецкая</t>
        </is>
      </c>
      <c r="C47" s="298" t="n"/>
      <c r="D47" s="298" t="n"/>
      <c r="E47" s="298" t="n"/>
    </row>
    <row r="48">
      <c r="B48" s="342" t="inlineStr">
        <is>
          <t>(должность, подпись, инициалы, фамилия)</t>
        </is>
      </c>
      <c r="D48" s="298" t="n"/>
      <c r="E48" s="298" t="n"/>
    </row>
    <row r="50">
      <c r="B50" s="298" t="n"/>
      <c r="C50" s="298" t="n"/>
      <c r="D50" s="298" t="n"/>
      <c r="E50" s="298" t="n"/>
    </row>
    <row r="51">
      <c r="B51" s="298" t="n"/>
      <c r="C51" s="298" t="n"/>
      <c r="D51" s="298" t="n"/>
      <c r="E51" s="298" t="n"/>
    </row>
  </sheetData>
  <mergeCells count="5">
    <mergeCell ref="B9:E9"/>
    <mergeCell ref="B48:C48"/>
    <mergeCell ref="B8:E8"/>
    <mergeCell ref="A6:D6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68"/>
  <sheetViews>
    <sheetView view="pageBreakPreview" topLeftCell="A148" zoomScale="85" workbookViewId="0">
      <selection activeCell="C163" sqref="C163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4.5703125" customWidth="1" style="301" min="6" max="6"/>
    <col width="13.42578125" customWidth="1" style="301" min="7" max="7"/>
    <col width="12.7109375" customWidth="1" style="301" min="8" max="8"/>
    <col width="14.5703125" customWidth="1" style="301" min="9" max="9"/>
    <col width="15.140625" customWidth="1" style="301" min="10" max="10"/>
    <col width="22.42578125" customWidth="1" style="301" min="11" max="11"/>
    <col width="16.28515625" customWidth="1" style="301" min="12" max="12"/>
    <col width="10.85546875" customWidth="1" style="301" min="13" max="13"/>
    <col width="9.140625" customWidth="1" style="301" min="14" max="14"/>
    <col width="9.140625" customWidth="1" style="284" min="15" max="15"/>
  </cols>
  <sheetData>
    <row r="2" ht="15.75" customHeight="1" s="284">
      <c r="H2" s="353" t="inlineStr">
        <is>
          <t>Приложение №5</t>
        </is>
      </c>
    </row>
    <row r="4" ht="12.75" customFormat="1" customHeight="1" s="298">
      <c r="A4" s="319" t="inlineStr">
        <is>
          <t>Расчет стоимости СМР и оборудования</t>
        </is>
      </c>
      <c r="I4" s="319" t="n"/>
      <c r="J4" s="319" t="n"/>
    </row>
    <row r="5" ht="19.5" customFormat="1" customHeight="1" s="298">
      <c r="A5" s="360" t="n"/>
    </row>
    <row r="6" ht="12.75" customFormat="1" customHeight="1" s="298">
      <c r="A6" s="233" t="n"/>
      <c r="B6" s="234" t="inlineStr">
        <is>
          <t xml:space="preserve">Наименование разрабатываемого показателя УНЦ </t>
        </is>
      </c>
      <c r="C6" s="319" t="n"/>
      <c r="D6" s="362" t="inlineStr">
        <is>
          <t>Ячейка выключателя НУ 220(150)кВ, ном.ток вне зависимости, ном.ток отключения 50кА</t>
        </is>
      </c>
    </row>
    <row r="7" ht="12.75" customFormat="1" customHeight="1" s="298">
      <c r="A7" s="322" t="inlineStr">
        <is>
          <t>Единица измерения  — 1 ячейка</t>
        </is>
      </c>
      <c r="I7" s="354" t="n"/>
      <c r="J7" s="354" t="n"/>
    </row>
    <row r="8" ht="12.75" customFormat="1" customHeight="1" s="298"/>
    <row r="9" ht="27" customHeight="1" s="28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16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16" t="n"/>
    </row>
    <row r="10" ht="28.5" customHeight="1" s="284">
      <c r="A10" s="418" t="n"/>
      <c r="B10" s="418" t="n"/>
      <c r="C10" s="418" t="n"/>
      <c r="D10" s="418" t="n"/>
      <c r="E10" s="418" t="n"/>
      <c r="F10" s="345" t="inlineStr">
        <is>
          <t>на ед. изм.</t>
        </is>
      </c>
      <c r="G10" s="345" t="inlineStr">
        <is>
          <t>общая</t>
        </is>
      </c>
      <c r="H10" s="418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41" t="inlineStr">
        <is>
          <t>Затраты труда рабочих-строителей</t>
        </is>
      </c>
      <c r="C12" s="415" t="n"/>
      <c r="D12" s="415" t="n"/>
      <c r="E12" s="415" t="n"/>
      <c r="F12" s="415" t="n"/>
      <c r="G12" s="415" t="n"/>
      <c r="H12" s="416" t="n"/>
      <c r="I12" s="239" t="n"/>
      <c r="J12" s="239" t="n"/>
    </row>
    <row r="13" ht="25.5" customHeight="1" s="284">
      <c r="A13" s="345" t="n">
        <v>1</v>
      </c>
      <c r="B13" s="162" t="inlineStr">
        <is>
          <t>1-4-4</t>
        </is>
      </c>
      <c r="C13" s="150" t="inlineStr">
        <is>
          <t>Затраты труда рабочих (средний разряд работы 4,4)</t>
        </is>
      </c>
      <c r="D13" s="345" t="inlineStr">
        <is>
          <t>чел.-ч.</t>
        </is>
      </c>
      <c r="E13" s="293" t="n">
        <v>42507</v>
      </c>
      <c r="F13" s="242">
        <f>ROUND(I13/44.29,2)</f>
        <v/>
      </c>
      <c r="G13" s="242" t="n">
        <v>422523.73</v>
      </c>
      <c r="H13" s="348">
        <f>G13/G14</f>
        <v/>
      </c>
      <c r="I13" s="242" t="n">
        <v>470.92930547982</v>
      </c>
      <c r="J13" s="242">
        <f>ROUND(I13*E13,2)</f>
        <v/>
      </c>
    </row>
    <row r="14" ht="25.5" customFormat="1" customHeight="1" s="301">
      <c r="A14" s="345" t="n"/>
      <c r="B14" s="345" t="n"/>
      <c r="C14" s="341" t="inlineStr">
        <is>
          <t>Итого по разделу "Затраты труда рабочих-строителей"</t>
        </is>
      </c>
      <c r="D14" s="345" t="inlineStr">
        <is>
          <t>чел.-ч.</t>
        </is>
      </c>
      <c r="E14" s="293">
        <f>SUM(E13)</f>
        <v/>
      </c>
      <c r="F14" s="242" t="n"/>
      <c r="G14" s="242">
        <f>SUM(G13:G13)</f>
        <v/>
      </c>
      <c r="H14" s="348" t="n">
        <v>1</v>
      </c>
      <c r="I14" s="242" t="n"/>
      <c r="J14" s="242">
        <f>SUM(J13:J13)</f>
        <v/>
      </c>
      <c r="K14" s="212" t="n"/>
    </row>
    <row r="15" ht="14.25" customFormat="1" customHeight="1" s="301">
      <c r="A15" s="345" t="n"/>
      <c r="B15" s="344" t="inlineStr">
        <is>
          <t>Затраты труда машинистов</t>
        </is>
      </c>
      <c r="C15" s="415" t="n"/>
      <c r="D15" s="415" t="n"/>
      <c r="E15" s="415" t="n"/>
      <c r="F15" s="415" t="n"/>
      <c r="G15" s="415" t="n"/>
      <c r="H15" s="416" t="n"/>
      <c r="I15" s="239" t="n"/>
      <c r="J15" s="239" t="n"/>
    </row>
    <row r="16" ht="15.75" customFormat="1" customHeight="1" s="301">
      <c r="A16" s="345" t="n">
        <v>2</v>
      </c>
      <c r="B16" s="345" t="n">
        <v>2</v>
      </c>
      <c r="C16" s="344" t="inlineStr">
        <is>
          <t>Затраты труда машинистов</t>
        </is>
      </c>
      <c r="D16" s="345" t="inlineStr">
        <is>
          <t>чел.-ч.</t>
        </is>
      </c>
      <c r="E16" s="240" t="n">
        <v>20831.0575</v>
      </c>
      <c r="F16" s="242">
        <f>G16/E16</f>
        <v/>
      </c>
      <c r="G16" s="242" t="n">
        <v>327212.48</v>
      </c>
      <c r="H16" s="348" t="n">
        <v>1</v>
      </c>
      <c r="I16" s="242" t="n">
        <v>695.7</v>
      </c>
      <c r="J16" s="242">
        <f>ROUND(I16*E16,2)</f>
        <v/>
      </c>
      <c r="K16" s="213" t="n"/>
    </row>
    <row r="17" ht="14.25" customFormat="1" customHeight="1" s="301">
      <c r="A17" s="345" t="n"/>
      <c r="B17" s="341" t="inlineStr">
        <is>
          <t>Машины и механизмы</t>
        </is>
      </c>
      <c r="C17" s="415" t="n"/>
      <c r="D17" s="415" t="n"/>
      <c r="E17" s="415" t="n"/>
      <c r="F17" s="415" t="n"/>
      <c r="G17" s="415" t="n"/>
      <c r="H17" s="416" t="n"/>
      <c r="I17" s="348" t="n"/>
      <c r="J17" s="348" t="n"/>
    </row>
    <row r="18" ht="14.25" customFormat="1" customHeight="1" s="301">
      <c r="A18" s="345" t="n"/>
      <c r="B18" s="344" t="inlineStr">
        <is>
          <t>Основные машины и механизмы</t>
        </is>
      </c>
      <c r="C18" s="415" t="n"/>
      <c r="D18" s="415" t="n"/>
      <c r="E18" s="415" t="n"/>
      <c r="F18" s="415" t="n"/>
      <c r="G18" s="415" t="n"/>
      <c r="H18" s="416" t="n"/>
      <c r="I18" s="239" t="n"/>
      <c r="J18" s="239" t="n"/>
    </row>
    <row r="19" ht="14.25" customFormat="1" customHeight="1" s="301">
      <c r="A19" s="345">
        <f>A16+1</f>
        <v/>
      </c>
      <c r="B19" s="162" t="inlineStr">
        <is>
          <t>91.21.22-447</t>
        </is>
      </c>
      <c r="C19" s="344" t="inlineStr">
        <is>
          <t>Установки электрометаллизационные</t>
        </is>
      </c>
      <c r="D19" s="370" t="inlineStr">
        <is>
          <t>маш.час</t>
        </is>
      </c>
      <c r="E19" s="240" t="n">
        <v>5615.9031</v>
      </c>
      <c r="F19" s="244" t="n">
        <v>74.23999999999999</v>
      </c>
      <c r="G19" s="242">
        <f>ROUND(E19*F19,2)</f>
        <v/>
      </c>
      <c r="H19" s="348">
        <f>G19/$G$55</f>
        <v/>
      </c>
      <c r="I19" s="244">
        <f>ROUND(F19*13.47,2)</f>
        <v/>
      </c>
      <c r="J19" s="242">
        <f>ROUND(I19*E19,2)</f>
        <v/>
      </c>
    </row>
    <row r="20" ht="25.5" customFormat="1" customHeight="1" s="301">
      <c r="A20" s="345">
        <f>A19+1</f>
        <v/>
      </c>
      <c r="B20" s="162" t="inlineStr">
        <is>
          <t>91.02.02-003</t>
        </is>
      </c>
      <c r="C20" s="344" t="inlineStr">
        <is>
          <t>Агрегаты копровые без дизель-молота на базе экскаватора с емкостью ковша 1 м3</t>
        </is>
      </c>
      <c r="D20" s="345" t="inlineStr">
        <is>
          <t>маш.час</t>
        </is>
      </c>
      <c r="E20" s="240" t="n">
        <v>1965</v>
      </c>
      <c r="F20" s="244" t="n">
        <v>200.67</v>
      </c>
      <c r="G20" s="242">
        <f>ROUND(E20*F20,2)</f>
        <v/>
      </c>
      <c r="H20" s="348">
        <f>G20/$G$55</f>
        <v/>
      </c>
      <c r="I20" s="244">
        <f>ROUND(F20*13.47,2)</f>
        <v/>
      </c>
      <c r="J20" s="242">
        <f>ROUND(I20*E20,2)</f>
        <v/>
      </c>
    </row>
    <row r="21" ht="25.5" customFormat="1" customHeight="1" s="301">
      <c r="A21" s="345" t="n">
        <v>6</v>
      </c>
      <c r="B21" s="162" t="inlineStr">
        <is>
          <t>91.05.05-014</t>
        </is>
      </c>
      <c r="C21" s="344" t="inlineStr">
        <is>
          <t>Краны на автомобильном ходу, грузоподъемность 10 т</t>
        </is>
      </c>
      <c r="D21" s="345" t="inlineStr">
        <is>
          <t>маш.час</t>
        </is>
      </c>
      <c r="E21" s="240" t="n">
        <v>2430</v>
      </c>
      <c r="F21" s="244" t="n">
        <v>111.99</v>
      </c>
      <c r="G21" s="242">
        <f>ROUND(E21*F21,2)</f>
        <v/>
      </c>
      <c r="H21" s="348">
        <f>G21/$G$55</f>
        <v/>
      </c>
      <c r="I21" s="244">
        <f>ROUND(F21*13.47,2)</f>
        <v/>
      </c>
      <c r="J21" s="242">
        <f>ROUND(I21*E21,2)</f>
        <v/>
      </c>
    </row>
    <row r="22" ht="25.5" customFormat="1" customHeight="1" s="301">
      <c r="A22" s="345" t="n">
        <v>7</v>
      </c>
      <c r="B22" s="162" t="inlineStr">
        <is>
          <t>91.04.01-021</t>
        </is>
      </c>
      <c r="C22" s="34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2" s="345" t="inlineStr">
        <is>
          <t>маш.час</t>
        </is>
      </c>
      <c r="E22" s="240" t="n">
        <v>2442</v>
      </c>
      <c r="F22" s="244" t="n">
        <v>87.59999999999999</v>
      </c>
      <c r="G22" s="242">
        <f>ROUND(E22*F22,2)</f>
        <v/>
      </c>
      <c r="H22" s="348">
        <f>G22/$G$55</f>
        <v/>
      </c>
      <c r="I22" s="244">
        <f>ROUND(F22*13.47,2)</f>
        <v/>
      </c>
      <c r="J22" s="242">
        <f>ROUND(I22*E22,2)</f>
        <v/>
      </c>
    </row>
    <row r="23" ht="51" customFormat="1" customHeight="1" s="301">
      <c r="A23" s="345" t="n">
        <v>8</v>
      </c>
      <c r="B23" s="162" t="inlineStr">
        <is>
          <t>91.14.02-004</t>
        </is>
      </c>
      <c r="C23" s="344" t="inlineStr">
        <is>
          <t>Автомобили бортовые, грузоподъемность до 15 т</t>
        </is>
      </c>
      <c r="D23" s="345" t="inlineStr">
        <is>
          <t>маш.час</t>
        </is>
      </c>
      <c r="E23" s="240" t="n">
        <v>2146.8889962</v>
      </c>
      <c r="F23" s="244" t="n">
        <v>92.94</v>
      </c>
      <c r="G23" s="242">
        <f>ROUND(E23*F23,2)</f>
        <v/>
      </c>
      <c r="H23" s="348">
        <f>G23/$G$55</f>
        <v/>
      </c>
      <c r="I23" s="244">
        <f>ROUND(F23*13.47,2)</f>
        <v/>
      </c>
      <c r="J23" s="242">
        <f>ROUND(I23*E23,2)</f>
        <v/>
      </c>
    </row>
    <row r="24" ht="14.25" customFormat="1" customHeight="1" s="301">
      <c r="A24" s="345" t="n">
        <v>9</v>
      </c>
      <c r="B24" s="162" t="inlineStr">
        <is>
          <t>91.02.03-024</t>
        </is>
      </c>
      <c r="C24" s="344" t="inlineStr">
        <is>
          <t>Дизель-молоты 2,5 т</t>
        </is>
      </c>
      <c r="D24" s="345" t="inlineStr">
        <is>
          <t>маш.час</t>
        </is>
      </c>
      <c r="E24" s="240" t="n">
        <v>1965</v>
      </c>
      <c r="F24" s="244" t="n">
        <v>70.67</v>
      </c>
      <c r="G24" s="242">
        <f>ROUND(E24*F24,2)</f>
        <v/>
      </c>
      <c r="H24" s="348">
        <f>G24/$G$55</f>
        <v/>
      </c>
      <c r="I24" s="244">
        <f>ROUND(F24*13.47,2)</f>
        <v/>
      </c>
      <c r="J24" s="242">
        <f>ROUND(I24*E24,2)</f>
        <v/>
      </c>
    </row>
    <row r="25" ht="25.5" customFormat="1" customHeight="1" s="301">
      <c r="A25" s="345" t="n">
        <v>10</v>
      </c>
      <c r="B25" s="162" t="inlineStr">
        <is>
          <t>91.10.05-001</t>
        </is>
      </c>
      <c r="C25" s="344" t="inlineStr">
        <is>
          <t>Трубоукладчики для труб диаметром 800-1000 мм, грузоподъемность 35 т</t>
        </is>
      </c>
      <c r="D25" s="345" t="inlineStr">
        <is>
          <t>маш.час</t>
        </is>
      </c>
      <c r="E25" s="240" t="n">
        <v>520</v>
      </c>
      <c r="F25" s="244" t="n">
        <v>175.35</v>
      </c>
      <c r="G25" s="242">
        <f>ROUND(E25*F25,2)</f>
        <v/>
      </c>
      <c r="H25" s="348">
        <f>G25/$G$55</f>
        <v/>
      </c>
      <c r="I25" s="244">
        <f>ROUND(F25*13.47,2)</f>
        <v/>
      </c>
      <c r="J25" s="242">
        <f>ROUND(I25*E25,2)</f>
        <v/>
      </c>
    </row>
    <row r="26" ht="25.5" customFormat="1" customHeight="1" s="301">
      <c r="A26" s="345" t="n">
        <v>11</v>
      </c>
      <c r="B26" s="162" t="inlineStr">
        <is>
          <t>91.14.02-001</t>
        </is>
      </c>
      <c r="C26" s="344" t="inlineStr">
        <is>
          <t>Автомобили бортовые, грузоподъемность до 5 т</t>
        </is>
      </c>
      <c r="D26" s="345" t="inlineStr">
        <is>
          <t>маш.час</t>
        </is>
      </c>
      <c r="E26" s="240" t="n">
        <v>635.9544</v>
      </c>
      <c r="F26" s="244" t="n">
        <v>87.17</v>
      </c>
      <c r="G26" s="242">
        <f>ROUND(E26*F26,2)</f>
        <v/>
      </c>
      <c r="H26" s="348">
        <f>G26/$G$55</f>
        <v/>
      </c>
      <c r="I26" s="244">
        <f>ROUND(F26*13.47,2)</f>
        <v/>
      </c>
      <c r="J26" s="242">
        <f>ROUND(I26*E26,2)</f>
        <v/>
      </c>
    </row>
    <row r="27" ht="14.25" customFormat="1" customHeight="1" s="301">
      <c r="A27" s="345" t="n"/>
      <c r="B27" s="345" t="n"/>
      <c r="C27" s="344" t="inlineStr">
        <is>
          <t>Итого основные машины и механизмы</t>
        </is>
      </c>
      <c r="D27" s="345" t="n"/>
      <c r="E27" s="246" t="n"/>
      <c r="F27" s="242" t="n"/>
      <c r="G27" s="242">
        <f>SUM(G19:G26)</f>
        <v/>
      </c>
      <c r="H27" s="348">
        <f>G27/G55</f>
        <v/>
      </c>
      <c r="I27" s="242" t="n"/>
      <c r="J27" s="242">
        <f>SUM(J19:J26)</f>
        <v/>
      </c>
      <c r="L27" s="212" t="n"/>
    </row>
    <row r="28" outlineLevel="1" ht="25.5" customFormat="1" customHeight="1" s="301">
      <c r="A28" s="345" t="n">
        <v>12</v>
      </c>
      <c r="B28" s="162" t="inlineStr">
        <is>
          <t>91.10.01-002</t>
        </is>
      </c>
      <c r="C28" s="344" t="inlineStr">
        <is>
          <t>Агрегаты наполнительно-опрессовочные до 300 м3/ч</t>
        </is>
      </c>
      <c r="D28" s="345" t="inlineStr">
        <is>
          <t>маш.-ч</t>
        </is>
      </c>
      <c r="E28" s="240" t="n">
        <v>251</v>
      </c>
      <c r="F28" s="244" t="n">
        <v>287.99</v>
      </c>
      <c r="G28" s="242">
        <f>ROUND(E28*F28,2)</f>
        <v/>
      </c>
      <c r="H28" s="348">
        <f>G28/$G$55</f>
        <v/>
      </c>
      <c r="I28" s="244">
        <f>ROUND(F28*13.47,2)</f>
        <v/>
      </c>
      <c r="J28" s="242">
        <f>ROUND(I28*E28,2)</f>
        <v/>
      </c>
      <c r="L28" s="212" t="n"/>
    </row>
    <row r="29" outlineLevel="1" ht="25.5" customFormat="1" customHeight="1" s="301">
      <c r="A29" s="345" t="n">
        <v>13</v>
      </c>
      <c r="B29" s="162" t="inlineStr">
        <is>
          <t>91.06.06-014</t>
        </is>
      </c>
      <c r="C29" s="344" t="inlineStr">
        <is>
          <t>Автогидроподъемники, высота подъема 28 м</t>
        </is>
      </c>
      <c r="D29" s="345" t="inlineStr">
        <is>
          <t>маш.-ч</t>
        </is>
      </c>
      <c r="E29" s="240" t="n">
        <v>241</v>
      </c>
      <c r="F29" s="244" t="n">
        <v>243.49</v>
      </c>
      <c r="G29" s="242">
        <f>ROUND(E29*F29,2)</f>
        <v/>
      </c>
      <c r="H29" s="348">
        <f>G29/$G$55</f>
        <v/>
      </c>
      <c r="I29" s="244">
        <f>ROUND(F29*13.47,2)</f>
        <v/>
      </c>
      <c r="J29" s="242">
        <f>ROUND(I29*E29,2)</f>
        <v/>
      </c>
      <c r="L29" s="212" t="n"/>
    </row>
    <row r="30" outlineLevel="1" ht="25.5" customFormat="1" customHeight="1" s="301">
      <c r="A30" s="345" t="n">
        <v>14</v>
      </c>
      <c r="B30" s="162" t="inlineStr">
        <is>
          <t>91.06.06-042</t>
        </is>
      </c>
      <c r="C30" s="344" t="inlineStr">
        <is>
          <t>Подъемники гидравлические, высота подъема 10 м</t>
        </is>
      </c>
      <c r="D30" s="345" t="inlineStr">
        <is>
          <t>маш.-ч</t>
        </is>
      </c>
      <c r="E30" s="240" t="n">
        <v>1516</v>
      </c>
      <c r="F30" s="244" t="n">
        <v>29.6</v>
      </c>
      <c r="G30" s="242">
        <f>ROUND(E30*F30,2)</f>
        <v/>
      </c>
      <c r="H30" s="348">
        <f>G30/$G$55</f>
        <v/>
      </c>
      <c r="I30" s="244">
        <f>ROUND(F30*13.47,2)</f>
        <v/>
      </c>
      <c r="J30" s="242">
        <f>ROUND(I30*E30,2)</f>
        <v/>
      </c>
      <c r="L30" s="212" t="n"/>
    </row>
    <row r="31" outlineLevel="1" ht="25.5" customFormat="1" customHeight="1" s="301">
      <c r="A31" s="345" t="n">
        <v>15</v>
      </c>
      <c r="B31" s="162" t="inlineStr">
        <is>
          <t>91.06.03-058</t>
        </is>
      </c>
      <c r="C31" s="344" t="inlineStr">
        <is>
          <t>Лебедки электрические тяговым усилием 156,96 кН (16 т)</t>
        </is>
      </c>
      <c r="D31" s="345" t="inlineStr">
        <is>
          <t>маш.час</t>
        </is>
      </c>
      <c r="E31" s="240" t="n">
        <v>251</v>
      </c>
      <c r="F31" s="244" t="n">
        <v>131.44</v>
      </c>
      <c r="G31" s="242">
        <f>ROUND(E31*F31,2)</f>
        <v/>
      </c>
      <c r="H31" s="348">
        <f>G31/$G$55</f>
        <v/>
      </c>
      <c r="I31" s="244">
        <f>ROUND(F31*13.47,2)</f>
        <v/>
      </c>
      <c r="J31" s="242">
        <f>ROUND(I31*E31,2)</f>
        <v/>
      </c>
      <c r="L31" s="212" t="n"/>
    </row>
    <row r="32" outlineLevel="1" ht="25.5" customFormat="1" customHeight="1" s="301">
      <c r="A32" s="345" t="n">
        <v>16</v>
      </c>
      <c r="B32" s="162" t="inlineStr">
        <is>
          <t>91.14.03-002</t>
        </is>
      </c>
      <c r="C32" s="344" t="inlineStr">
        <is>
          <t>Автомобили-самосвалы, грузоподъемность до 10 т</t>
        </is>
      </c>
      <c r="D32" s="345" t="inlineStr">
        <is>
          <t>маш.-ч</t>
        </is>
      </c>
      <c r="E32" s="240" t="n">
        <v>127.8225</v>
      </c>
      <c r="F32" s="244" t="n">
        <v>87.48999999999999</v>
      </c>
      <c r="G32" s="242">
        <f>ROUND(E32*F32,2)</f>
        <v/>
      </c>
      <c r="H32" s="348">
        <f>G32/$G$55</f>
        <v/>
      </c>
      <c r="I32" s="244">
        <f>ROUND(F32*13.47,2)</f>
        <v/>
      </c>
      <c r="J32" s="242">
        <f>ROUND(I32*E32,2)</f>
        <v/>
      </c>
      <c r="L32" s="212" t="n"/>
    </row>
    <row r="33" outlineLevel="1" ht="25.5" customFormat="1" customHeight="1" s="301">
      <c r="A33" s="345" t="n">
        <v>17</v>
      </c>
      <c r="B33" s="162" t="inlineStr">
        <is>
          <t>91.15.02-029</t>
        </is>
      </c>
      <c r="C33" s="344" t="inlineStr">
        <is>
          <t>Тракторы на гусеничном ходу с лебедкой 132 кВт (180 л.с.)</t>
        </is>
      </c>
      <c r="D33" s="345" t="inlineStr">
        <is>
          <t>маш.час</t>
        </is>
      </c>
      <c r="E33" s="240" t="n">
        <v>70.92749999999999</v>
      </c>
      <c r="F33" s="244" t="n">
        <v>147.43</v>
      </c>
      <c r="G33" s="242">
        <f>ROUND(E33*F33,2)</f>
        <v/>
      </c>
      <c r="H33" s="348">
        <f>G33/$G$55</f>
        <v/>
      </c>
      <c r="I33" s="244">
        <f>ROUND(F33*13.47,2)</f>
        <v/>
      </c>
      <c r="J33" s="242">
        <f>ROUND(I33*E33,2)</f>
        <v/>
      </c>
      <c r="L33" s="212" t="n"/>
    </row>
    <row r="34" outlineLevel="1" ht="25.5" customFormat="1" customHeight="1" s="301">
      <c r="A34" s="345" t="n">
        <v>18</v>
      </c>
      <c r="B34" s="162" t="inlineStr">
        <is>
          <t>91.05.06-007</t>
        </is>
      </c>
      <c r="C34" s="344" t="inlineStr">
        <is>
          <t>Краны на гусеничном ходу, грузоподъемность 25 т</t>
        </is>
      </c>
      <c r="D34" s="345" t="inlineStr">
        <is>
          <t>маш.-ч</t>
        </is>
      </c>
      <c r="E34" s="240" t="n">
        <v>75.435</v>
      </c>
      <c r="F34" s="244" t="n">
        <v>120.04</v>
      </c>
      <c r="G34" s="242">
        <f>ROUND(E34*F34,2)</f>
        <v/>
      </c>
      <c r="H34" s="348">
        <f>G34/$G$55</f>
        <v/>
      </c>
      <c r="I34" s="244">
        <f>ROUND(F34*13.47,2)</f>
        <v/>
      </c>
      <c r="J34" s="242">
        <f>ROUND(I34*E34,2)</f>
        <v/>
      </c>
      <c r="L34" s="212" t="n"/>
    </row>
    <row r="35" outlineLevel="1" ht="38.25" customFormat="1" customHeight="1" s="301">
      <c r="A35" s="345" t="n">
        <v>19</v>
      </c>
      <c r="B35" s="162" t="inlineStr">
        <is>
          <t>91.17.04-036</t>
        </is>
      </c>
      <c r="C35" s="344" t="inlineStr">
        <is>
          <t>Агрегаты сварочные передвижные с дизельным двигателем, номинальный сварочный ток 250-400 А</t>
        </is>
      </c>
      <c r="D35" s="345" t="inlineStr">
        <is>
          <t>маш.-ч</t>
        </is>
      </c>
      <c r="E35" s="240" t="n">
        <v>583.53</v>
      </c>
      <c r="F35" s="244" t="n">
        <v>14</v>
      </c>
      <c r="G35" s="242">
        <f>ROUND(E35*F35,2)</f>
        <v/>
      </c>
      <c r="H35" s="348">
        <f>G35/$G$55</f>
        <v/>
      </c>
      <c r="I35" s="244">
        <f>ROUND(F35*13.47,2)</f>
        <v/>
      </c>
      <c r="J35" s="242">
        <f>ROUND(I35*E35,2)</f>
        <v/>
      </c>
      <c r="L35" s="212" t="n"/>
    </row>
    <row r="36" outlineLevel="1" ht="17.45" customFormat="1" customHeight="1" s="301">
      <c r="A36" s="345" t="n">
        <v>20</v>
      </c>
      <c r="B36" s="162" t="inlineStr">
        <is>
          <t>91.14.04-001</t>
        </is>
      </c>
      <c r="C36" s="344" t="inlineStr">
        <is>
          <t>Тягачи седельные, грузоподъемность 12 т</t>
        </is>
      </c>
      <c r="D36" s="345" t="inlineStr">
        <is>
          <t>маш.час</t>
        </is>
      </c>
      <c r="E36" s="240" t="n">
        <v>43.35</v>
      </c>
      <c r="F36" s="244" t="n">
        <v>127.82</v>
      </c>
      <c r="G36" s="242">
        <f>ROUND(E36*F36,2)</f>
        <v/>
      </c>
      <c r="H36" s="348">
        <f>G36/$G$55</f>
        <v/>
      </c>
      <c r="I36" s="244">
        <f>ROUND(F36*13.47,2)</f>
        <v/>
      </c>
      <c r="J36" s="242">
        <f>ROUND(I36*E36,2)</f>
        <v/>
      </c>
      <c r="L36" s="212" t="n"/>
    </row>
    <row r="37" outlineLevel="1" ht="19.5" customFormat="1" customHeight="1" s="301">
      <c r="A37" s="345" t="n">
        <v>21</v>
      </c>
      <c r="B37" s="162" t="inlineStr">
        <is>
          <t>91.06.05-011</t>
        </is>
      </c>
      <c r="C37" s="344" t="inlineStr">
        <is>
          <t>Погрузчики, грузоподъемность 5 т</t>
        </is>
      </c>
      <c r="D37" s="345" t="inlineStr">
        <is>
          <t>маш.-ч</t>
        </is>
      </c>
      <c r="E37" s="240" t="n">
        <v>60.08115</v>
      </c>
      <c r="F37" s="244" t="n">
        <v>89.98999999999999</v>
      </c>
      <c r="G37" s="242">
        <f>ROUND(E37*F37,2)</f>
        <v/>
      </c>
      <c r="H37" s="348">
        <f>G37/$G$55</f>
        <v/>
      </c>
      <c r="I37" s="244">
        <f>ROUND(F37*13.47,2)</f>
        <v/>
      </c>
      <c r="J37" s="242">
        <f>ROUND(I37*E37,2)</f>
        <v/>
      </c>
      <c r="L37" s="212" t="n"/>
    </row>
    <row r="38" outlineLevel="1" ht="25.5" customFormat="1" customHeight="1" s="301">
      <c r="A38" s="345" t="n">
        <v>22</v>
      </c>
      <c r="B38" s="162" t="inlineStr">
        <is>
          <t>91.05.06-012</t>
        </is>
      </c>
      <c r="C38" s="344" t="inlineStr">
        <is>
          <t>Краны на гусеничном ходу, грузоподъемность до 16 т</t>
        </is>
      </c>
      <c r="D38" s="345" t="inlineStr">
        <is>
          <t>маш.-ч</t>
        </is>
      </c>
      <c r="E38" s="240" t="n">
        <v>29.88</v>
      </c>
      <c r="F38" s="244" t="n">
        <v>96.89</v>
      </c>
      <c r="G38" s="242">
        <f>ROUND(E38*F38,2)</f>
        <v/>
      </c>
      <c r="H38" s="348">
        <f>G38/$G$55</f>
        <v/>
      </c>
      <c r="I38" s="244">
        <f>ROUND(F38*13.47,2)</f>
        <v/>
      </c>
      <c r="J38" s="242">
        <f>ROUND(I38*E38,2)</f>
        <v/>
      </c>
      <c r="L38" s="212" t="n"/>
    </row>
    <row r="39" outlineLevel="1" ht="25.5" customFormat="1" customHeight="1" s="301">
      <c r="A39" s="345" t="n">
        <v>23</v>
      </c>
      <c r="B39" s="162" t="inlineStr">
        <is>
          <t>91.17.04-233</t>
        </is>
      </c>
      <c r="C39" s="344" t="inlineStr">
        <is>
          <t>Установки для сварки ручной дуговой (постоянного тока)</t>
        </is>
      </c>
      <c r="D39" s="345" t="inlineStr">
        <is>
          <t>маш.час</t>
        </is>
      </c>
      <c r="E39" s="240" t="n">
        <v>283.1475</v>
      </c>
      <c r="F39" s="244" t="n">
        <v>8.1</v>
      </c>
      <c r="G39" s="242">
        <f>ROUND(E39*F39,2)</f>
        <v/>
      </c>
      <c r="H39" s="348">
        <f>G39/$G$55</f>
        <v/>
      </c>
      <c r="I39" s="244">
        <f>ROUND(F39*13.47,2)</f>
        <v/>
      </c>
      <c r="J39" s="242">
        <f>ROUND(I39*E39,2)</f>
        <v/>
      </c>
      <c r="L39" s="212" t="n"/>
    </row>
    <row r="40" outlineLevel="1" ht="25.5" customFormat="1" customHeight="1" s="301">
      <c r="A40" s="345" t="n">
        <v>24</v>
      </c>
      <c r="B40" s="162" t="inlineStr">
        <is>
          <t>91.06.01-003</t>
        </is>
      </c>
      <c r="C40" s="344" t="inlineStr">
        <is>
          <t>Домкраты гидравлические, грузоподъемность 63-100 т</t>
        </is>
      </c>
      <c r="D40" s="345" t="inlineStr">
        <is>
          <t>маш.-ч</t>
        </is>
      </c>
      <c r="E40" s="240" t="n">
        <v>851.5425</v>
      </c>
      <c r="F40" s="244" t="n">
        <v>0.9</v>
      </c>
      <c r="G40" s="242">
        <f>ROUND(E40*F40,2)</f>
        <v/>
      </c>
      <c r="H40" s="348">
        <f>G40/$G$55</f>
        <v/>
      </c>
      <c r="I40" s="244">
        <f>ROUND(F40*13.47,2)</f>
        <v/>
      </c>
      <c r="J40" s="242">
        <f>ROUND(I40*E40,2)</f>
        <v/>
      </c>
      <c r="L40" s="212" t="n"/>
    </row>
    <row r="41" outlineLevel="1" ht="25.5" customFormat="1" customHeight="1" s="301">
      <c r="A41" s="345" t="n">
        <v>25</v>
      </c>
      <c r="B41" s="162" t="inlineStr">
        <is>
          <t>91.14.02-002</t>
        </is>
      </c>
      <c r="C41" s="344" t="inlineStr">
        <is>
          <t>Автомобили бортовые, грузоподъемность до 8 т</t>
        </is>
      </c>
      <c r="D41" s="345" t="inlineStr">
        <is>
          <t>маш.час</t>
        </is>
      </c>
      <c r="E41" s="240" t="n">
        <v>5.7975</v>
      </c>
      <c r="F41" s="244" t="n">
        <v>107.3</v>
      </c>
      <c r="G41" s="242">
        <f>ROUND(E41*F41,2)</f>
        <v/>
      </c>
      <c r="H41" s="348">
        <f>G41/$G$55</f>
        <v/>
      </c>
      <c r="I41" s="244">
        <f>ROUND(F41*13.47,2)</f>
        <v/>
      </c>
      <c r="J41" s="242">
        <f>ROUND(I41*E41,2)</f>
        <v/>
      </c>
      <c r="L41" s="212" t="n"/>
    </row>
    <row r="42" outlineLevel="1" ht="25.5" customFormat="1" customHeight="1" s="301">
      <c r="A42" s="345" t="n">
        <v>26</v>
      </c>
      <c r="B42" s="162" t="inlineStr">
        <is>
          <t>91.14.05-011</t>
        </is>
      </c>
      <c r="C42" s="344" t="inlineStr">
        <is>
          <t>Полуприцепы общего назначения, грузоподъемность 12 т</t>
        </is>
      </c>
      <c r="D42" s="345" t="inlineStr">
        <is>
          <t>маш.час</t>
        </is>
      </c>
      <c r="E42" s="240" t="n">
        <v>43.35</v>
      </c>
      <c r="F42" s="244" t="n">
        <v>12</v>
      </c>
      <c r="G42" s="242">
        <f>ROUND(E42*F42,2)</f>
        <v/>
      </c>
      <c r="H42" s="348">
        <f>G42/$G$55</f>
        <v/>
      </c>
      <c r="I42" s="244">
        <f>ROUND(F42*13.47,2)</f>
        <v/>
      </c>
      <c r="J42" s="242">
        <f>ROUND(I42*E42,2)</f>
        <v/>
      </c>
      <c r="L42" s="212" t="n"/>
    </row>
    <row r="43" outlineLevel="1" ht="38.25" customFormat="1" customHeight="1" s="301">
      <c r="A43" s="345" t="n">
        <v>27</v>
      </c>
      <c r="B43" s="162" t="inlineStr">
        <is>
          <t>91.21.01-012</t>
        </is>
      </c>
      <c r="C43" s="344" t="inlineStr">
        <is>
          <t>Агрегаты окрасочные высокого давления для окраски поверхностей конструкций, мощность 1 кВт</t>
        </is>
      </c>
      <c r="D43" s="345" t="inlineStr">
        <is>
          <t>маш.-ч</t>
        </is>
      </c>
      <c r="E43" s="240" t="n">
        <v>32.4225</v>
      </c>
      <c r="F43" s="244" t="n">
        <v>6.82</v>
      </c>
      <c r="G43" s="242">
        <f>ROUND(E43*F43,2)</f>
        <v/>
      </c>
      <c r="H43" s="348">
        <f>G43/$G$55</f>
        <v/>
      </c>
      <c r="I43" s="244">
        <f>ROUND(F43*13.47,2)</f>
        <v/>
      </c>
      <c r="J43" s="242">
        <f>ROUND(I43*E43,2)</f>
        <v/>
      </c>
      <c r="L43" s="212" t="n"/>
    </row>
    <row r="44" outlineLevel="1" ht="25.5" customFormat="1" customHeight="1" s="301">
      <c r="A44" s="345" t="n">
        <v>28</v>
      </c>
      <c r="B44" s="162" t="inlineStr">
        <is>
          <t>91.17.04-171</t>
        </is>
      </c>
      <c r="C44" s="344" t="inlineStr">
        <is>
          <t>Преобразователи сварочные номинальным сварочным током 315-500 А</t>
        </is>
      </c>
      <c r="D44" s="345" t="inlineStr">
        <is>
          <t>маш.-ч</t>
        </is>
      </c>
      <c r="E44" s="240" t="n">
        <v>17.88</v>
      </c>
      <c r="F44" s="244" t="n">
        <v>12.31</v>
      </c>
      <c r="G44" s="242">
        <f>ROUND(E44*F44,2)</f>
        <v/>
      </c>
      <c r="H44" s="348">
        <f>G44/$G$55</f>
        <v/>
      </c>
      <c r="I44" s="244">
        <f>ROUND(F44*13.47,2)</f>
        <v/>
      </c>
      <c r="J44" s="242">
        <f>ROUND(I44*E44,2)</f>
        <v/>
      </c>
      <c r="L44" s="212" t="n"/>
    </row>
    <row r="45" outlineLevel="1" ht="38.25" customFormat="1" customHeight="1" s="301">
      <c r="A45" s="345" t="n">
        <v>29</v>
      </c>
      <c r="B45" s="162" t="inlineStr">
        <is>
          <t>91.21.22-703</t>
        </is>
      </c>
      <c r="C45" s="344" t="inlineStr">
        <is>
          <t>Молотки-перфораторы гидравлические, диаметр выбуриваемых отверстий 25-50 мм</t>
        </is>
      </c>
      <c r="D45" s="345" t="inlineStr">
        <is>
          <t>маш.-ч</t>
        </is>
      </c>
      <c r="E45" s="240" t="n">
        <v>16.3725</v>
      </c>
      <c r="F45" s="244" t="n">
        <v>8.09</v>
      </c>
      <c r="G45" s="242">
        <f>ROUND(E45*F45,2)</f>
        <v/>
      </c>
      <c r="H45" s="348">
        <f>G45/$G$55</f>
        <v/>
      </c>
      <c r="I45" s="244">
        <f>ROUND(F45*13.47,2)</f>
        <v/>
      </c>
      <c r="J45" s="242">
        <f>ROUND(I45*E45,2)</f>
        <v/>
      </c>
      <c r="L45" s="212" t="n"/>
    </row>
    <row r="46" outlineLevel="1" ht="14.25" customFormat="1" customHeight="1" s="301">
      <c r="A46" s="345" t="n">
        <v>30</v>
      </c>
      <c r="B46" s="162" t="inlineStr">
        <is>
          <t>91.01.01-035</t>
        </is>
      </c>
      <c r="C46" s="344" t="inlineStr">
        <is>
          <t>Бульдозеры, мощность 79 кВт (108 л.с.)</t>
        </is>
      </c>
      <c r="D46" s="345" t="inlineStr">
        <is>
          <t>маш.-ч</t>
        </is>
      </c>
      <c r="E46" s="240" t="n">
        <v>1.125</v>
      </c>
      <c r="F46" s="244" t="n">
        <v>79.06999999999999</v>
      </c>
      <c r="G46" s="242">
        <f>ROUND(E46*F46,2)</f>
        <v/>
      </c>
      <c r="H46" s="348">
        <f>G46/$G$55</f>
        <v/>
      </c>
      <c r="I46" s="244">
        <f>ROUND(F46*13.47,2)</f>
        <v/>
      </c>
      <c r="J46" s="242">
        <f>ROUND(I46*E46,2)</f>
        <v/>
      </c>
      <c r="L46" s="212" t="n"/>
    </row>
    <row r="47" outlineLevel="1" ht="14.25" customFormat="1" customHeight="1" s="301">
      <c r="A47" s="345" t="n">
        <v>31</v>
      </c>
      <c r="B47" s="162" t="inlineStr">
        <is>
          <t>91.05.02-005</t>
        </is>
      </c>
      <c r="C47" s="344" t="inlineStr">
        <is>
          <t>Краны козловые, грузоподъемность 32 т</t>
        </is>
      </c>
      <c r="D47" s="345" t="inlineStr">
        <is>
          <t>маш.-ч</t>
        </is>
      </c>
      <c r="E47" s="240" t="n">
        <v>0.255</v>
      </c>
      <c r="F47" s="244" t="n">
        <v>120.24</v>
      </c>
      <c r="G47" s="242">
        <f>ROUND(E47*F47,2)</f>
        <v/>
      </c>
      <c r="H47" s="348">
        <f>G47/$G$55</f>
        <v/>
      </c>
      <c r="I47" s="244">
        <f>ROUND(F47*13.47,2)</f>
        <v/>
      </c>
      <c r="J47" s="242">
        <f>ROUND(I47*E47,2)</f>
        <v/>
      </c>
      <c r="L47" s="212" t="n"/>
    </row>
    <row r="48" outlineLevel="1" ht="14.25" customFormat="1" customHeight="1" s="301">
      <c r="A48" s="345" t="n">
        <v>32</v>
      </c>
      <c r="B48" s="162" t="inlineStr">
        <is>
          <t>91.17.03-021</t>
        </is>
      </c>
      <c r="C48" s="344" t="inlineStr">
        <is>
          <t>Печи нагревательные</t>
        </is>
      </c>
      <c r="D48" s="345" t="inlineStr">
        <is>
          <t>маш.-ч</t>
        </is>
      </c>
      <c r="E48" s="240" t="n">
        <v>0.885</v>
      </c>
      <c r="F48" s="244" t="n">
        <v>25.3</v>
      </c>
      <c r="G48" s="242">
        <f>ROUND(E48*F48,2)</f>
        <v/>
      </c>
      <c r="H48" s="348">
        <f>G48/$G$55</f>
        <v/>
      </c>
      <c r="I48" s="244">
        <f>ROUND(F48*13.47,2)</f>
        <v/>
      </c>
      <c r="J48" s="242">
        <f>ROUND(I48*E48,2)</f>
        <v/>
      </c>
      <c r="L48" s="212" t="n"/>
    </row>
    <row r="49" outlineLevel="1" ht="14.25" customFormat="1" customHeight="1" s="301">
      <c r="A49" s="345" t="n">
        <v>33</v>
      </c>
      <c r="B49" s="162" t="inlineStr">
        <is>
          <t>91.17.04-042</t>
        </is>
      </c>
      <c r="C49" s="344" t="inlineStr">
        <is>
          <t>Аппараты для газовой сварки и резки</t>
        </is>
      </c>
      <c r="D49" s="345" t="inlineStr">
        <is>
          <t>маш.-ч</t>
        </is>
      </c>
      <c r="E49" s="240" t="n">
        <v>4.2225</v>
      </c>
      <c r="F49" s="244" t="n">
        <v>1.2</v>
      </c>
      <c r="G49" s="242">
        <f>ROUND(E49*F49,2)</f>
        <v/>
      </c>
      <c r="H49" s="348">
        <f>G49/$G$55</f>
        <v/>
      </c>
      <c r="I49" s="244">
        <f>ROUND(F49*13.47,2)</f>
        <v/>
      </c>
      <c r="J49" s="242">
        <f>ROUND(I49*E49,2)</f>
        <v/>
      </c>
      <c r="L49" s="212" t="n"/>
    </row>
    <row r="50" outlineLevel="1" ht="25.5" customFormat="1" customHeight="1" s="301">
      <c r="A50" s="345" t="n">
        <v>34</v>
      </c>
      <c r="B50" s="162" t="inlineStr">
        <is>
          <t>91.09.12-103</t>
        </is>
      </c>
      <c r="C50" s="344" t="inlineStr">
        <is>
          <t>Станки сверлильно-шлифовальные (сверлошлифовалки)</t>
        </is>
      </c>
      <c r="D50" s="345" t="inlineStr">
        <is>
          <t>маш.-ч</t>
        </is>
      </c>
      <c r="E50" s="240" t="n">
        <v>0.75</v>
      </c>
      <c r="F50" s="244" t="n">
        <v>6.4</v>
      </c>
      <c r="G50" s="242">
        <f>ROUND(E50*F50,2)</f>
        <v/>
      </c>
      <c r="H50" s="348">
        <f>G50/$G$55</f>
        <v/>
      </c>
      <c r="I50" s="244">
        <f>ROUND(F50*13.47,2)</f>
        <v/>
      </c>
      <c r="J50" s="242">
        <f>ROUND(I50*E50,2)</f>
        <v/>
      </c>
      <c r="L50" s="212" t="n"/>
    </row>
    <row r="51" outlineLevel="1" ht="25.5" customFormat="1" customHeight="1" s="301">
      <c r="A51" s="345" t="n">
        <v>35</v>
      </c>
      <c r="B51" s="162" t="inlineStr">
        <is>
          <t>91.06.03-061</t>
        </is>
      </c>
      <c r="C51" s="344" t="inlineStr">
        <is>
          <t>Лебедки электрические тяговым усилием до 12,26 кН (1,25 т)</t>
        </is>
      </c>
      <c r="D51" s="345" t="inlineStr">
        <is>
          <t>маш.час</t>
        </is>
      </c>
      <c r="E51" s="240" t="n">
        <v>0.645</v>
      </c>
      <c r="F51" s="244" t="n">
        <v>3.28</v>
      </c>
      <c r="G51" s="242">
        <f>ROUND(E51*F51,2)</f>
        <v/>
      </c>
      <c r="H51" s="348">
        <f>G51/$G$55</f>
        <v/>
      </c>
      <c r="I51" s="244">
        <f>ROUND(F51*13.47,2)</f>
        <v/>
      </c>
      <c r="J51" s="242">
        <f>ROUND(I51*E51,2)</f>
        <v/>
      </c>
      <c r="L51" s="212" t="n"/>
    </row>
    <row r="52" outlineLevel="1" ht="25.5" customFormat="1" customHeight="1" s="301">
      <c r="A52" s="345" t="n">
        <v>36</v>
      </c>
      <c r="B52" s="162" t="inlineStr">
        <is>
          <t>91.14.03-001</t>
        </is>
      </c>
      <c r="C52" s="344" t="inlineStr">
        <is>
          <t>Автомобили-самосвалы, грузоподъемность до 7 т</t>
        </is>
      </c>
      <c r="D52" s="345" t="inlineStr">
        <is>
          <t>маш.-ч</t>
        </is>
      </c>
      <c r="E52" s="240" t="n">
        <v>0.0225</v>
      </c>
      <c r="F52" s="244" t="n">
        <v>89.54000000000001</v>
      </c>
      <c r="G52" s="242">
        <f>ROUND(E52*F52,2)</f>
        <v/>
      </c>
      <c r="H52" s="348">
        <f>G52/$G$55</f>
        <v/>
      </c>
      <c r="I52" s="244">
        <f>ROUND(F52*13.47,2)</f>
        <v/>
      </c>
      <c r="J52" s="242">
        <f>ROUND(I52*E52,2)</f>
        <v/>
      </c>
      <c r="L52" s="212" t="n"/>
    </row>
    <row r="53" outlineLevel="1" ht="25.5" customFormat="1" customHeight="1" s="301">
      <c r="A53" s="345" t="n">
        <v>37</v>
      </c>
      <c r="B53" s="162" t="inlineStr">
        <is>
          <t>91.06.03-060</t>
        </is>
      </c>
      <c r="C53" s="344" t="inlineStr">
        <is>
          <t>Лебедки электрические тяговым усилием до 5,79 кН (0,59 т)</t>
        </is>
      </c>
      <c r="D53" s="345" t="inlineStr">
        <is>
          <t>маш.час</t>
        </is>
      </c>
      <c r="E53" s="240" t="n">
        <v>0.3375</v>
      </c>
      <c r="F53" s="244" t="n">
        <v>1.7</v>
      </c>
      <c r="G53" s="242">
        <f>ROUND(E53*F53,2)</f>
        <v/>
      </c>
      <c r="H53" s="348">
        <f>G53/$G$55</f>
        <v/>
      </c>
      <c r="I53" s="244">
        <f>ROUND(F53*13.47,2)</f>
        <v/>
      </c>
      <c r="J53" s="242">
        <f>ROUND(I53*E53,2)</f>
        <v/>
      </c>
      <c r="L53" s="212" t="n"/>
    </row>
    <row r="54" ht="14.25" customFormat="1" customHeight="1" s="301">
      <c r="A54" s="345" t="n"/>
      <c r="B54" s="345" t="n"/>
      <c r="C54" s="344" t="inlineStr">
        <is>
          <t>Итого прочие машины и механизмы</t>
        </is>
      </c>
      <c r="D54" s="345" t="n"/>
      <c r="E54" s="346" t="n"/>
      <c r="F54" s="242" t="n"/>
      <c r="G54" s="242">
        <f>SUM(G28:G53)</f>
        <v/>
      </c>
      <c r="H54" s="348">
        <f>G54/G55</f>
        <v/>
      </c>
      <c r="I54" s="242" t="n"/>
      <c r="J54" s="242">
        <f>SUM(J28:J53)</f>
        <v/>
      </c>
      <c r="K54" s="212" t="n"/>
      <c r="L54" s="212" t="n"/>
    </row>
    <row r="55" ht="25.5" customFormat="1" customHeight="1" s="301">
      <c r="A55" s="345" t="n"/>
      <c r="B55" s="345" t="n"/>
      <c r="C55" s="341" t="inlineStr">
        <is>
          <t>Итого по разделу «Машины и механизмы»</t>
        </is>
      </c>
      <c r="D55" s="345" t="n"/>
      <c r="E55" s="346" t="n"/>
      <c r="F55" s="242" t="n"/>
      <c r="G55" s="242">
        <f>G27+G54</f>
        <v/>
      </c>
      <c r="H55" s="348" t="n">
        <v>1</v>
      </c>
      <c r="I55" s="242" t="n"/>
      <c r="J55" s="242">
        <f>J27+J54</f>
        <v/>
      </c>
    </row>
    <row r="56" ht="29.25" customHeight="1" s="284">
      <c r="A56" s="345" t="n"/>
      <c r="B56" s="341" t="inlineStr">
        <is>
          <t>Оборудование</t>
        </is>
      </c>
      <c r="C56" s="415" t="n"/>
      <c r="D56" s="415" t="n"/>
      <c r="E56" s="415" t="n"/>
      <c r="F56" s="415" t="n"/>
      <c r="G56" s="415" t="n"/>
      <c r="H56" s="415" t="n"/>
      <c r="I56" s="415" t="n"/>
      <c r="J56" s="416" t="n"/>
      <c r="K56" s="301" t="n"/>
      <c r="L56" s="301" t="n"/>
      <c r="M56" s="301" t="n"/>
      <c r="N56" s="301" t="n"/>
    </row>
    <row r="57" ht="15" customHeight="1" s="284">
      <c r="A57" s="345" t="n"/>
      <c r="B57" s="359" t="inlineStr">
        <is>
          <t>Основное оборудование</t>
        </is>
      </c>
      <c r="K57" s="301" t="n"/>
      <c r="L57" s="301" t="n"/>
      <c r="M57" s="301" t="n"/>
      <c r="N57" s="301" t="n"/>
    </row>
    <row r="58" ht="25.5" customFormat="1" customHeight="1" s="301">
      <c r="A58" s="345" t="n">
        <v>38</v>
      </c>
      <c r="B58" s="162" t="inlineStr">
        <is>
          <t>БЦ.1.323</t>
        </is>
      </c>
      <c r="C58" s="344" t="inlineStr">
        <is>
          <t>Выключатель наружной установки колонковый 220 кВ, 2500 А,  50 кА</t>
        </is>
      </c>
      <c r="D58" s="345" t="inlineStr">
        <is>
          <t>компл.</t>
        </is>
      </c>
      <c r="E58" s="240" t="n">
        <v>8</v>
      </c>
      <c r="F58" s="242">
        <f>ROUND(I58/6.26,2)</f>
        <v/>
      </c>
      <c r="G58" s="242">
        <f>ROUND(E58*F58,2)</f>
        <v/>
      </c>
      <c r="H58" s="348">
        <f>G58/$G$65</f>
        <v/>
      </c>
      <c r="I58" s="242" t="n">
        <v>25456037.74</v>
      </c>
      <c r="J58" s="242">
        <f>ROUND(I58*E58,2)</f>
        <v/>
      </c>
    </row>
    <row r="59" ht="14.25" customFormat="1" customHeight="1" s="301">
      <c r="A59" s="345" t="n">
        <v>39</v>
      </c>
      <c r="B59" s="162" t="inlineStr">
        <is>
          <t>БЦ.14.584</t>
        </is>
      </c>
      <c r="C59" s="344" t="inlineStr">
        <is>
          <t>Трансформатор тока 220 кВ 50 кА</t>
        </is>
      </c>
      <c r="D59" s="345" t="inlineStr">
        <is>
          <t>шт</t>
        </is>
      </c>
      <c r="E59" s="240" t="n">
        <v>48</v>
      </c>
      <c r="F59" s="242">
        <f>ROUND(I59/6.26,2)</f>
        <v/>
      </c>
      <c r="G59" s="242">
        <f>ROUND(E59*F59,2)</f>
        <v/>
      </c>
      <c r="H59" s="348">
        <f>G59/$G$65</f>
        <v/>
      </c>
      <c r="I59" s="242" t="n">
        <v>2161530</v>
      </c>
      <c r="J59" s="242">
        <f>ROUND(I59*E59,2)</f>
        <v/>
      </c>
    </row>
    <row r="60" s="284">
      <c r="A60" s="345" t="n"/>
      <c r="B60" s="345" t="n"/>
      <c r="C60" s="344" t="inlineStr">
        <is>
          <t>Итого основное оборудование</t>
        </is>
      </c>
      <c r="D60" s="345" t="n"/>
      <c r="E60" s="240" t="n"/>
      <c r="F60" s="347" t="n"/>
      <c r="G60" s="242">
        <f>SUM(G58:G59)</f>
        <v/>
      </c>
      <c r="H60" s="348">
        <f>G60/$G$65</f>
        <v/>
      </c>
      <c r="I60" s="347" t="n"/>
      <c r="J60" s="242">
        <f>SUM(J58:J59)</f>
        <v/>
      </c>
      <c r="K60" s="212" t="n"/>
      <c r="L60" s="301" t="n"/>
      <c r="M60" s="301" t="n"/>
      <c r="N60" s="301" t="n"/>
    </row>
    <row r="61" outlineLevel="1" ht="38.25" customHeight="1" s="284">
      <c r="A61" s="345" t="n">
        <v>42</v>
      </c>
      <c r="B61" s="162" t="inlineStr">
        <is>
          <t>БЦ.61.1203</t>
        </is>
      </c>
      <c r="C61" s="344" t="inlineStr">
        <is>
          <t>Разъединитель с двумя заземляющими ножами горизонтально-поворотный 220 кВ, 2500 А, 50 кА</t>
        </is>
      </c>
      <c r="D61" s="345" t="inlineStr">
        <is>
          <t>компл</t>
        </is>
      </c>
      <c r="E61" s="240" t="n">
        <v>18</v>
      </c>
      <c r="F61" s="242" t="n">
        <v>205619.71</v>
      </c>
      <c r="G61" s="242">
        <f>ROUND(E61*F61,2)</f>
        <v/>
      </c>
      <c r="H61" s="348">
        <f>G61/$G$62</f>
        <v/>
      </c>
      <c r="I61" s="242" t="n">
        <v>5720000</v>
      </c>
      <c r="J61" s="242">
        <f>ROUND(I61*E61,2)</f>
        <v/>
      </c>
      <c r="K61" s="212" t="n"/>
      <c r="L61" s="301" t="n"/>
      <c r="M61" s="301" t="n"/>
      <c r="N61" s="301" t="n"/>
    </row>
    <row r="62" outlineLevel="1" s="284">
      <c r="A62" s="345" t="n">
        <v>43</v>
      </c>
      <c r="B62" s="162" t="inlineStr">
        <is>
          <t>БЦ.16.117</t>
        </is>
      </c>
      <c r="C62" s="344" t="inlineStr">
        <is>
          <t>Трансформатор напряжения 220 кВ</t>
        </is>
      </c>
      <c r="D62" s="345" t="inlineStr">
        <is>
          <t>шт</t>
        </is>
      </c>
      <c r="E62" s="240" t="n">
        <v>24</v>
      </c>
      <c r="F62" s="242" t="n">
        <v>114491.74</v>
      </c>
      <c r="G62" s="242">
        <f>ROUND(E62*F62,2)</f>
        <v/>
      </c>
      <c r="H62" s="348">
        <f>G62/$G$62</f>
        <v/>
      </c>
      <c r="I62" s="242" t="n">
        <v>1033242</v>
      </c>
      <c r="J62" s="242">
        <f>ROUND(I62*E62,2)</f>
        <v/>
      </c>
      <c r="K62" s="212" t="n"/>
      <c r="L62" s="301" t="n"/>
      <c r="M62" s="301" t="n"/>
      <c r="N62" s="301" t="n"/>
    </row>
    <row r="63" outlineLevel="1" s="284">
      <c r="A63" s="345" t="n">
        <v>44</v>
      </c>
      <c r="B63" s="162" t="inlineStr">
        <is>
          <t>БЦ.60.57</t>
        </is>
      </c>
      <c r="C63" s="344" t="inlineStr">
        <is>
          <t xml:space="preserve">Ограничитель перенапряжения 220кВ </t>
        </is>
      </c>
      <c r="D63" s="345" t="inlineStr">
        <is>
          <t>шт</t>
        </is>
      </c>
      <c r="E63" s="240" t="n">
        <v>24</v>
      </c>
      <c r="F63" s="242" t="n">
        <v>36891.78</v>
      </c>
      <c r="G63" s="242">
        <f>ROUND(E63*F63,2)</f>
        <v/>
      </c>
      <c r="H63" s="348">
        <f>G63/$G$62</f>
        <v/>
      </c>
      <c r="I63" s="242" t="n">
        <v>139656.3</v>
      </c>
      <c r="J63" s="242">
        <f>ROUND(I63*E63,2)</f>
        <v/>
      </c>
      <c r="K63" s="212" t="n"/>
      <c r="L63" s="301" t="n"/>
      <c r="M63" s="301" t="n"/>
      <c r="N63" s="301" t="n"/>
    </row>
    <row r="64" s="284">
      <c r="A64" s="345" t="n"/>
      <c r="B64" s="345" t="n"/>
      <c r="C64" s="344" t="inlineStr">
        <is>
          <t>Итого прочее оборудование</t>
        </is>
      </c>
      <c r="D64" s="345" t="n"/>
      <c r="E64" s="346" t="n"/>
      <c r="F64" s="347" t="n"/>
      <c r="G64" s="242">
        <f>SUM(G61:G63)</f>
        <v/>
      </c>
      <c r="H64" s="348">
        <f>G64/$G$65</f>
        <v/>
      </c>
      <c r="I64" s="347" t="n"/>
      <c r="J64" s="242">
        <f>SUM(J61:J63)</f>
        <v/>
      </c>
      <c r="K64" s="212" t="n"/>
      <c r="L64" s="301" t="n"/>
      <c r="M64" s="301" t="n"/>
      <c r="N64" s="301" t="n"/>
    </row>
    <row r="65" s="284">
      <c r="A65" s="345" t="n"/>
      <c r="B65" s="345" t="n"/>
      <c r="C65" s="341" t="inlineStr">
        <is>
          <t>Итого по разделу «Оборудование»</t>
        </is>
      </c>
      <c r="D65" s="345" t="n"/>
      <c r="E65" s="346" t="n"/>
      <c r="F65" s="347" t="n"/>
      <c r="G65" s="242">
        <f>G64+G60</f>
        <v/>
      </c>
      <c r="H65" s="348" t="n">
        <v>1</v>
      </c>
      <c r="I65" s="347" t="n"/>
      <c r="J65" s="242">
        <f>J64+J60</f>
        <v/>
      </c>
      <c r="K65" s="212" t="n"/>
      <c r="L65" s="301" t="n"/>
      <c r="M65" s="301" t="n"/>
      <c r="N65" s="301" t="n"/>
    </row>
    <row r="66" ht="25.5" customHeight="1" s="284">
      <c r="A66" s="345" t="n"/>
      <c r="B66" s="345" t="n"/>
      <c r="C66" s="344" t="inlineStr">
        <is>
          <t>в том числе технологическое оборудование</t>
        </is>
      </c>
      <c r="D66" s="345" t="n"/>
      <c r="E66" s="346" t="n"/>
      <c r="F66" s="347" t="n"/>
      <c r="G66" s="242">
        <f>G65</f>
        <v/>
      </c>
      <c r="H66" s="348" t="n"/>
      <c r="I66" s="347" t="n"/>
      <c r="J66" s="242">
        <f>J65</f>
        <v/>
      </c>
      <c r="K66" s="212" t="n"/>
      <c r="L66" s="301" t="n"/>
      <c r="M66" s="301" t="n"/>
      <c r="N66" s="301" t="n"/>
    </row>
    <row r="67" ht="30.2" customFormat="1" customHeight="1" s="301">
      <c r="A67" s="345" t="n"/>
      <c r="B67" s="421" t="inlineStr">
        <is>
          <t>Материалы</t>
        </is>
      </c>
      <c r="J67" s="422" t="n"/>
      <c r="K67" s="212" t="n"/>
    </row>
    <row r="68" ht="14.25" customFormat="1" customHeight="1" s="301">
      <c r="A68" s="345" t="n"/>
      <c r="B68" s="344" t="inlineStr">
        <is>
          <t>Основные материалы</t>
        </is>
      </c>
      <c r="C68" s="415" t="n"/>
      <c r="D68" s="415" t="n"/>
      <c r="E68" s="415" t="n"/>
      <c r="F68" s="415" t="n"/>
      <c r="G68" s="415" t="n"/>
      <c r="H68" s="416" t="n"/>
      <c r="I68" s="239" t="n"/>
      <c r="J68" s="239" t="n"/>
    </row>
    <row r="69" ht="25.5" customFormat="1" customHeight="1" s="301">
      <c r="A69" s="345" t="n">
        <v>46</v>
      </c>
      <c r="B69" s="162" t="inlineStr">
        <is>
          <t>05.1.05.16-0040</t>
        </is>
      </c>
      <c r="C69" s="344" t="inlineStr">
        <is>
          <t>Сваи железобетонные С35-1-12-1 (бетон B22,5, расход арматуры 185 кг)</t>
        </is>
      </c>
      <c r="D69" s="345" t="inlineStr">
        <is>
          <t>м3</t>
        </is>
      </c>
      <c r="E69" s="253" t="n">
        <v>1946</v>
      </c>
      <c r="F69" s="242" t="n">
        <v>5337.26</v>
      </c>
      <c r="G69" s="242">
        <f>ROUND(E69*F69,2)</f>
        <v/>
      </c>
      <c r="H69" s="348">
        <f>G69/$G$152</f>
        <v/>
      </c>
      <c r="I69" s="242">
        <f>ROUND(F69*8.04,2)</f>
        <v/>
      </c>
      <c r="J69" s="242">
        <f>ROUND(I69*E69,2)</f>
        <v/>
      </c>
    </row>
    <row r="70" ht="13.7" customFormat="1" customHeight="1" s="301">
      <c r="A70" s="345">
        <f>A69+1</f>
        <v/>
      </c>
      <c r="B70" s="162" t="inlineStr">
        <is>
          <t>22.2.02.07-0003</t>
        </is>
      </c>
      <c r="C70" s="344" t="inlineStr">
        <is>
          <t>Конструкции стальные порталов ОРУ</t>
        </is>
      </c>
      <c r="D70" s="345" t="inlineStr">
        <is>
          <t>т</t>
        </is>
      </c>
      <c r="E70" s="240" t="n">
        <v>267.54</v>
      </c>
      <c r="F70" s="242" t="n">
        <v>12500</v>
      </c>
      <c r="G70" s="242">
        <f>ROUND(E70*F70,2)</f>
        <v/>
      </c>
      <c r="H70" s="348">
        <f>G70/$G$152</f>
        <v/>
      </c>
      <c r="I70" s="242">
        <f>ROUND(F70*8.04,2)</f>
        <v/>
      </c>
      <c r="J70" s="242">
        <f>ROUND(I70*E70,2)</f>
        <v/>
      </c>
    </row>
    <row r="71" ht="25.9" customFormat="1" customHeight="1" s="301">
      <c r="A71" s="345">
        <f>A70+1</f>
        <v/>
      </c>
      <c r="B71" s="162" t="inlineStr">
        <is>
          <t>БЦ.104.29</t>
        </is>
      </c>
      <c r="C71" s="344" t="inlineStr">
        <is>
          <t>Провод неизолированный для воздушных линий электропередачи АС 500</t>
        </is>
      </c>
      <c r="D71" s="345" t="inlineStr">
        <is>
          <t>т</t>
        </is>
      </c>
      <c r="E71" s="240" t="n">
        <v>17.417</v>
      </c>
      <c r="F71" s="347">
        <f>ROUND(I71/8.04,2)</f>
        <v/>
      </c>
      <c r="G71" s="242">
        <f>ROUND(E71*F71,2)</f>
        <v/>
      </c>
      <c r="H71" s="348">
        <f>G71/$G$152</f>
        <v/>
      </c>
      <c r="I71" s="242" t="n">
        <v>435607.06</v>
      </c>
      <c r="J71" s="242">
        <f>ROUND(I71*E71,2)</f>
        <v/>
      </c>
    </row>
    <row r="72" ht="25.5" customFormat="1" customHeight="1" s="301">
      <c r="A72" s="345">
        <f>A71+1</f>
        <v/>
      </c>
      <c r="B72" s="162" t="inlineStr">
        <is>
          <t>БЦ.28.17</t>
        </is>
      </c>
      <c r="C72" s="344" t="inlineStr">
        <is>
          <t>Опора шинная 220 кВ</t>
        </is>
      </c>
      <c r="D72" s="345" t="inlineStr">
        <is>
          <t>шт</t>
        </is>
      </c>
      <c r="E72" s="240" t="n">
        <v>48</v>
      </c>
      <c r="F72" s="347">
        <f>ROUND(I72/8.04,2)</f>
        <v/>
      </c>
      <c r="G72" s="242">
        <f>ROUND(E72*F72,2)</f>
        <v/>
      </c>
      <c r="H72" s="348">
        <f>G72/$G$152</f>
        <v/>
      </c>
      <c r="I72" s="242" t="n">
        <v>130498.58</v>
      </c>
      <c r="J72" s="242">
        <f>ROUND(I72*E72,2)</f>
        <v/>
      </c>
    </row>
    <row r="73" ht="14.25" customFormat="1" customHeight="1" s="301">
      <c r="A73" s="345" t="n"/>
      <c r="B73" s="345" t="n"/>
      <c r="C73" s="344" t="inlineStr">
        <is>
          <t>Итого основные материалы</t>
        </is>
      </c>
      <c r="D73" s="345" t="n"/>
      <c r="E73" s="240" t="n"/>
      <c r="F73" s="347" t="n"/>
      <c r="G73" s="242">
        <f>SUM(G69:G72)</f>
        <v/>
      </c>
      <c r="H73" s="348">
        <f>G73/$G$152</f>
        <v/>
      </c>
      <c r="I73" s="347" t="n"/>
      <c r="J73" s="242">
        <f>SUM(J69:J72)</f>
        <v/>
      </c>
      <c r="K73" s="212" t="n"/>
    </row>
    <row r="74" outlineLevel="1" ht="25.5" customFormat="1" customHeight="1" s="301">
      <c r="A74" s="345" t="n">
        <v>51</v>
      </c>
      <c r="B74" s="162" t="inlineStr">
        <is>
          <t>22.2.02.07-0041</t>
        </is>
      </c>
      <c r="C74" s="344" t="inlineStr">
        <is>
          <t>Ростверки стальные массой до 0,2т</t>
        </is>
      </c>
      <c r="D74" s="345" t="inlineStr">
        <is>
          <t>т</t>
        </is>
      </c>
      <c r="E74" s="240" t="n">
        <v>61.05</v>
      </c>
      <c r="F74" s="242" t="n">
        <v>8200</v>
      </c>
      <c r="G74" s="242">
        <f>ROUND(E74*F74,2)</f>
        <v/>
      </c>
      <c r="H74" s="348">
        <f>G74/$G$152</f>
        <v/>
      </c>
      <c r="I74" s="242">
        <f>ROUND(F74*8.04,2)</f>
        <v/>
      </c>
      <c r="J74" s="242">
        <f>ROUND(I74*E74,2)</f>
        <v/>
      </c>
    </row>
    <row r="75" outlineLevel="1" ht="14.25" customFormat="1" customHeight="1" s="301">
      <c r="A75" s="345" t="n">
        <v>52</v>
      </c>
      <c r="B75" s="346" t="inlineStr">
        <is>
          <t>25.2.01.07-0001</t>
        </is>
      </c>
      <c r="C75" s="344" t="inlineStr">
        <is>
          <t>Изоляторы</t>
        </is>
      </c>
      <c r="D75" s="345" t="inlineStr">
        <is>
          <t>шт</t>
        </is>
      </c>
      <c r="E75" s="240" t="n">
        <v>6378</v>
      </c>
      <c r="F75" s="347" t="n">
        <v>51.5</v>
      </c>
      <c r="G75" s="242">
        <f>ROUND(E75*F75,2)</f>
        <v/>
      </c>
      <c r="H75" s="348">
        <f>G75/$G$152</f>
        <v/>
      </c>
      <c r="I75" s="242">
        <f>ROUND(F75*8.04,2)</f>
        <v/>
      </c>
      <c r="J75" s="242">
        <f>ROUND(I75*E75,2)</f>
        <v/>
      </c>
    </row>
    <row r="76" outlineLevel="1" ht="25.9" customFormat="1" customHeight="1" s="301">
      <c r="A76" s="345" t="n"/>
      <c r="B76" s="346" t="inlineStr">
        <is>
          <t>10.1.02.03-0001</t>
        </is>
      </c>
      <c r="C76" s="344" t="inlineStr">
        <is>
          <t>Проволока алюминиевая, марка АМЦ, диаметр 1,4-1,8 мм</t>
        </is>
      </c>
      <c r="D76" s="345" t="inlineStr">
        <is>
          <t>т</t>
        </is>
      </c>
      <c r="E76" s="240" t="n">
        <v>9.02129115</v>
      </c>
      <c r="F76" s="347" t="n">
        <v>30090</v>
      </c>
      <c r="G76" s="242">
        <f>ROUND(E76*F76,2)</f>
        <v/>
      </c>
      <c r="H76" s="348">
        <f>G76/$G$152</f>
        <v/>
      </c>
      <c r="I76" s="242">
        <f>ROUND(F76*8.04,2)</f>
        <v/>
      </c>
      <c r="J76" s="242">
        <f>ROUND(I76*E76,2)</f>
        <v/>
      </c>
    </row>
    <row r="77" outlineLevel="1" ht="25.5" customFormat="1" customHeight="1" s="301">
      <c r="A77" s="345" t="n">
        <v>53</v>
      </c>
      <c r="B77" s="346" t="inlineStr">
        <is>
          <t>14.4.02.09-0301</t>
        </is>
      </c>
      <c r="C77" s="344" t="inlineStr">
        <is>
          <t>Композиция антикоррозионная цинкнаполненная</t>
        </is>
      </c>
      <c r="D77" s="345" t="inlineStr">
        <is>
          <t>кг</t>
        </is>
      </c>
      <c r="E77" s="240" t="n">
        <v>920.04</v>
      </c>
      <c r="F77" s="347" t="n">
        <v>238.48</v>
      </c>
      <c r="G77" s="242">
        <f>ROUND(F77*E77,2)</f>
        <v/>
      </c>
      <c r="H77" s="348">
        <f>G77/$G$152</f>
        <v/>
      </c>
      <c r="I77" s="242">
        <f>ROUND(F77*8.04,2)</f>
        <v/>
      </c>
      <c r="J77" s="242">
        <f>ROUND(I77*E77,2)</f>
        <v/>
      </c>
    </row>
    <row r="78" outlineLevel="1" ht="14.25" customFormat="1" customHeight="1" s="301">
      <c r="A78" s="345" t="n">
        <v>54</v>
      </c>
      <c r="B78" s="346" t="inlineStr">
        <is>
          <t>01.4.01.10-0016</t>
        </is>
      </c>
      <c r="C78" s="344" t="inlineStr">
        <is>
          <t>Шнек, диаметр 135 мм</t>
        </is>
      </c>
      <c r="D78" s="345" t="inlineStr">
        <is>
          <t>шт</t>
        </is>
      </c>
      <c r="E78" s="240" t="n">
        <v>315.024</v>
      </c>
      <c r="F78" s="347" t="n">
        <v>597</v>
      </c>
      <c r="G78" s="242">
        <f>ROUND(F78*E78,2)</f>
        <v/>
      </c>
      <c r="H78" s="348">
        <f>G78/$G$152</f>
        <v/>
      </c>
      <c r="I78" s="242">
        <f>ROUND(F78*8.04,2)</f>
        <v/>
      </c>
      <c r="J78" s="242">
        <f>ROUND(I78*E78,2)</f>
        <v/>
      </c>
    </row>
    <row r="79" outlineLevel="1" ht="51" customFormat="1" customHeight="1" s="301">
      <c r="A79" s="345" t="n">
        <v>55</v>
      </c>
      <c r="B79" s="346" t="inlineStr">
        <is>
          <t>20.5.04.04-0061</t>
        </is>
      </c>
      <c r="C79" s="344" t="inlineStr">
        <is>
          <t>Зажимы натяжные болтовые НБН алюминиевые для крепления многопроволочных проводов сечением 95-120 мм2</t>
        </is>
      </c>
      <c r="D79" s="345" t="inlineStr">
        <is>
          <t>шт.</t>
        </is>
      </c>
      <c r="E79" s="240" t="n">
        <v>382.5</v>
      </c>
      <c r="F79" s="347" t="n">
        <v>389.85</v>
      </c>
      <c r="G79" s="242">
        <f>ROUND(F79*E79,2)</f>
        <v/>
      </c>
      <c r="H79" s="348">
        <f>G79/$G$152</f>
        <v/>
      </c>
      <c r="I79" s="242">
        <f>ROUND(F79*8.04,2)</f>
        <v/>
      </c>
      <c r="J79" s="242">
        <f>ROUND(I79*E79,2)</f>
        <v/>
      </c>
    </row>
    <row r="80" outlineLevel="1" ht="25.5" customFormat="1" customHeight="1" s="301">
      <c r="A80" s="345" t="n">
        <v>56</v>
      </c>
      <c r="B80" s="346" t="inlineStr">
        <is>
          <t>22.2.02.07-0004</t>
        </is>
      </c>
      <c r="C80" s="344" t="inlineStr">
        <is>
          <t>Конструкции стальные прожекторных мачт ОРУ</t>
        </is>
      </c>
      <c r="D80" s="345" t="inlineStr">
        <is>
          <t>т</t>
        </is>
      </c>
      <c r="E80" s="240" t="n">
        <v>11.07</v>
      </c>
      <c r="F80" s="347" t="n">
        <v>12500</v>
      </c>
      <c r="G80" s="242">
        <f>ROUND(F80*E80,2)</f>
        <v/>
      </c>
      <c r="H80" s="348">
        <f>G80/$G$152</f>
        <v/>
      </c>
      <c r="I80" s="242">
        <f>ROUND(F80*8.04,2)</f>
        <v/>
      </c>
      <c r="J80" s="242">
        <f>ROUND(I80*E80,2)</f>
        <v/>
      </c>
    </row>
    <row r="81" outlineLevel="1" ht="63.75" customFormat="1" customHeight="1" s="301">
      <c r="A81" s="345" t="n">
        <v>57</v>
      </c>
      <c r="B81" s="346" t="inlineStr">
        <is>
          <t>07.2.07.12-0012</t>
        </is>
      </c>
      <c r="C81" s="344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0,1 до 0,5 т</t>
        </is>
      </c>
      <c r="D81" s="345" t="inlineStr">
        <is>
          <t>т</t>
        </is>
      </c>
      <c r="E81" s="240" t="n">
        <v>13.02</v>
      </c>
      <c r="F81" s="347" t="n">
        <v>10508</v>
      </c>
      <c r="G81" s="242">
        <f>ROUND(F81*E81,2)</f>
        <v/>
      </c>
      <c r="H81" s="348">
        <f>G81/$G$152</f>
        <v/>
      </c>
      <c r="I81" s="242">
        <f>ROUND(F81*8.04,2)</f>
        <v/>
      </c>
      <c r="J81" s="242">
        <f>ROUND(I81*E81,2)</f>
        <v/>
      </c>
    </row>
    <row r="82" outlineLevel="1" ht="14.25" customFormat="1" customHeight="1" s="301">
      <c r="A82" s="345" t="n">
        <v>58</v>
      </c>
      <c r="B82" s="346" t="inlineStr">
        <is>
          <t>08.1.02.20-0001</t>
        </is>
      </c>
      <c r="C82" s="344" t="inlineStr">
        <is>
          <t>Звено соединительное, диаметр 28 мм</t>
        </is>
      </c>
      <c r="D82" s="345" t="inlineStr">
        <is>
          <t>шт</t>
        </is>
      </c>
      <c r="E82" s="240" t="n">
        <v>402</v>
      </c>
      <c r="F82" s="347" t="n">
        <v>248.78</v>
      </c>
      <c r="G82" s="242">
        <f>ROUND(F82*E82,2)</f>
        <v/>
      </c>
      <c r="H82" s="348">
        <f>G82/$G$152</f>
        <v/>
      </c>
      <c r="I82" s="242">
        <f>ROUND(F82*8.04,2)</f>
        <v/>
      </c>
      <c r="J82" s="242">
        <f>ROUND(I82*E82,2)</f>
        <v/>
      </c>
    </row>
    <row r="83" outlineLevel="1" ht="14.25" customFormat="1" customHeight="1" s="301">
      <c r="A83" s="345" t="n">
        <v>59</v>
      </c>
      <c r="B83" s="346" t="inlineStr">
        <is>
          <t>20.1.02.22-0003</t>
        </is>
      </c>
      <c r="C83" s="344" t="inlineStr">
        <is>
          <t>Ушко двухлапчатое У2-12-16</t>
        </is>
      </c>
      <c r="D83" s="345" t="inlineStr">
        <is>
          <t>шт.</t>
        </is>
      </c>
      <c r="E83" s="240" t="n">
        <v>258</v>
      </c>
      <c r="F83" s="347" t="n">
        <v>194.37</v>
      </c>
      <c r="G83" s="242">
        <f>ROUND(F83*E83,2)</f>
        <v/>
      </c>
      <c r="H83" s="348">
        <f>G83/$G$152</f>
        <v/>
      </c>
      <c r="I83" s="242">
        <f>ROUND(F83*8.04,2)</f>
        <v/>
      </c>
      <c r="J83" s="242">
        <f>ROUND(I83*E83,2)</f>
        <v/>
      </c>
    </row>
    <row r="84" outlineLevel="1" ht="25.5" customFormat="1" customHeight="1" s="301">
      <c r="A84" s="345" t="n">
        <v>60</v>
      </c>
      <c r="B84" s="346" t="inlineStr">
        <is>
          <t>22.2.02.07-0002</t>
        </is>
      </c>
      <c r="C84" s="344" t="inlineStr">
        <is>
          <t>Конструкции стальные отдельностоящих молниеотводов ОРУ</t>
        </is>
      </c>
      <c r="D84" s="345" t="inlineStr">
        <is>
          <t>т</t>
        </is>
      </c>
      <c r="E84" s="240" t="n">
        <v>5.082</v>
      </c>
      <c r="F84" s="347" t="n">
        <v>9800</v>
      </c>
      <c r="G84" s="242">
        <f>ROUND(F84*E84,2)</f>
        <v/>
      </c>
      <c r="H84" s="348">
        <f>G84/$G$152</f>
        <v/>
      </c>
      <c r="I84" s="242">
        <f>ROUND(F84*8.04,2)</f>
        <v/>
      </c>
      <c r="J84" s="242">
        <f>ROUND(I84*E84,2)</f>
        <v/>
      </c>
    </row>
    <row r="85" outlineLevel="1" ht="25.5" customFormat="1" customHeight="1" s="301">
      <c r="A85" s="345" t="n">
        <v>61</v>
      </c>
      <c r="B85" s="346" t="inlineStr">
        <is>
          <t>21.2.01.02-0094</t>
        </is>
      </c>
      <c r="C85" s="344" t="inlineStr">
        <is>
          <t>Провод неизолированный для воздушных линий электропередачи АС 300/39</t>
        </is>
      </c>
      <c r="D85" s="345" t="inlineStr">
        <is>
          <t>т</t>
        </is>
      </c>
      <c r="E85" s="240" t="n">
        <v>1.0738155</v>
      </c>
      <c r="F85" s="347" t="n">
        <v>32758.86</v>
      </c>
      <c r="G85" s="242">
        <f>ROUND(F85*E85,2)</f>
        <v/>
      </c>
      <c r="H85" s="348">
        <f>G85/$G$152</f>
        <v/>
      </c>
      <c r="I85" s="242">
        <f>ROUND(F85*8.04,2)</f>
        <v/>
      </c>
      <c r="J85" s="242">
        <f>ROUND(I85*E85,2)</f>
        <v/>
      </c>
    </row>
    <row r="86" outlineLevel="1" ht="38.25" customFormat="1" customHeight="1" s="301">
      <c r="A86" s="345" t="n">
        <v>62</v>
      </c>
      <c r="B86" s="346" t="inlineStr">
        <is>
          <t>04.1.02.05-0062</t>
        </is>
      </c>
      <c r="C86" s="344" t="inlineStr">
        <is>
          <t>Смеси бетонные тяжелого бетона (БСТ), крупность заполнителя 40 мм, класс В22,5 (М300) (Надбавка W8)</t>
        </is>
      </c>
      <c r="D86" s="345" t="inlineStr">
        <is>
          <t>м3</t>
        </is>
      </c>
      <c r="E86" s="240" t="n">
        <v>1459.5</v>
      </c>
      <c r="F86" s="347" t="n">
        <v>20.74</v>
      </c>
      <c r="G86" s="242">
        <f>ROUND(F86*E86,2)</f>
        <v/>
      </c>
      <c r="H86" s="348">
        <f>G86/$G$152</f>
        <v/>
      </c>
      <c r="I86" s="242">
        <f>ROUND(F86*8.04,2)</f>
        <v/>
      </c>
      <c r="J86" s="242">
        <f>ROUND(I86*E86,2)</f>
        <v/>
      </c>
    </row>
    <row r="87" outlineLevel="1" ht="51" customFormat="1" customHeight="1" s="301">
      <c r="A87" s="345" t="n">
        <v>63</v>
      </c>
      <c r="B87" s="346" t="inlineStr">
        <is>
          <t>07.2.07.13-0161</t>
        </is>
      </c>
      <c r="C87" s="344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7" s="345" t="inlineStr">
        <is>
          <t>т</t>
        </is>
      </c>
      <c r="E87" s="240" t="n">
        <v>2.5029615</v>
      </c>
      <c r="F87" s="347" t="n">
        <v>11879.77</v>
      </c>
      <c r="G87" s="242">
        <f>ROUND(F87*E87,2)</f>
        <v/>
      </c>
      <c r="H87" s="348">
        <f>G87/$G$152</f>
        <v/>
      </c>
      <c r="I87" s="242">
        <f>ROUND(F87*8.04,2)</f>
        <v/>
      </c>
      <c r="J87" s="242">
        <f>ROUND(I87*E87,2)</f>
        <v/>
      </c>
    </row>
    <row r="88" outlineLevel="1" ht="14.25" customFormat="1" customHeight="1" s="301">
      <c r="A88" s="345" t="n">
        <v>64</v>
      </c>
      <c r="B88" s="346" t="inlineStr">
        <is>
          <t>20.2.08.05-0017</t>
        </is>
      </c>
      <c r="C88" s="344" t="inlineStr">
        <is>
          <t>Профиль монтажный</t>
        </is>
      </c>
      <c r="D88" s="345" t="inlineStr">
        <is>
          <t>шт.</t>
        </is>
      </c>
      <c r="E88" s="240" t="n">
        <v>433.5</v>
      </c>
      <c r="F88" s="347" t="n">
        <v>66.81999999999999</v>
      </c>
      <c r="G88" s="242">
        <f>ROUND(F88*E88,2)</f>
        <v/>
      </c>
      <c r="H88" s="348">
        <f>G88/$G$152</f>
        <v/>
      </c>
      <c r="I88" s="242">
        <f>ROUND(F88*8.04,2)</f>
        <v/>
      </c>
      <c r="J88" s="242">
        <f>ROUND(I88*E88,2)</f>
        <v/>
      </c>
    </row>
    <row r="89" outlineLevel="1" ht="14.25" customFormat="1" customHeight="1" s="301">
      <c r="A89" s="345" t="n">
        <v>65</v>
      </c>
      <c r="B89" s="346" t="inlineStr">
        <is>
          <t>25.2.01.06-0101</t>
        </is>
      </c>
      <c r="C89" s="344" t="inlineStr">
        <is>
          <t>Зажим фиксирующий (КС-049-5) (КС-329)</t>
        </is>
      </c>
      <c r="D89" s="345" t="inlineStr">
        <is>
          <t>шт</t>
        </is>
      </c>
      <c r="E89" s="240" t="n">
        <v>407.25</v>
      </c>
      <c r="F89" s="347" t="n">
        <v>66.68000000000001</v>
      </c>
      <c r="G89" s="242">
        <f>ROUND(F89*E89,2)</f>
        <v/>
      </c>
      <c r="H89" s="348">
        <f>G89/$G$152</f>
        <v/>
      </c>
      <c r="I89" s="242">
        <f>ROUND(F89*8.04,2)</f>
        <v/>
      </c>
      <c r="J89" s="242">
        <f>ROUND(I89*E89,2)</f>
        <v/>
      </c>
    </row>
    <row r="90" outlineLevel="1" ht="25.5" customFormat="1" customHeight="1" s="301">
      <c r="A90" s="345" t="n">
        <v>66</v>
      </c>
      <c r="B90" s="346" t="inlineStr">
        <is>
          <t>14.2.01.05-0001</t>
        </is>
      </c>
      <c r="C90" s="344" t="inlineStr">
        <is>
          <t>Композиция на основе термопластичных полимеров</t>
        </is>
      </c>
      <c r="D90" s="345" t="inlineStr">
        <is>
          <t>кг</t>
        </is>
      </c>
      <c r="E90" s="240" t="n">
        <v>437.58</v>
      </c>
      <c r="F90" s="347" t="n">
        <v>54.99</v>
      </c>
      <c r="G90" s="242">
        <f>ROUND(F90*E90,2)</f>
        <v/>
      </c>
      <c r="H90" s="348">
        <f>G90/$G$152</f>
        <v/>
      </c>
      <c r="I90" s="242">
        <f>ROUND(F90*8.04,2)</f>
        <v/>
      </c>
      <c r="J90" s="242">
        <f>ROUND(I90*E90,2)</f>
        <v/>
      </c>
    </row>
    <row r="91" outlineLevel="1" ht="14.25" customFormat="1" customHeight="1" s="301">
      <c r="A91" s="345" t="n">
        <v>67</v>
      </c>
      <c r="B91" s="346" t="inlineStr">
        <is>
          <t>14.5.09.11-0102</t>
        </is>
      </c>
      <c r="C91" s="344" t="inlineStr">
        <is>
          <t>Уайт-спирит</t>
        </is>
      </c>
      <c r="D91" s="345" t="inlineStr">
        <is>
          <t>кг</t>
        </is>
      </c>
      <c r="E91" s="240" t="n">
        <v>2987.1825</v>
      </c>
      <c r="F91" s="347" t="n">
        <v>6.67</v>
      </c>
      <c r="G91" s="242">
        <f>ROUND(F91*E91,2)</f>
        <v/>
      </c>
      <c r="H91" s="348">
        <f>G91/$G$152</f>
        <v/>
      </c>
      <c r="I91" s="242">
        <f>ROUND(F91*8.04,2)</f>
        <v/>
      </c>
      <c r="J91" s="242">
        <f>ROUND(I91*E91,2)</f>
        <v/>
      </c>
    </row>
    <row r="92" outlineLevel="1" ht="14.25" customFormat="1" customHeight="1" s="301">
      <c r="A92" s="345" t="n">
        <v>68</v>
      </c>
      <c r="B92" s="346" t="inlineStr">
        <is>
          <t>20.2.11.04-0011</t>
        </is>
      </c>
      <c r="C92" s="344" t="inlineStr">
        <is>
          <t>Распорки 125-1</t>
        </is>
      </c>
      <c r="D92" s="345" t="inlineStr">
        <is>
          <t>шт</t>
        </is>
      </c>
      <c r="E92" s="240" t="n">
        <v>525</v>
      </c>
      <c r="F92" s="347" t="n">
        <v>36.61</v>
      </c>
      <c r="G92" s="242">
        <f>ROUND(F92*E92,2)</f>
        <v/>
      </c>
      <c r="H92" s="348">
        <f>G92/$G$152</f>
        <v/>
      </c>
      <c r="I92" s="242">
        <f>ROUND(F92*8.04,2)</f>
        <v/>
      </c>
      <c r="J92" s="242">
        <f>ROUND(I92*E92,2)</f>
        <v/>
      </c>
    </row>
    <row r="93" outlineLevel="1" ht="14.25" customFormat="1" customHeight="1" s="301">
      <c r="A93" s="345" t="n">
        <v>69</v>
      </c>
      <c r="B93" s="346" t="inlineStr">
        <is>
          <t>01.7.11.07-0032</t>
        </is>
      </c>
      <c r="C93" s="344" t="inlineStr">
        <is>
          <t>Электроды сварочные Э42, диаметр 4 мм</t>
        </is>
      </c>
      <c r="D93" s="345" t="inlineStr">
        <is>
          <t>т</t>
        </is>
      </c>
      <c r="E93" s="240" t="n">
        <v>1.74765</v>
      </c>
      <c r="F93" s="347" t="n">
        <v>10315.01</v>
      </c>
      <c r="G93" s="242">
        <f>ROUND(F93*E93,2)</f>
        <v/>
      </c>
      <c r="H93" s="348">
        <f>G93/$G$152</f>
        <v/>
      </c>
      <c r="I93" s="242">
        <f>ROUND(F93*8.04,2)</f>
        <v/>
      </c>
      <c r="J93" s="242">
        <f>ROUND(I93*E93,2)</f>
        <v/>
      </c>
    </row>
    <row r="94" outlineLevel="1" ht="51" customFormat="1" customHeight="1" s="301">
      <c r="A94" s="345" t="n">
        <v>70</v>
      </c>
      <c r="B94" s="346" t="inlineStr">
        <is>
          <t>07.2.07.12-0020</t>
        </is>
      </c>
      <c r="C94" s="344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94" s="345" t="inlineStr">
        <is>
          <t>т</t>
        </is>
      </c>
      <c r="E94" s="240" t="n">
        <v>2.20455</v>
      </c>
      <c r="F94" s="347" t="n">
        <v>7712</v>
      </c>
      <c r="G94" s="242">
        <f>ROUND(F94*E94,2)</f>
        <v/>
      </c>
      <c r="H94" s="348">
        <f>G94/$G$152</f>
        <v/>
      </c>
      <c r="I94" s="242">
        <f>ROUND(F94*8.04,2)</f>
        <v/>
      </c>
      <c r="J94" s="242">
        <f>ROUND(I94*E94,2)</f>
        <v/>
      </c>
    </row>
    <row r="95" outlineLevel="1" ht="14.25" customFormat="1" customHeight="1" s="301">
      <c r="A95" s="345" t="n">
        <v>71</v>
      </c>
      <c r="B95" s="346" t="inlineStr">
        <is>
          <t>20.1.02.21-0071</t>
        </is>
      </c>
      <c r="C95" s="344" t="inlineStr">
        <is>
          <t>Узел крепления фиксатора окрашенный</t>
        </is>
      </c>
      <c r="D95" s="345" t="inlineStr">
        <is>
          <t>шт.</t>
        </is>
      </c>
      <c r="E95" s="240" t="n">
        <v>258</v>
      </c>
      <c r="F95" s="347" t="n">
        <v>56.95</v>
      </c>
      <c r="G95" s="242">
        <f>ROUND(F95*E95,2)</f>
        <v/>
      </c>
      <c r="H95" s="348">
        <f>G95/$G$152</f>
        <v/>
      </c>
      <c r="I95" s="242">
        <f>ROUND(F95*8.04,2)</f>
        <v/>
      </c>
      <c r="J95" s="242">
        <f>ROUND(I95*E95,2)</f>
        <v/>
      </c>
    </row>
    <row r="96" outlineLevel="1" ht="25.5" customFormat="1" customHeight="1" s="301">
      <c r="A96" s="345" t="n">
        <v>72</v>
      </c>
      <c r="B96" s="346" t="inlineStr">
        <is>
          <t>08.3.07.01-0051</t>
        </is>
      </c>
      <c r="C96" s="344" t="inlineStr">
        <is>
          <t>Прокат полосовой, горячекатаный, марка стали Ст3сп, размер 50х4 мм</t>
        </is>
      </c>
      <c r="D96" s="345" t="inlineStr">
        <is>
          <t>т</t>
        </is>
      </c>
      <c r="E96" s="240" t="n">
        <v>1.911</v>
      </c>
      <c r="F96" s="347" t="n">
        <v>7396.23</v>
      </c>
      <c r="G96" s="242">
        <f>ROUND(F96*E96,2)</f>
        <v/>
      </c>
      <c r="H96" s="348">
        <f>G96/$G$152</f>
        <v/>
      </c>
      <c r="I96" s="242">
        <f>ROUND(F96*8.04,2)</f>
        <v/>
      </c>
      <c r="J96" s="242">
        <f>ROUND(I96*E96,2)</f>
        <v/>
      </c>
    </row>
    <row r="97" outlineLevel="1" ht="25.5" customFormat="1" customHeight="1" s="301">
      <c r="A97" s="345" t="n">
        <v>73</v>
      </c>
      <c r="B97" s="346" t="inlineStr">
        <is>
          <t>01.7.15.03-0036</t>
        </is>
      </c>
      <c r="C97" s="344" t="inlineStr">
        <is>
          <t>Болты с гайками и шайбами оцинкованные, диаметр 24 мм</t>
        </is>
      </c>
      <c r="D97" s="345" t="inlineStr">
        <is>
          <t>кг</t>
        </is>
      </c>
      <c r="E97" s="240" t="n">
        <v>487.5</v>
      </c>
      <c r="F97" s="347" t="n">
        <v>24.79</v>
      </c>
      <c r="G97" s="242">
        <f>ROUND(F97*E97,2)</f>
        <v/>
      </c>
      <c r="H97" s="348">
        <f>G97/$G$152</f>
        <v/>
      </c>
      <c r="I97" s="242">
        <f>ROUND(F97*8.04,2)</f>
        <v/>
      </c>
      <c r="J97" s="242">
        <f>ROUND(I97*E97,2)</f>
        <v/>
      </c>
    </row>
    <row r="98" outlineLevel="1" ht="25.5" customFormat="1" customHeight="1" s="301">
      <c r="A98" s="345" t="n">
        <v>74</v>
      </c>
      <c r="B98" s="346" t="inlineStr">
        <is>
          <t>25.2.01.10-0003</t>
        </is>
      </c>
      <c r="C98" s="344" t="inlineStr">
        <is>
          <t>Коромысло для анкеровки усиливающих и питающих проводов (КС-122)</t>
        </is>
      </c>
      <c r="D98" s="345" t="inlineStr">
        <is>
          <t>шт.</t>
        </is>
      </c>
      <c r="E98" s="240" t="n">
        <v>144</v>
      </c>
      <c r="F98" s="347" t="n">
        <v>81</v>
      </c>
      <c r="G98" s="242">
        <f>ROUND(F98*E98,2)</f>
        <v/>
      </c>
      <c r="H98" s="348">
        <f>G98/$G$152</f>
        <v/>
      </c>
      <c r="I98" s="242">
        <f>ROUND(F98*8.04,2)</f>
        <v/>
      </c>
      <c r="J98" s="242">
        <f>ROUND(I98*E98,2)</f>
        <v/>
      </c>
    </row>
    <row r="99" outlineLevel="1" ht="25.5" customFormat="1" customHeight="1" s="301">
      <c r="A99" s="345" t="n">
        <v>75</v>
      </c>
      <c r="B99" s="346" t="inlineStr">
        <is>
          <t>07.2.07.04-0007</t>
        </is>
      </c>
      <c r="C99" s="344" t="inlineStr">
        <is>
          <t>Конструкции стальные индивидуальные решетчатые сварные массой до 0,1 т</t>
        </is>
      </c>
      <c r="D99" s="345" t="inlineStr">
        <is>
          <t>т</t>
        </is>
      </c>
      <c r="E99" s="240" t="n">
        <v>0.5625</v>
      </c>
      <c r="F99" s="347" t="n">
        <v>11500</v>
      </c>
      <c r="G99" s="242">
        <f>ROUND(F99*E99,2)</f>
        <v/>
      </c>
      <c r="H99" s="348">
        <f>G99/$G$152</f>
        <v/>
      </c>
      <c r="I99" s="242">
        <f>ROUND(F99*8.04,2)</f>
        <v/>
      </c>
      <c r="J99" s="242">
        <f>ROUND(I99*E99,2)</f>
        <v/>
      </c>
    </row>
    <row r="100" outlineLevel="1" ht="14.25" customFormat="1" customHeight="1" s="301">
      <c r="A100" s="345" t="n">
        <v>76</v>
      </c>
      <c r="B100" s="346" t="inlineStr">
        <is>
          <t>11.1.03.05-0041</t>
        </is>
      </c>
      <c r="C100" s="344" t="inlineStr">
        <is>
          <t>Доски необрезные, дубовые, II сорт</t>
        </is>
      </c>
      <c r="D100" s="345" t="inlineStr">
        <is>
          <t>м3</t>
        </is>
      </c>
      <c r="E100" s="240" t="n">
        <v>4.335</v>
      </c>
      <c r="F100" s="347" t="n">
        <v>1410</v>
      </c>
      <c r="G100" s="242">
        <f>ROUND(F100*E100,2)</f>
        <v/>
      </c>
      <c r="H100" s="348">
        <f>G100/$G$152</f>
        <v/>
      </c>
      <c r="I100" s="242">
        <f>ROUND(F100*8.04,2)</f>
        <v/>
      </c>
      <c r="J100" s="242">
        <f>ROUND(I100*E100,2)</f>
        <v/>
      </c>
    </row>
    <row r="101" outlineLevel="1" ht="38.25" customFormat="1" customHeight="1" s="301">
      <c r="A101" s="345" t="n">
        <v>77</v>
      </c>
      <c r="B101" s="346" t="inlineStr">
        <is>
          <t>08.3.07.01-0076</t>
        </is>
      </c>
      <c r="C101" s="344" t="inlineStr">
        <is>
          <t>Прокат полосовой, горячекатаный, марка стали Ст3сп, ширина 50-200 мм, толщина 4-5 мм</t>
        </is>
      </c>
      <c r="D101" s="345" t="inlineStr">
        <is>
          <t>т</t>
        </is>
      </c>
      <c r="E101" s="240" t="n">
        <v>1.0305375</v>
      </c>
      <c r="F101" s="347" t="n">
        <v>5000</v>
      </c>
      <c r="G101" s="242">
        <f>ROUND(F101*E101,2)</f>
        <v/>
      </c>
      <c r="H101" s="348">
        <f>G101/$G$152</f>
        <v/>
      </c>
      <c r="I101" s="242">
        <f>ROUND(F101*8.04,2)</f>
        <v/>
      </c>
      <c r="J101" s="242">
        <f>ROUND(I101*E101,2)</f>
        <v/>
      </c>
    </row>
    <row r="102" outlineLevel="1" ht="25.5" customFormat="1" customHeight="1" s="301">
      <c r="A102" s="345" t="n">
        <v>78</v>
      </c>
      <c r="B102" s="346" t="inlineStr">
        <is>
          <t>24.3.03.06-0041</t>
        </is>
      </c>
      <c r="C102" s="344" t="inlineStr">
        <is>
          <t>Трубы дренажные полиэтиленовые гофрированные, диаметр 50 мм, тип 1</t>
        </is>
      </c>
      <c r="D102" s="345" t="inlineStr">
        <is>
          <t>м</t>
        </is>
      </c>
      <c r="E102" s="240" t="n">
        <v>423</v>
      </c>
      <c r="F102" s="347" t="n">
        <v>10.65</v>
      </c>
      <c r="G102" s="242">
        <f>ROUND(F102*E102,2)</f>
        <v/>
      </c>
      <c r="H102" s="348">
        <f>G102/$G$152</f>
        <v/>
      </c>
      <c r="I102" s="242">
        <f>ROUND(F102*8.04,2)</f>
        <v/>
      </c>
      <c r="J102" s="242">
        <f>ROUND(I102*E102,2)</f>
        <v/>
      </c>
    </row>
    <row r="103" outlineLevel="1" ht="14.25" customFormat="1" customHeight="1" s="301">
      <c r="A103" s="345" t="n">
        <v>79</v>
      </c>
      <c r="B103" s="346" t="inlineStr">
        <is>
          <t>01.7.15.10-0041</t>
        </is>
      </c>
      <c r="C103" s="344" t="inlineStr">
        <is>
          <t>Скобы</t>
        </is>
      </c>
      <c r="D103" s="345" t="inlineStr">
        <is>
          <t>10 шт.</t>
        </is>
      </c>
      <c r="E103" s="240" t="n">
        <v>57.6</v>
      </c>
      <c r="F103" s="347" t="n">
        <v>64.8</v>
      </c>
      <c r="G103" s="242">
        <f>ROUND(F103*E103,2)</f>
        <v/>
      </c>
      <c r="H103" s="348">
        <f>G103/$G$152</f>
        <v/>
      </c>
      <c r="I103" s="242">
        <f>ROUND(F103*8.04,2)</f>
        <v/>
      </c>
      <c r="J103" s="242">
        <f>ROUND(I103*E103,2)</f>
        <v/>
      </c>
    </row>
    <row r="104" outlineLevel="1" ht="14.25" customFormat="1" customHeight="1" s="301">
      <c r="A104" s="345" t="n">
        <v>80</v>
      </c>
      <c r="B104" s="346" t="inlineStr">
        <is>
          <t>14.4.02.09-0001</t>
        </is>
      </c>
      <c r="C104" s="344" t="inlineStr">
        <is>
          <t>Краска</t>
        </is>
      </c>
      <c r="D104" s="345" t="inlineStr">
        <is>
          <t>кг</t>
        </is>
      </c>
      <c r="E104" s="240" t="n">
        <v>126.09</v>
      </c>
      <c r="F104" s="347" t="n">
        <v>28.6</v>
      </c>
      <c r="G104" s="242">
        <f>ROUND(F104*E104,2)</f>
        <v/>
      </c>
      <c r="H104" s="348">
        <f>G104/$G$152</f>
        <v/>
      </c>
      <c r="I104" s="242">
        <f>ROUND(F104*8.04,2)</f>
        <v/>
      </c>
      <c r="J104" s="242">
        <f>ROUND(I104*E104,2)</f>
        <v/>
      </c>
    </row>
    <row r="105" outlineLevel="1" ht="14.25" customFormat="1" customHeight="1" s="301">
      <c r="A105" s="345" t="n">
        <v>81</v>
      </c>
      <c r="B105" s="346" t="inlineStr">
        <is>
          <t>01.7.15.03-0042</t>
        </is>
      </c>
      <c r="C105" s="344" t="inlineStr">
        <is>
          <t>Болты с гайками и шайбами строительные</t>
        </is>
      </c>
      <c r="D105" s="345" t="inlineStr">
        <is>
          <t>кг</t>
        </is>
      </c>
      <c r="E105" s="240" t="n">
        <v>378.88125</v>
      </c>
      <c r="F105" s="347" t="n">
        <v>9.039999999999999</v>
      </c>
      <c r="G105" s="242">
        <f>ROUND(F105*E105,2)</f>
        <v/>
      </c>
      <c r="H105" s="348">
        <f>G105/$G$152</f>
        <v/>
      </c>
      <c r="I105" s="242">
        <f>ROUND(F105*8.04,2)</f>
        <v/>
      </c>
      <c r="J105" s="242">
        <f>ROUND(I105*E105,2)</f>
        <v/>
      </c>
    </row>
    <row r="106" outlineLevel="1" ht="14.25" customFormat="1" customHeight="1" s="301">
      <c r="A106" s="345" t="n">
        <v>82</v>
      </c>
      <c r="B106" s="346" t="inlineStr">
        <is>
          <t>01.7.17.11-0001</t>
        </is>
      </c>
      <c r="C106" s="344" t="inlineStr">
        <is>
          <t>Бумага шлифовальная</t>
        </is>
      </c>
      <c r="D106" s="345" t="inlineStr">
        <is>
          <t>кг</t>
        </is>
      </c>
      <c r="E106" s="240" t="n">
        <v>60</v>
      </c>
      <c r="F106" s="347" t="n">
        <v>50</v>
      </c>
      <c r="G106" s="242">
        <f>ROUND(F106*E106,2)</f>
        <v/>
      </c>
      <c r="H106" s="348">
        <f>G106/$G$152</f>
        <v/>
      </c>
      <c r="I106" s="242">
        <f>ROUND(F106*8.04,2)</f>
        <v/>
      </c>
      <c r="J106" s="242">
        <f>ROUND(I106*E106,2)</f>
        <v/>
      </c>
    </row>
    <row r="107" outlineLevel="1" ht="14.25" customFormat="1" customHeight="1" s="301">
      <c r="A107" s="345" t="n">
        <v>83</v>
      </c>
      <c r="B107" s="346" t="inlineStr">
        <is>
          <t>20.1.02.14-0002</t>
        </is>
      </c>
      <c r="C107" s="344" t="inlineStr">
        <is>
          <t>Серьга Ср-4,5 075</t>
        </is>
      </c>
      <c r="D107" s="345" t="inlineStr">
        <is>
          <t>шт.</t>
        </is>
      </c>
      <c r="E107" s="240" t="n">
        <v>258</v>
      </c>
      <c r="F107" s="347" t="n">
        <v>11.39</v>
      </c>
      <c r="G107" s="242">
        <f>ROUND(F107*E107,2)</f>
        <v/>
      </c>
      <c r="H107" s="348">
        <f>G107/$G$152</f>
        <v/>
      </c>
      <c r="I107" s="242">
        <f>ROUND(F107*8.04,2)</f>
        <v/>
      </c>
      <c r="J107" s="242">
        <f>ROUND(I107*E107,2)</f>
        <v/>
      </c>
    </row>
    <row r="108" outlineLevel="1" ht="25.5" customFormat="1" customHeight="1" s="301">
      <c r="A108" s="345" t="n">
        <v>84</v>
      </c>
      <c r="B108" s="346" t="inlineStr">
        <is>
          <t>01.7.11.07-0034</t>
        </is>
      </c>
      <c r="C108" s="344" t="inlineStr">
        <is>
          <t>Электроды сварочные Э42А, диаметр 4 мм</t>
        </is>
      </c>
      <c r="D108" s="345" t="inlineStr">
        <is>
          <t>кг</t>
        </is>
      </c>
      <c r="E108" s="240" t="n">
        <v>243.45945</v>
      </c>
      <c r="F108" s="347" t="n">
        <v>10.57</v>
      </c>
      <c r="G108" s="242">
        <f>ROUND(F108*E108,2)</f>
        <v/>
      </c>
      <c r="H108" s="348">
        <f>G108/$G$152</f>
        <v/>
      </c>
      <c r="I108" s="242">
        <f>ROUND(F108*8.04,2)</f>
        <v/>
      </c>
      <c r="J108" s="242">
        <f>ROUND(I108*E108,2)</f>
        <v/>
      </c>
    </row>
    <row r="109" outlineLevel="1" ht="25.5" customFormat="1" customHeight="1" s="301">
      <c r="A109" s="345" t="n">
        <v>85</v>
      </c>
      <c r="B109" s="346" t="inlineStr">
        <is>
          <t>21.2.03.05-0055</t>
        </is>
      </c>
      <c r="C109" s="344" t="inlineStr">
        <is>
          <t>Провод силовой установочный с медными жилами ПВ1 25-450</t>
        </is>
      </c>
      <c r="D109" s="345" t="inlineStr">
        <is>
          <t>1000 м</t>
        </is>
      </c>
      <c r="E109" s="240" t="n">
        <v>0.09945</v>
      </c>
      <c r="F109" s="347" t="n">
        <v>19363.45</v>
      </c>
      <c r="G109" s="242">
        <f>ROUND(F109*E109,2)</f>
        <v/>
      </c>
      <c r="H109" s="348">
        <f>G109/$G$152</f>
        <v/>
      </c>
      <c r="I109" s="242">
        <f>ROUND(F109*8.04,2)</f>
        <v/>
      </c>
      <c r="J109" s="242">
        <f>ROUND(I109*E109,2)</f>
        <v/>
      </c>
    </row>
    <row r="110" outlineLevel="1" ht="25.5" customFormat="1" customHeight="1" s="301">
      <c r="A110" s="345" t="n">
        <v>86</v>
      </c>
      <c r="B110" s="346" t="inlineStr">
        <is>
          <t>01.3.01.06-0050</t>
        </is>
      </c>
      <c r="C110" s="344" t="inlineStr">
        <is>
          <t>Смазка универсальная тугоплавкая УТ (консталин жировой)</t>
        </is>
      </c>
      <c r="D110" s="345" t="inlineStr">
        <is>
          <t>т</t>
        </is>
      </c>
      <c r="E110" s="240" t="n">
        <v>0.101025</v>
      </c>
      <c r="F110" s="347" t="n">
        <v>17500</v>
      </c>
      <c r="G110" s="242">
        <f>ROUND(F110*E110,2)</f>
        <v/>
      </c>
      <c r="H110" s="348">
        <f>G110/$G$152</f>
        <v/>
      </c>
      <c r="I110" s="242">
        <f>ROUND(F110*8.04,2)</f>
        <v/>
      </c>
      <c r="J110" s="242">
        <f>ROUND(I110*E110,2)</f>
        <v/>
      </c>
    </row>
    <row r="111" outlineLevel="1" ht="38.25" customFormat="1" customHeight="1" s="301">
      <c r="A111" s="345" t="n">
        <v>87</v>
      </c>
      <c r="B111" s="346" t="inlineStr">
        <is>
          <t>999-9950</t>
        </is>
      </c>
      <c r="C111" s="344" t="inlineStr">
        <is>
          <t>Вспомогательные ненормируемые материальные ресурсы (2% от оплаты труда рабочих)</t>
        </is>
      </c>
      <c r="D111" s="345" t="inlineStr">
        <is>
          <t>руб.</t>
        </is>
      </c>
      <c r="E111" s="240" t="n">
        <v>1715.310075</v>
      </c>
      <c r="F111" s="347" t="n">
        <v>1</v>
      </c>
      <c r="G111" s="242">
        <f>ROUND(F111*E111,2)</f>
        <v/>
      </c>
      <c r="H111" s="348">
        <f>G111/$G$152</f>
        <v/>
      </c>
      <c r="I111" s="242">
        <f>ROUND(F111*8.04,2)</f>
        <v/>
      </c>
      <c r="J111" s="242">
        <f>ROUND(I111*E111,2)</f>
        <v/>
      </c>
    </row>
    <row r="112" outlineLevel="1" ht="14.25" customFormat="1" customHeight="1" s="301">
      <c r="A112" s="345" t="n">
        <v>88</v>
      </c>
      <c r="B112" s="346" t="inlineStr">
        <is>
          <t>01.4.01.06-0014</t>
        </is>
      </c>
      <c r="C112" s="344" t="inlineStr">
        <is>
          <t>Коронки буровые типа К-100В</t>
        </is>
      </c>
      <c r="D112" s="345" t="inlineStr">
        <is>
          <t>шт.</t>
        </is>
      </c>
      <c r="E112" s="240" t="n">
        <v>8.499750000000001</v>
      </c>
      <c r="F112" s="347" t="n">
        <v>176.51</v>
      </c>
      <c r="G112" s="242">
        <f>ROUND(F112*E112,2)</f>
        <v/>
      </c>
      <c r="H112" s="348">
        <f>G112/$G$152</f>
        <v/>
      </c>
      <c r="I112" s="242">
        <f>ROUND(F112*8.04,2)</f>
        <v/>
      </c>
      <c r="J112" s="242">
        <f>ROUND(I112*E112,2)</f>
        <v/>
      </c>
    </row>
    <row r="113" outlineLevel="1" ht="25.5" customFormat="1" customHeight="1" s="301">
      <c r="A113" s="345" t="n">
        <v>89</v>
      </c>
      <c r="B113" s="346" t="inlineStr">
        <is>
          <t>07.2.05.01-0032</t>
        </is>
      </c>
      <c r="C113" s="344" t="inlineStr">
        <is>
          <t>Ограждения лестничных проемов, лестничные марши, пожарные лестницы</t>
        </is>
      </c>
      <c r="D113" s="345" t="inlineStr">
        <is>
          <t>т</t>
        </is>
      </c>
      <c r="E113" s="240" t="n">
        <v>0.187254</v>
      </c>
      <c r="F113" s="347" t="n">
        <v>7571</v>
      </c>
      <c r="G113" s="242">
        <f>ROUND(F113*E113,2)</f>
        <v/>
      </c>
      <c r="H113" s="348">
        <f>G113/$G$152</f>
        <v/>
      </c>
      <c r="I113" s="242">
        <f>ROUND(F113*8.04,2)</f>
        <v/>
      </c>
      <c r="J113" s="242">
        <f>ROUND(I113*E113,2)</f>
        <v/>
      </c>
    </row>
    <row r="114" outlineLevel="1" ht="25.5" customFormat="1" customHeight="1" s="301">
      <c r="A114" s="345" t="n">
        <v>90</v>
      </c>
      <c r="B114" s="346" t="inlineStr">
        <is>
          <t>22.1.01.02-0002</t>
        </is>
      </c>
      <c r="C114" s="344" t="inlineStr">
        <is>
          <t>Щит распределительный навесной ЩРН-9, размер 250х300х120 мм</t>
        </is>
      </c>
      <c r="D114" s="345" t="inlineStr">
        <is>
          <t>шт</t>
        </is>
      </c>
      <c r="E114" s="240" t="n">
        <v>15</v>
      </c>
      <c r="F114" s="347" t="n">
        <v>85.45999999999999</v>
      </c>
      <c r="G114" s="242">
        <f>ROUND(F114*E114,2)</f>
        <v/>
      </c>
      <c r="H114" s="348">
        <f>G114/$G$152</f>
        <v/>
      </c>
      <c r="I114" s="242">
        <f>ROUND(F114*8.04,2)</f>
        <v/>
      </c>
      <c r="J114" s="242">
        <f>ROUND(I114*E114,2)</f>
        <v/>
      </c>
    </row>
    <row r="115" outlineLevel="1" ht="14.25" customFormat="1" customHeight="1" s="301">
      <c r="A115" s="345" t="n">
        <v>91</v>
      </c>
      <c r="B115" s="346" t="inlineStr">
        <is>
          <t>01.7.20.08-0031</t>
        </is>
      </c>
      <c r="C115" s="344" t="inlineStr">
        <is>
          <t>Бязь суровая</t>
        </is>
      </c>
      <c r="D115" s="345" t="inlineStr">
        <is>
          <t>10 м2</t>
        </is>
      </c>
      <c r="E115" s="240" t="n">
        <v>12.744</v>
      </c>
      <c r="F115" s="347" t="n">
        <v>79.09999999999999</v>
      </c>
      <c r="G115" s="242">
        <f>ROUND(F115*E115,2)</f>
        <v/>
      </c>
      <c r="H115" s="348">
        <f>G115/$G$152</f>
        <v/>
      </c>
      <c r="I115" s="242">
        <f>ROUND(F115*8.04,2)</f>
        <v/>
      </c>
      <c r="J115" s="242">
        <f>ROUND(I115*E115,2)</f>
        <v/>
      </c>
    </row>
    <row r="116" outlineLevel="1" ht="76.7" customFormat="1" customHeight="1" s="301">
      <c r="A116" s="345" t="n">
        <v>92</v>
      </c>
      <c r="B116" s="346" t="inlineStr">
        <is>
          <t>07.2.07.12-0003</t>
        </is>
      </c>
      <c r="C116" s="34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16" s="345" t="inlineStr">
        <is>
          <t>т</t>
        </is>
      </c>
      <c r="E116" s="240" t="n">
        <v>0.0867</v>
      </c>
      <c r="F116" s="347" t="n">
        <v>11255</v>
      </c>
      <c r="G116" s="242">
        <f>ROUND(F116*E116,2)</f>
        <v/>
      </c>
      <c r="H116" s="348">
        <f>G116/$G$152</f>
        <v/>
      </c>
      <c r="I116" s="242">
        <f>ROUND(F116*8.04,2)</f>
        <v/>
      </c>
      <c r="J116" s="242">
        <f>ROUND(I116*E116,2)</f>
        <v/>
      </c>
    </row>
    <row r="117" outlineLevel="1" ht="14.25" customFormat="1" customHeight="1" s="301">
      <c r="A117" s="345" t="n">
        <v>93</v>
      </c>
      <c r="B117" s="346" t="inlineStr">
        <is>
          <t>20.5.04.09-0001</t>
        </is>
      </c>
      <c r="C117" s="344" t="inlineStr">
        <is>
          <t>Сжимы ответвительные</t>
        </is>
      </c>
      <c r="D117" s="345" t="inlineStr">
        <is>
          <t>100 шт</t>
        </is>
      </c>
      <c r="E117" s="240" t="n">
        <v>1.6575</v>
      </c>
      <c r="F117" s="347" t="n">
        <v>528</v>
      </c>
      <c r="G117" s="242">
        <f>ROUND(F117*E117,2)</f>
        <v/>
      </c>
      <c r="H117" s="348">
        <f>G117/$G$152</f>
        <v/>
      </c>
      <c r="I117" s="242">
        <f>ROUND(F117*8.04,2)</f>
        <v/>
      </c>
      <c r="J117" s="242">
        <f>ROUND(I117*E117,2)</f>
        <v/>
      </c>
    </row>
    <row r="118" outlineLevel="1" ht="25.5" customFormat="1" customHeight="1" s="301">
      <c r="A118" s="345" t="n">
        <v>94</v>
      </c>
      <c r="B118" s="346" t="inlineStr">
        <is>
          <t>22.1.01.02-0003</t>
        </is>
      </c>
      <c r="C118" s="344" t="inlineStr">
        <is>
          <t>Щит распределительный навесной ЩРН-9, размер 250х350х120 мм</t>
        </is>
      </c>
      <c r="D118" s="345" t="inlineStr">
        <is>
          <t>шт</t>
        </is>
      </c>
      <c r="E118" s="240" t="n">
        <v>7.5</v>
      </c>
      <c r="F118" s="347" t="n">
        <v>92.25</v>
      </c>
      <c r="G118" s="242">
        <f>ROUND(F118*E118,2)</f>
        <v/>
      </c>
      <c r="H118" s="348">
        <f>G118/$G$152</f>
        <v/>
      </c>
      <c r="I118" s="242">
        <f>ROUND(F118*8.04,2)</f>
        <v/>
      </c>
      <c r="J118" s="242">
        <f>ROUND(I118*E118,2)</f>
        <v/>
      </c>
    </row>
    <row r="119" outlineLevel="1" ht="25.5" customFormat="1" customHeight="1" s="301">
      <c r="A119" s="345" t="n">
        <v>95</v>
      </c>
      <c r="B119" s="346" t="inlineStr">
        <is>
          <t>14.4.02.04-0142</t>
        </is>
      </c>
      <c r="C119" s="344" t="inlineStr">
        <is>
          <t>Краска масляная земляная МА-0115, мумия, сурик железный</t>
        </is>
      </c>
      <c r="D119" s="345" t="inlineStr">
        <is>
          <t>кг</t>
        </is>
      </c>
      <c r="E119" s="240" t="n">
        <v>28.875</v>
      </c>
      <c r="F119" s="347" t="n">
        <v>15.12</v>
      </c>
      <c r="G119" s="242">
        <f>ROUND(F119*E119,2)</f>
        <v/>
      </c>
      <c r="H119" s="348">
        <f>G119/$G$152</f>
        <v/>
      </c>
      <c r="I119" s="242">
        <f>ROUND(F119*8.04,2)</f>
        <v/>
      </c>
      <c r="J119" s="242">
        <f>ROUND(I119*E119,2)</f>
        <v/>
      </c>
    </row>
    <row r="120" outlineLevel="1" ht="14.25" customFormat="1" customHeight="1" s="301">
      <c r="A120" s="345" t="n">
        <v>96</v>
      </c>
      <c r="B120" s="346" t="inlineStr">
        <is>
          <t>22.2.01.05-0051</t>
        </is>
      </c>
      <c r="C120" s="344" t="inlineStr">
        <is>
          <t>Изолятор опорный ИОР-10-375 УХЛ</t>
        </is>
      </c>
      <c r="D120" s="345" t="inlineStr">
        <is>
          <t>шт</t>
        </is>
      </c>
      <c r="E120" s="240" t="n">
        <v>9</v>
      </c>
      <c r="F120" s="347" t="n">
        <v>41.1</v>
      </c>
      <c r="G120" s="242">
        <f>ROUND(F120*E120,2)</f>
        <v/>
      </c>
      <c r="H120" s="348">
        <f>G120/$G$152</f>
        <v/>
      </c>
      <c r="I120" s="242">
        <f>ROUND(F120*8.04,2)</f>
        <v/>
      </c>
      <c r="J120" s="242">
        <f>ROUND(I120*E120,2)</f>
        <v/>
      </c>
    </row>
    <row r="121" outlineLevel="1" ht="14.25" customFormat="1" customHeight="1" s="301">
      <c r="A121" s="345" t="n">
        <v>97</v>
      </c>
      <c r="B121" s="346" t="inlineStr">
        <is>
          <t>01.7.15.06-0111</t>
        </is>
      </c>
      <c r="C121" s="344" t="inlineStr">
        <is>
          <t>Гвозди строительные</t>
        </is>
      </c>
      <c r="D121" s="345" t="inlineStr">
        <is>
          <t>т</t>
        </is>
      </c>
      <c r="E121" s="240" t="n">
        <v>0.028875</v>
      </c>
      <c r="F121" s="347" t="n">
        <v>11978</v>
      </c>
      <c r="G121" s="242">
        <f>ROUND(F121*E121,2)</f>
        <v/>
      </c>
      <c r="H121" s="348">
        <f>G121/$G$152</f>
        <v/>
      </c>
      <c r="I121" s="242">
        <f>ROUND(F121*8.04,2)</f>
        <v/>
      </c>
      <c r="J121" s="242">
        <f>ROUND(I121*E121,2)</f>
        <v/>
      </c>
    </row>
    <row r="122" outlineLevel="1" ht="14.25" customFormat="1" customHeight="1" s="301">
      <c r="A122" s="345" t="n">
        <v>98</v>
      </c>
      <c r="B122" s="346" t="inlineStr">
        <is>
          <t>24.3.05.07-0002</t>
        </is>
      </c>
      <c r="C122" s="344" t="inlineStr">
        <is>
          <t>Муфта</t>
        </is>
      </c>
      <c r="D122" s="345" t="inlineStr">
        <is>
          <t>шт</t>
        </is>
      </c>
      <c r="E122" s="240" t="n">
        <v>57.75</v>
      </c>
      <c r="F122" s="347" t="n">
        <v>5.96</v>
      </c>
      <c r="G122" s="242">
        <f>ROUND(F122*E122,2)</f>
        <v/>
      </c>
      <c r="H122" s="348">
        <f>G122/$G$152</f>
        <v/>
      </c>
      <c r="I122" s="242">
        <f>ROUND(F122*8.04,2)</f>
        <v/>
      </c>
      <c r="J122" s="242">
        <f>ROUND(I122*E122,2)</f>
        <v/>
      </c>
    </row>
    <row r="123" outlineLevel="1" ht="14.25" customFormat="1" customHeight="1" s="301">
      <c r="A123" s="345" t="n">
        <v>99</v>
      </c>
      <c r="B123" s="346" t="inlineStr">
        <is>
          <t>01.7.15.07-0014</t>
        </is>
      </c>
      <c r="C123" s="344" t="inlineStr">
        <is>
          <t>Дюбели распорные полипропиленовые</t>
        </is>
      </c>
      <c r="D123" s="345" t="inlineStr">
        <is>
          <t>100 шт.</t>
        </is>
      </c>
      <c r="E123" s="240" t="n">
        <v>3.468</v>
      </c>
      <c r="F123" s="347" t="n">
        <v>86</v>
      </c>
      <c r="G123" s="242">
        <f>ROUND(F123*E123,2)</f>
        <v/>
      </c>
      <c r="H123" s="348">
        <f>G123/$G$152</f>
        <v/>
      </c>
      <c r="I123" s="242">
        <f>ROUND(F123*8.04,2)</f>
        <v/>
      </c>
      <c r="J123" s="242">
        <f>ROUND(I123*E123,2)</f>
        <v/>
      </c>
    </row>
    <row r="124" outlineLevel="1" ht="38.25" customFormat="1" customHeight="1" s="301">
      <c r="A124" s="345" t="n">
        <v>100</v>
      </c>
      <c r="B124" s="346" t="inlineStr">
        <is>
          <t>08.3.05.02-0101</t>
        </is>
      </c>
      <c r="C124" s="344" t="inlineStr">
        <is>
          <t>Прокат толстолистовой горячекатаный в листах, марка стали ВСт3пс5, толщина 4-6 мм</t>
        </is>
      </c>
      <c r="D124" s="345" t="inlineStr">
        <is>
          <t>т</t>
        </is>
      </c>
      <c r="E124" s="240" t="n">
        <v>0.039</v>
      </c>
      <c r="F124" s="347" t="n">
        <v>5763</v>
      </c>
      <c r="G124" s="242">
        <f>ROUND(F124*E124,2)</f>
        <v/>
      </c>
      <c r="H124" s="348">
        <f>G124/$G$152</f>
        <v/>
      </c>
      <c r="I124" s="242">
        <f>ROUND(F124*8.04,2)</f>
        <v/>
      </c>
      <c r="J124" s="242">
        <f>ROUND(I124*E124,2)</f>
        <v/>
      </c>
    </row>
    <row r="125" outlineLevel="1" ht="38.25" customFormat="1" customHeight="1" s="301">
      <c r="A125" s="345" t="n">
        <v>101</v>
      </c>
      <c r="B125" s="346" t="inlineStr">
        <is>
          <t>10.2.02.07-0109</t>
        </is>
      </c>
      <c r="C125" s="344" t="inlineStr">
        <is>
          <t>Проволока латунная, круглая, твердая, нормальной точности, марка Л68, диаметр 0,50 мм</t>
        </is>
      </c>
      <c r="D125" s="345" t="inlineStr">
        <is>
          <t>т</t>
        </is>
      </c>
      <c r="E125" s="240" t="n">
        <v>0.0024</v>
      </c>
      <c r="F125" s="347" t="n">
        <v>62000</v>
      </c>
      <c r="G125" s="242">
        <f>ROUND(F125*E125,2)</f>
        <v/>
      </c>
      <c r="H125" s="348">
        <f>G125/$G$152</f>
        <v/>
      </c>
      <c r="I125" s="242">
        <f>ROUND(F125*8.04,2)</f>
        <v/>
      </c>
      <c r="J125" s="242">
        <f>ROUND(I125*E125,2)</f>
        <v/>
      </c>
    </row>
    <row r="126" outlineLevel="1" ht="14.25" customFormat="1" customHeight="1" s="301">
      <c r="A126" s="345" t="n">
        <v>102</v>
      </c>
      <c r="B126" s="346" t="inlineStr">
        <is>
          <t>01.7.11.07-0035</t>
        </is>
      </c>
      <c r="C126" s="344" t="inlineStr">
        <is>
          <t>Электроды диаметром 4 мм Э46</t>
        </is>
      </c>
      <c r="D126" s="345" t="inlineStr">
        <is>
          <t>т</t>
        </is>
      </c>
      <c r="E126" s="240" t="n">
        <v>0.01035</v>
      </c>
      <c r="F126" s="347" t="n">
        <v>10749</v>
      </c>
      <c r="G126" s="242">
        <f>ROUND(F126*E126,2)</f>
        <v/>
      </c>
      <c r="H126" s="348">
        <f>G126/$G$152</f>
        <v/>
      </c>
      <c r="I126" s="242">
        <f>ROUND(F126*8.04,2)</f>
        <v/>
      </c>
      <c r="J126" s="242">
        <f>ROUND(I126*E126,2)</f>
        <v/>
      </c>
    </row>
    <row r="127" outlineLevel="1" ht="38.25" customFormat="1" customHeight="1" s="301">
      <c r="A127" s="345" t="n">
        <v>103</v>
      </c>
      <c r="B127" s="346" t="inlineStr">
        <is>
          <t>11.1.03.06-0022</t>
        </is>
      </c>
      <c r="C127" s="344" t="inlineStr">
        <is>
          <t>Доски обрезные (береза, липа) длиной: 4-6,5 м, все ширины, толщиной 19-22 мм, III сорта</t>
        </is>
      </c>
      <c r="D127" s="345" t="inlineStr">
        <is>
          <t>м3</t>
        </is>
      </c>
      <c r="E127" s="240" t="n">
        <v>0.096</v>
      </c>
      <c r="F127" s="347" t="n">
        <v>1057.61</v>
      </c>
      <c r="G127" s="242">
        <f>ROUND(F127*E127,2)</f>
        <v/>
      </c>
      <c r="H127" s="348">
        <f>G127/$G$152</f>
        <v/>
      </c>
      <c r="I127" s="242">
        <f>ROUND(F127*8.04,2)</f>
        <v/>
      </c>
      <c r="J127" s="242">
        <f>ROUND(I127*E127,2)</f>
        <v/>
      </c>
    </row>
    <row r="128" outlineLevel="1" ht="14.25" customFormat="1" customHeight="1" s="301">
      <c r="A128" s="345" t="n">
        <v>104</v>
      </c>
      <c r="B128" s="346" t="inlineStr">
        <is>
          <t>01.3.02.08-0001</t>
        </is>
      </c>
      <c r="C128" s="344" t="inlineStr">
        <is>
          <t>Кислород газообразный технический</t>
        </is>
      </c>
      <c r="D128" s="345" t="inlineStr">
        <is>
          <t>м3</t>
        </is>
      </c>
      <c r="E128" s="240" t="n">
        <v>8.34285</v>
      </c>
      <c r="F128" s="347" t="n">
        <v>6.22</v>
      </c>
      <c r="G128" s="242">
        <f>ROUND(F128*E128,2)</f>
        <v/>
      </c>
      <c r="H128" s="348">
        <f>G128/$G$152</f>
        <v/>
      </c>
      <c r="I128" s="242">
        <f>ROUND(F128*8.04,2)</f>
        <v/>
      </c>
      <c r="J128" s="242">
        <f>ROUND(I128*E128,2)</f>
        <v/>
      </c>
    </row>
    <row r="129" outlineLevel="1" ht="14.25" customFormat="1" customHeight="1" s="301">
      <c r="A129" s="345" t="n">
        <v>105</v>
      </c>
      <c r="B129" s="346" t="inlineStr">
        <is>
          <t>01.3.02.09-0022</t>
        </is>
      </c>
      <c r="C129" s="344" t="inlineStr">
        <is>
          <t>Пропан-бутан, смесь техническая</t>
        </is>
      </c>
      <c r="D129" s="345" t="inlineStr">
        <is>
          <t>кг</t>
        </is>
      </c>
      <c r="E129" s="240" t="n">
        <v>7.06005</v>
      </c>
      <c r="F129" s="347" t="n">
        <v>6.09</v>
      </c>
      <c r="G129" s="242">
        <f>ROUND(F129*E129,2)</f>
        <v/>
      </c>
      <c r="H129" s="348">
        <f>G129/$G$152</f>
        <v/>
      </c>
      <c r="I129" s="242">
        <f>ROUND(F129*8.04,2)</f>
        <v/>
      </c>
      <c r="J129" s="242">
        <f>ROUND(I129*E129,2)</f>
        <v/>
      </c>
    </row>
    <row r="130" outlineLevel="1" ht="25.5" customFormat="1" customHeight="1" s="301">
      <c r="A130" s="345" t="n">
        <v>106</v>
      </c>
      <c r="B130" s="346" t="inlineStr">
        <is>
          <t>01.7.15.06-0121</t>
        </is>
      </c>
      <c r="C130" s="344" t="inlineStr">
        <is>
          <t>Гвозди строительные с плоской головкой, размер 1,6х50 мм</t>
        </is>
      </c>
      <c r="D130" s="345" t="inlineStr">
        <is>
          <t>т</t>
        </is>
      </c>
      <c r="E130" s="240" t="n">
        <v>0.0039</v>
      </c>
      <c r="F130" s="347" t="n">
        <v>8475</v>
      </c>
      <c r="G130" s="242">
        <f>ROUND(F130*E130,2)</f>
        <v/>
      </c>
      <c r="H130" s="348">
        <f>G130/$G$152</f>
        <v/>
      </c>
      <c r="I130" s="242">
        <f>ROUND(F130*8.04,2)</f>
        <v/>
      </c>
      <c r="J130" s="242">
        <f>ROUND(I130*E130,2)</f>
        <v/>
      </c>
    </row>
    <row r="131" outlineLevel="1" ht="14.25" customFormat="1" customHeight="1" s="301">
      <c r="A131" s="345" t="n">
        <v>107</v>
      </c>
      <c r="B131" s="346" t="inlineStr">
        <is>
          <t>08.3.11.01-0091</t>
        </is>
      </c>
      <c r="C131" s="344" t="inlineStr">
        <is>
          <t>Швеллеры № 40, марка стали Ст0</t>
        </is>
      </c>
      <c r="D131" s="345" t="inlineStr">
        <is>
          <t>т</t>
        </is>
      </c>
      <c r="E131" s="240" t="n">
        <v>0.005025</v>
      </c>
      <c r="F131" s="347" t="n">
        <v>4920</v>
      </c>
      <c r="G131" s="242">
        <f>ROUND(F131*E131,2)</f>
        <v/>
      </c>
      <c r="H131" s="348">
        <f>G131/$G$152</f>
        <v/>
      </c>
      <c r="I131" s="242">
        <f>ROUND(F131*8.04,2)</f>
        <v/>
      </c>
      <c r="J131" s="242">
        <f>ROUND(I131*E131,2)</f>
        <v/>
      </c>
    </row>
    <row r="132" outlineLevel="1" ht="14.25" customFormat="1" customHeight="1" s="301">
      <c r="A132" s="345" t="n">
        <v>108</v>
      </c>
      <c r="B132" s="346" t="inlineStr">
        <is>
          <t>14.1.02.01-0002</t>
        </is>
      </c>
      <c r="C132" s="344" t="inlineStr">
        <is>
          <t>Клей БМК-5к</t>
        </is>
      </c>
      <c r="D132" s="345" t="inlineStr">
        <is>
          <t>кг</t>
        </is>
      </c>
      <c r="E132" s="240" t="n">
        <v>0.846</v>
      </c>
      <c r="F132" s="347" t="n">
        <v>25.8</v>
      </c>
      <c r="G132" s="242">
        <f>ROUND(F132*E132,2)</f>
        <v/>
      </c>
      <c r="H132" s="348">
        <f>G132/$G$152</f>
        <v/>
      </c>
      <c r="I132" s="242">
        <f>ROUND(F132*8.04,2)</f>
        <v/>
      </c>
      <c r="J132" s="242">
        <f>ROUND(I132*E132,2)</f>
        <v/>
      </c>
    </row>
    <row r="133" outlineLevel="1" ht="14.25" customFormat="1" customHeight="1" s="301">
      <c r="A133" s="345" t="n">
        <v>109</v>
      </c>
      <c r="B133" s="346" t="inlineStr">
        <is>
          <t>14.5.09.07-0029</t>
        </is>
      </c>
      <c r="C133" s="344" t="inlineStr">
        <is>
          <t>Растворитель марки Р-4</t>
        </is>
      </c>
      <c r="D133" s="345" t="inlineStr">
        <is>
          <t>т</t>
        </is>
      </c>
      <c r="E133" s="240" t="n">
        <v>0.0015</v>
      </c>
      <c r="F133" s="347" t="n">
        <v>9420</v>
      </c>
      <c r="G133" s="242">
        <f>ROUND(F133*E133,2)</f>
        <v/>
      </c>
      <c r="H133" s="348">
        <f>G133/$G$152</f>
        <v/>
      </c>
      <c r="I133" s="242">
        <f>ROUND(F133*8.04,2)</f>
        <v/>
      </c>
      <c r="J133" s="242">
        <f>ROUND(I133*E133,2)</f>
        <v/>
      </c>
    </row>
    <row r="134" outlineLevel="1" ht="14.25" customFormat="1" customHeight="1" s="301">
      <c r="A134" s="345" t="n">
        <v>110</v>
      </c>
      <c r="B134" s="346" t="inlineStr">
        <is>
          <t>14.4.01.01-0003</t>
        </is>
      </c>
      <c r="C134" s="344" t="inlineStr">
        <is>
          <t>Грунтовка ГФ-021</t>
        </is>
      </c>
      <c r="D134" s="345" t="inlineStr">
        <is>
          <t>т</t>
        </is>
      </c>
      <c r="E134" s="240" t="n">
        <v>0.000825</v>
      </c>
      <c r="F134" s="347" t="n">
        <v>15620</v>
      </c>
      <c r="G134" s="242">
        <f>ROUND(F134*E134,2)</f>
        <v/>
      </c>
      <c r="H134" s="348">
        <f>G134/$G$152</f>
        <v/>
      </c>
      <c r="I134" s="242">
        <f>ROUND(F134*8.04,2)</f>
        <v/>
      </c>
      <c r="J134" s="242">
        <f>ROUND(I134*E134,2)</f>
        <v/>
      </c>
    </row>
    <row r="135" outlineLevel="1" ht="14.25" customFormat="1" customHeight="1" s="301">
      <c r="A135" s="345" t="n">
        <v>111</v>
      </c>
      <c r="B135" s="346" t="inlineStr">
        <is>
          <t>01.7.20.08-0071</t>
        </is>
      </c>
      <c r="C135" s="344" t="inlineStr">
        <is>
          <t>Канат пеньковый пропитанный</t>
        </is>
      </c>
      <c r="D135" s="345" t="inlineStr">
        <is>
          <t>т</t>
        </is>
      </c>
      <c r="E135" s="240" t="n">
        <v>0.000225</v>
      </c>
      <c r="F135" s="347" t="n">
        <v>37900</v>
      </c>
      <c r="G135" s="242">
        <f>ROUND(F135*E135,2)</f>
        <v/>
      </c>
      <c r="H135" s="348">
        <f>G135/$G$152</f>
        <v/>
      </c>
      <c r="I135" s="242">
        <f>ROUND(F135*8.04,2)</f>
        <v/>
      </c>
      <c r="J135" s="242">
        <f>ROUND(I135*E135,2)</f>
        <v/>
      </c>
    </row>
    <row r="136" outlineLevel="1" ht="51" customFormat="1" customHeight="1" s="301">
      <c r="A136" s="345" t="n">
        <v>112</v>
      </c>
      <c r="B136" s="346" t="inlineStr">
        <is>
          <t>01.7.15.14-0043</t>
        </is>
      </c>
      <c r="C136" s="344" t="inlineStr">
        <is>
          <t>Шурупы самонарезающий прокалывающий, для крепления металлических профилей или листовых деталей 3,5/11 мм</t>
        </is>
      </c>
      <c r="D136" s="345" t="inlineStr">
        <is>
          <t>100 шт</t>
        </is>
      </c>
      <c r="E136" s="240" t="n">
        <v>3.468</v>
      </c>
      <c r="F136" s="347" t="n">
        <v>2</v>
      </c>
      <c r="G136" s="242">
        <f>ROUND(F136*E136,2)</f>
        <v/>
      </c>
      <c r="H136" s="348">
        <f>G136/$G$152</f>
        <v/>
      </c>
      <c r="I136" s="242">
        <f>ROUND(F136*8.04,2)</f>
        <v/>
      </c>
      <c r="J136" s="242">
        <f>ROUND(I136*E136,2)</f>
        <v/>
      </c>
    </row>
    <row r="137" outlineLevel="1" ht="14.25" customFormat="1" customHeight="1" s="301">
      <c r="A137" s="345" t="n">
        <v>113</v>
      </c>
      <c r="B137" s="346" t="inlineStr">
        <is>
          <t>01.7.15.07-0031</t>
        </is>
      </c>
      <c r="C137" s="344" t="inlineStr">
        <is>
          <t>Дюбели распорные с гайкой</t>
        </is>
      </c>
      <c r="D137" s="345" t="inlineStr">
        <is>
          <t>100 шт</t>
        </is>
      </c>
      <c r="E137" s="240" t="n">
        <v>0.0612</v>
      </c>
      <c r="F137" s="347" t="n">
        <v>110</v>
      </c>
      <c r="G137" s="242">
        <f>ROUND(F137*E137,2)</f>
        <v/>
      </c>
      <c r="H137" s="348">
        <f>G137/$G$152</f>
        <v/>
      </c>
      <c r="I137" s="242">
        <f>ROUND(F137*8.04,2)</f>
        <v/>
      </c>
      <c r="J137" s="242">
        <f>ROUND(I137*E137,2)</f>
        <v/>
      </c>
    </row>
    <row r="138" outlineLevel="1" ht="38.25" customFormat="1" customHeight="1" s="301">
      <c r="A138" s="345" t="n">
        <v>114</v>
      </c>
      <c r="B138" s="346" t="inlineStr">
        <is>
          <t>03.2.01.01-0003</t>
        </is>
      </c>
      <c r="C138" s="344" t="inlineStr">
        <is>
          <t>Портландцемент общестроительного назначения бездобавочный М500 Д0 (ЦЕМ I 42,5Н)</t>
        </is>
      </c>
      <c r="D138" s="345" t="inlineStr">
        <is>
          <t>т</t>
        </is>
      </c>
      <c r="E138" s="240" t="n">
        <v>0.0138</v>
      </c>
      <c r="F138" s="347" t="n">
        <v>480</v>
      </c>
      <c r="G138" s="242">
        <f>ROUND(F138*E138,2)</f>
        <v/>
      </c>
      <c r="H138" s="348">
        <f>G138/$G$152</f>
        <v/>
      </c>
      <c r="I138" s="242">
        <f>ROUND(F138*8.04,2)</f>
        <v/>
      </c>
      <c r="J138" s="242">
        <f>ROUND(I138*E138,2)</f>
        <v/>
      </c>
    </row>
    <row r="139" outlineLevel="1" ht="25.5" customFormat="1" customHeight="1" s="301">
      <c r="A139" s="345" t="n">
        <v>115</v>
      </c>
      <c r="B139" s="346" t="inlineStr">
        <is>
          <t>10.3.02.03-0011</t>
        </is>
      </c>
      <c r="C139" s="344" t="inlineStr">
        <is>
          <t>Припои оловянно-свинцовые бессурьмянистые, марка ПОС30</t>
        </is>
      </c>
      <c r="D139" s="345" t="inlineStr">
        <is>
          <t>т</t>
        </is>
      </c>
      <c r="E139" s="240" t="n">
        <v>7.575e-05</v>
      </c>
      <c r="F139" s="347" t="n">
        <v>68050</v>
      </c>
      <c r="G139" s="242">
        <f>ROUND(F139*E139,2)</f>
        <v/>
      </c>
      <c r="H139" s="348">
        <f>G139/$G$152</f>
        <v/>
      </c>
      <c r="I139" s="242">
        <f>ROUND(F139*8.04,2)</f>
        <v/>
      </c>
      <c r="J139" s="242">
        <f>ROUND(I139*E139,2)</f>
        <v/>
      </c>
    </row>
    <row r="140" outlineLevel="1" ht="38.25" customFormat="1" customHeight="1" s="301">
      <c r="A140" s="345" t="n">
        <v>116</v>
      </c>
      <c r="B140" s="346" t="inlineStr">
        <is>
          <t>11.1.03.01-0077</t>
        </is>
      </c>
      <c r="C140" s="344" t="inlineStr">
        <is>
          <t>Бруски обрезные, хвойных пород, длина 4-6,5 м, ширина 75-150 мм, толщина 40-75 мм, сорт I</t>
        </is>
      </c>
      <c r="D140" s="345" t="inlineStr">
        <is>
          <t>м3</t>
        </is>
      </c>
      <c r="E140" s="240" t="n">
        <v>0.002625</v>
      </c>
      <c r="F140" s="347" t="n">
        <v>1700</v>
      </c>
      <c r="G140" s="242">
        <f>ROUND(F140*E140,2)</f>
        <v/>
      </c>
      <c r="H140" s="348">
        <f>G140/$G$152</f>
        <v/>
      </c>
      <c r="I140" s="242">
        <f>ROUND(F140*8.04,2)</f>
        <v/>
      </c>
      <c r="J140" s="242">
        <f>ROUND(I140*E140,2)</f>
        <v/>
      </c>
    </row>
    <row r="141" outlineLevel="1" ht="25.5" customFormat="1" customHeight="1" s="301">
      <c r="A141" s="345" t="n">
        <v>117</v>
      </c>
      <c r="B141" s="346" t="inlineStr">
        <is>
          <t>01.7.07.12-0021</t>
        </is>
      </c>
      <c r="C141" s="344" t="inlineStr">
        <is>
          <t>Пленка полиэтиленовая толщиной 0,2-0,5 мм</t>
        </is>
      </c>
      <c r="D141" s="345" t="inlineStr">
        <is>
          <t>т</t>
        </is>
      </c>
      <c r="E141" s="240" t="n">
        <v>0.00015</v>
      </c>
      <c r="F141" s="347" t="n">
        <v>23500</v>
      </c>
      <c r="G141" s="242">
        <f>ROUND(F141*E141,2)</f>
        <v/>
      </c>
      <c r="H141" s="348">
        <f>G141/$G$152</f>
        <v/>
      </c>
      <c r="I141" s="242">
        <f>ROUND(F141*8.04,2)</f>
        <v/>
      </c>
      <c r="J141" s="242">
        <f>ROUND(I141*E141,2)</f>
        <v/>
      </c>
    </row>
    <row r="142" outlineLevel="1" ht="51" customFormat="1" customHeight="1" s="301">
      <c r="A142" s="345" t="n">
        <v>118</v>
      </c>
      <c r="B142" s="346" t="inlineStr">
        <is>
          <t>08.2.02.11-0007</t>
        </is>
      </c>
      <c r="C142" s="34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2" s="345" t="inlineStr">
        <is>
          <t>10 м</t>
        </is>
      </c>
      <c r="E142" s="240" t="n">
        <v>0.048375</v>
      </c>
      <c r="F142" s="347" t="n">
        <v>50.24</v>
      </c>
      <c r="G142" s="242">
        <f>ROUND(F142*E142,2)</f>
        <v/>
      </c>
      <c r="H142" s="348">
        <f>G142/$G$152</f>
        <v/>
      </c>
      <c r="I142" s="242">
        <f>ROUND(F142*8.04,2)</f>
        <v/>
      </c>
      <c r="J142" s="242">
        <f>ROUND(I142*E142,2)</f>
        <v/>
      </c>
    </row>
    <row r="143" outlineLevel="1" ht="14.25" customFormat="1" customHeight="1" s="301">
      <c r="A143" s="345" t="n">
        <v>119</v>
      </c>
      <c r="B143" s="346" t="inlineStr">
        <is>
          <t>14.4.03.03-0002</t>
        </is>
      </c>
      <c r="C143" s="344" t="inlineStr">
        <is>
          <t>Лак битумный БТ-123</t>
        </is>
      </c>
      <c r="D143" s="345" t="inlineStr">
        <is>
          <t>т</t>
        </is>
      </c>
      <c r="E143" s="240" t="n">
        <v>0.000225</v>
      </c>
      <c r="F143" s="347" t="n">
        <v>7826.9</v>
      </c>
      <c r="G143" s="242">
        <f>ROUND(F143*E143,2)</f>
        <v/>
      </c>
      <c r="H143" s="348">
        <f>G143/$G$152</f>
        <v/>
      </c>
      <c r="I143" s="242">
        <f>ROUND(F143*8.04,2)</f>
        <v/>
      </c>
      <c r="J143" s="242">
        <f>ROUND(I143*E143,2)</f>
        <v/>
      </c>
    </row>
    <row r="144" outlineLevel="1" ht="14.25" customFormat="1" customHeight="1" s="301">
      <c r="A144" s="345" t="n">
        <v>120</v>
      </c>
      <c r="B144" s="346" t="inlineStr">
        <is>
          <t>01.7.17.11-0003</t>
        </is>
      </c>
      <c r="C144" s="344" t="inlineStr">
        <is>
          <t>Бумага шлифовальная</t>
        </is>
      </c>
      <c r="D144" s="345" t="inlineStr">
        <is>
          <t>лист</t>
        </is>
      </c>
      <c r="E144" s="240" t="n">
        <v>0.3</v>
      </c>
      <c r="F144" s="347" t="n">
        <v>3.75</v>
      </c>
      <c r="G144" s="242">
        <f>ROUND(F144*E144,2)</f>
        <v/>
      </c>
      <c r="H144" s="348">
        <f>G144/$G$152</f>
        <v/>
      </c>
      <c r="I144" s="242">
        <f>ROUND(F144*8.04,2)</f>
        <v/>
      </c>
      <c r="J144" s="242">
        <f>ROUND(I144*E144,2)</f>
        <v/>
      </c>
    </row>
    <row r="145" outlineLevel="1" ht="14.25" customFormat="1" customHeight="1" s="301">
      <c r="A145" s="345" t="n">
        <v>121</v>
      </c>
      <c r="B145" s="346" t="inlineStr">
        <is>
          <t>01.7.06.07-0001</t>
        </is>
      </c>
      <c r="C145" s="344" t="inlineStr">
        <is>
          <t>Лента К226</t>
        </is>
      </c>
      <c r="D145" s="345" t="inlineStr">
        <is>
          <t>100 м</t>
        </is>
      </c>
      <c r="E145" s="240" t="n">
        <v>0.0072</v>
      </c>
      <c r="F145" s="347" t="n">
        <v>120</v>
      </c>
      <c r="G145" s="242">
        <f>ROUND(F145*E145,2)</f>
        <v/>
      </c>
      <c r="H145" s="348">
        <f>G145/$G$152</f>
        <v/>
      </c>
      <c r="I145" s="242">
        <f>ROUND(F145*8.04,2)</f>
        <v/>
      </c>
      <c r="J145" s="242">
        <f>ROUND(I145*E145,2)</f>
        <v/>
      </c>
    </row>
    <row r="146" outlineLevel="1" ht="25.5" customFormat="1" customHeight="1" s="301">
      <c r="A146" s="345" t="n">
        <v>122</v>
      </c>
      <c r="B146" s="346" t="inlineStr">
        <is>
          <t>01.3.01.07-0009</t>
        </is>
      </c>
      <c r="C146" s="344" t="inlineStr">
        <is>
          <t>Спирт этиловый ректификованный технический, сорт I</t>
        </is>
      </c>
      <c r="D146" s="345" t="inlineStr">
        <is>
          <t>кг</t>
        </is>
      </c>
      <c r="E146" s="240" t="n">
        <v>0.0192</v>
      </c>
      <c r="F146" s="347" t="n">
        <v>38.89</v>
      </c>
      <c r="G146" s="242">
        <f>ROUND(F146*E146,2)</f>
        <v/>
      </c>
      <c r="H146" s="348">
        <f>G146/$G$152</f>
        <v/>
      </c>
      <c r="I146" s="242">
        <f>ROUND(F146*8.04,2)</f>
        <v/>
      </c>
      <c r="J146" s="242">
        <f>ROUND(I146*E146,2)</f>
        <v/>
      </c>
    </row>
    <row r="147" outlineLevel="1" ht="25.5" customFormat="1" customHeight="1" s="301">
      <c r="A147" s="345" t="n">
        <v>123</v>
      </c>
      <c r="B147" s="346" t="inlineStr">
        <is>
          <t>02.2.05.04-1777</t>
        </is>
      </c>
      <c r="C147" s="344" t="inlineStr">
        <is>
          <t>Щебень М 800, фракция 20-40 мм, группа 2</t>
        </is>
      </c>
      <c r="D147" s="345" t="inlineStr">
        <is>
          <t>м3</t>
        </is>
      </c>
      <c r="E147" s="240" t="n">
        <v>0.0069</v>
      </c>
      <c r="F147" s="347" t="n">
        <v>108.4</v>
      </c>
      <c r="G147" s="242">
        <f>ROUND(F147*E147,2)</f>
        <v/>
      </c>
      <c r="H147" s="348">
        <f>G147/$G$152</f>
        <v/>
      </c>
      <c r="I147" s="242">
        <f>ROUND(F147*8.04,2)</f>
        <v/>
      </c>
      <c r="J147" s="242">
        <f>ROUND(I147*E147,2)</f>
        <v/>
      </c>
    </row>
    <row r="148" outlineLevel="1" ht="14.25" customFormat="1" customHeight="1" s="301">
      <c r="A148" s="345" t="n">
        <v>124</v>
      </c>
      <c r="B148" s="346" t="inlineStr">
        <is>
          <t>01.7.02.09-0002</t>
        </is>
      </c>
      <c r="C148" s="344" t="inlineStr">
        <is>
          <t>Шпагат бумажный</t>
        </is>
      </c>
      <c r="D148" s="345" t="inlineStr">
        <is>
          <t>кг</t>
        </is>
      </c>
      <c r="E148" s="240" t="n">
        <v>0.06</v>
      </c>
      <c r="F148" s="347" t="n">
        <v>11.5</v>
      </c>
      <c r="G148" s="242">
        <f>ROUND(F148*E148,2)</f>
        <v/>
      </c>
      <c r="H148" s="348">
        <f>G148/$G$152</f>
        <v/>
      </c>
      <c r="I148" s="242">
        <f>ROUND(F148*8.04,2)</f>
        <v/>
      </c>
      <c r="J148" s="242">
        <f>ROUND(I148*E148,2)</f>
        <v/>
      </c>
    </row>
    <row r="149" outlineLevel="1" ht="25.5" customFormat="1" customHeight="1" s="301">
      <c r="A149" s="345" t="n">
        <v>125</v>
      </c>
      <c r="B149" s="346" t="inlineStr">
        <is>
          <t>02.3.01.02-1012</t>
        </is>
      </c>
      <c r="C149" s="344" t="inlineStr">
        <is>
          <t>Песок природный II класс, средний, круглые сита</t>
        </is>
      </c>
      <c r="D149" s="345" t="inlineStr">
        <is>
          <t>м3</t>
        </is>
      </c>
      <c r="E149" s="240" t="n">
        <v>0.011475</v>
      </c>
      <c r="F149" s="347" t="n">
        <v>59.99</v>
      </c>
      <c r="G149" s="242">
        <f>ROUND(F149*E149,2)</f>
        <v/>
      </c>
      <c r="H149" s="348">
        <f>G149/$G$152</f>
        <v/>
      </c>
      <c r="I149" s="242">
        <f>ROUND(F149*8.04,2)</f>
        <v/>
      </c>
      <c r="J149" s="242">
        <f>ROUND(I149*E149,2)</f>
        <v/>
      </c>
    </row>
    <row r="150" outlineLevel="1" ht="25.5" customFormat="1" customHeight="1" s="301">
      <c r="A150" s="345" t="n">
        <v>126</v>
      </c>
      <c r="B150" s="346" t="inlineStr">
        <is>
          <t>08.3.03.06-0002</t>
        </is>
      </c>
      <c r="C150" s="344" t="inlineStr">
        <is>
          <t>Проволока горячекатаная в мотках, диаметр 6,3-6,5 мм</t>
        </is>
      </c>
      <c r="D150" s="345" t="inlineStr">
        <is>
          <t>т</t>
        </is>
      </c>
      <c r="E150" s="240" t="n">
        <v>7.499999999999999e-05</v>
      </c>
      <c r="F150" s="347" t="n">
        <v>4455.2</v>
      </c>
      <c r="G150" s="242">
        <f>ROUND(F150*E150,2)</f>
        <v/>
      </c>
      <c r="H150" s="348">
        <f>G150/$G$152</f>
        <v/>
      </c>
      <c r="I150" s="242">
        <f>ROUND(F150*8.04,2)</f>
        <v/>
      </c>
      <c r="J150" s="242">
        <f>ROUND(I150*E150,2)</f>
        <v/>
      </c>
    </row>
    <row r="151" ht="14.25" customFormat="1" customHeight="1" s="301">
      <c r="A151" s="345" t="n"/>
      <c r="B151" s="345" t="n"/>
      <c r="C151" s="344" t="inlineStr">
        <is>
          <t>Итого прочие материалы</t>
        </is>
      </c>
      <c r="D151" s="345" t="n"/>
      <c r="E151" s="346" t="n"/>
      <c r="F151" s="347" t="n"/>
      <c r="G151" s="242">
        <f>SUM(G74:G150)</f>
        <v/>
      </c>
      <c r="H151" s="348">
        <f>G151/G152</f>
        <v/>
      </c>
      <c r="I151" s="242" t="n"/>
      <c r="J151" s="242">
        <f>SUM(J74:J150)</f>
        <v/>
      </c>
    </row>
    <row r="152" ht="14.25" customFormat="1" customHeight="1" s="301">
      <c r="A152" s="345" t="n"/>
      <c r="B152" s="345" t="n"/>
      <c r="C152" s="341" t="inlineStr">
        <is>
          <t>Итого по разделу «Материалы»</t>
        </is>
      </c>
      <c r="D152" s="345" t="n"/>
      <c r="E152" s="346" t="n"/>
      <c r="F152" s="347" t="n"/>
      <c r="G152" s="242">
        <f>G73+G151</f>
        <v/>
      </c>
      <c r="H152" s="348" t="n">
        <v>1</v>
      </c>
      <c r="I152" s="347" t="n"/>
      <c r="J152" s="242">
        <f>J73+J151</f>
        <v/>
      </c>
      <c r="K152" s="212" t="n"/>
    </row>
    <row r="153" ht="14.25" customFormat="1" customHeight="1" s="301">
      <c r="A153" s="345" t="n"/>
      <c r="B153" s="345" t="n"/>
      <c r="C153" s="344" t="inlineStr">
        <is>
          <t>ИТОГО ПО РМ</t>
        </is>
      </c>
      <c r="D153" s="345" t="n"/>
      <c r="E153" s="346" t="n"/>
      <c r="F153" s="347" t="n"/>
      <c r="G153" s="242">
        <f>G14+G55+G152</f>
        <v/>
      </c>
      <c r="H153" s="348" t="n"/>
      <c r="I153" s="347" t="n"/>
      <c r="J153" s="242">
        <f>J14+J55+J152</f>
        <v/>
      </c>
    </row>
    <row r="154" ht="15.75" customFormat="1" customHeight="1" s="301">
      <c r="A154" s="345" t="n"/>
      <c r="B154" s="345" t="n"/>
      <c r="C154" s="344" t="inlineStr">
        <is>
          <t>Накладные расходы</t>
        </is>
      </c>
      <c r="D154" s="18">
        <f>ROUND(G154/(G$16+$G$14),2)</f>
        <v/>
      </c>
      <c r="E154" s="346" t="n"/>
      <c r="F154" s="347" t="n"/>
      <c r="G154" s="242">
        <f>408687.99+514308.06+2162.76</f>
        <v/>
      </c>
      <c r="H154" s="348" t="n"/>
      <c r="I154" s="347" t="n"/>
      <c r="J154" s="242">
        <f>ROUND(107.11%*(J14+J16),2)</f>
        <v/>
      </c>
      <c r="K154" s="191" t="n"/>
    </row>
    <row r="155" ht="15.75" customFormat="1" customHeight="1" s="301">
      <c r="A155" s="345" t="n"/>
      <c r="B155" s="345" t="n"/>
      <c r="C155" s="344" t="inlineStr">
        <is>
          <t>Сметная прибыль</t>
        </is>
      </c>
      <c r="D155" s="18">
        <f>ROUND(G155/(G$16+$G$14),2)</f>
        <v/>
      </c>
      <c r="E155" s="346" t="n"/>
      <c r="F155" s="347" t="n"/>
      <c r="G155" s="242">
        <f>221734.97+288563.43+1403.49</f>
        <v/>
      </c>
      <c r="H155" s="348" t="n"/>
      <c r="I155" s="347" t="n"/>
      <c r="J155" s="242">
        <f>ROUND(59.22%*(J14+J16),2)</f>
        <v/>
      </c>
      <c r="K155" s="191" t="n"/>
    </row>
    <row r="156" ht="14.25" customFormat="1" customHeight="1" s="301">
      <c r="A156" s="345" t="n"/>
      <c r="B156" s="345" t="n"/>
      <c r="C156" s="344" t="inlineStr">
        <is>
          <t>Итого СМР (с НР и СП)</t>
        </is>
      </c>
      <c r="D156" s="345" t="n"/>
      <c r="E156" s="346" t="n"/>
      <c r="F156" s="347" t="n"/>
      <c r="G156" s="242">
        <f>G14+G55+G152+G154+G155</f>
        <v/>
      </c>
      <c r="H156" s="348" t="n"/>
      <c r="I156" s="347" t="n"/>
      <c r="J156" s="242">
        <f>J14+J55+J152+J154+J155</f>
        <v/>
      </c>
      <c r="L156" s="192" t="n"/>
    </row>
    <row r="157" ht="14.25" customFormat="1" customHeight="1" s="301">
      <c r="A157" s="345" t="n"/>
      <c r="B157" s="345" t="n"/>
      <c r="C157" s="344" t="inlineStr">
        <is>
          <t>ВСЕГО СМР + ОБОРУДОВАНИЕ</t>
        </is>
      </c>
      <c r="D157" s="345" t="n"/>
      <c r="E157" s="346" t="n"/>
      <c r="F157" s="347" t="n"/>
      <c r="G157" s="242">
        <f>G156+G65</f>
        <v/>
      </c>
      <c r="H157" s="348" t="n"/>
      <c r="I157" s="347" t="n"/>
      <c r="J157" s="242">
        <f>J156+J65</f>
        <v/>
      </c>
      <c r="K157" s="192" t="n"/>
      <c r="L157" s="191" t="n"/>
    </row>
    <row r="158" ht="14.25" customFormat="1" customHeight="1" s="301">
      <c r="A158" s="345" t="n"/>
      <c r="B158" s="345" t="n"/>
      <c r="C158" s="344" t="inlineStr">
        <is>
          <t>ИТОГО ПОКАЗАТЕЛЬ НА ЕД. ИЗМ.</t>
        </is>
      </c>
      <c r="D158" s="345" t="inlineStr">
        <is>
          <t>ед.</t>
        </is>
      </c>
      <c r="E158" s="293" t="n">
        <v>8</v>
      </c>
      <c r="F158" s="347" t="n"/>
      <c r="G158" s="242">
        <f>G157/E158</f>
        <v/>
      </c>
      <c r="H158" s="348" t="n"/>
      <c r="I158" s="347" t="n"/>
      <c r="J158" s="242">
        <f>J157/E158</f>
        <v/>
      </c>
      <c r="K158" s="192" t="n"/>
      <c r="L158" s="191" t="n"/>
    </row>
    <row r="160" ht="33" customHeight="1" s="284">
      <c r="B160" s="231" t="n"/>
      <c r="C160" s="352" t="n"/>
    </row>
    <row r="163" ht="14.25" customFormat="1" customHeight="1" s="301">
      <c r="A163" s="296" t="n"/>
    </row>
    <row r="164" ht="14.25" customFormat="1" customHeight="1" s="301">
      <c r="A164" s="298" t="inlineStr">
        <is>
          <t>Составил ______________________        Е.А. Князева</t>
        </is>
      </c>
    </row>
    <row r="165" ht="14.25" customFormat="1" customHeight="1" s="301">
      <c r="A165" s="300" t="inlineStr">
        <is>
          <t xml:space="preserve">                         (подпись, инициалы, фамилия)</t>
        </is>
      </c>
    </row>
    <row r="166" ht="14.25" customFormat="1" customHeight="1" s="301">
      <c r="A166" s="298" t="n"/>
    </row>
    <row r="167" ht="14.25" customFormat="1" customHeight="1" s="301">
      <c r="A167" s="298" t="inlineStr">
        <is>
          <t>Проверил ______________________        А.В. Костянецкая</t>
        </is>
      </c>
    </row>
    <row r="168" ht="14.25" customFormat="1" customHeight="1" s="301">
      <c r="A168" s="300" t="inlineStr">
        <is>
          <t xml:space="preserve">                        (подпись, инициалы, фамилия)</t>
        </is>
      </c>
    </row>
  </sheetData>
  <mergeCells count="22">
    <mergeCell ref="A5:J5"/>
    <mergeCell ref="H9:H10"/>
    <mergeCell ref="B67:J67"/>
    <mergeCell ref="B68:H68"/>
    <mergeCell ref="C160:J160"/>
    <mergeCell ref="B57:J57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56:J56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zoomScale="85" workbookViewId="0">
      <selection activeCell="D21" sqref="D21"/>
    </sheetView>
  </sheetViews>
  <sheetFormatPr baseColWidth="8" defaultRowHeight="15"/>
  <cols>
    <col width="5.7109375" customWidth="1" style="284" min="1" max="1"/>
    <col width="14.85546875" customWidth="1" style="284" min="2" max="2"/>
    <col width="39.140625" customWidth="1" style="284" min="3" max="3"/>
    <col width="8.28515625" customWidth="1" style="284" min="4" max="4"/>
    <col width="13.5703125" customWidth="1" style="284" min="5" max="5"/>
    <col width="12.42578125" customWidth="1" style="284" min="6" max="6"/>
    <col width="14.140625" customWidth="1" style="284" min="7" max="7"/>
  </cols>
  <sheetData>
    <row r="1">
      <c r="A1" s="369" t="inlineStr">
        <is>
          <t>Приложение №6</t>
        </is>
      </c>
    </row>
    <row r="2" ht="21.75" customHeight="1" s="284">
      <c r="A2" s="369" t="n"/>
      <c r="B2" s="369" t="n"/>
      <c r="C2" s="369" t="n"/>
      <c r="D2" s="369" t="n"/>
      <c r="E2" s="369" t="n"/>
      <c r="F2" s="369" t="n"/>
      <c r="G2" s="369" t="n"/>
    </row>
    <row r="3">
      <c r="A3" s="319" t="inlineStr">
        <is>
          <t>Расчет стоимости оборудования</t>
        </is>
      </c>
    </row>
    <row r="4" ht="25.5" customHeight="1" s="284">
      <c r="A4" s="322" t="inlineStr">
        <is>
          <t>Наименование разрабатываемого показателя УНЦ — Ячейка выключателя НУ 220 кВ 40 кА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.2" customHeight="1" s="284">
      <c r="A6" s="370" t="inlineStr">
        <is>
          <t>№ пп.</t>
        </is>
      </c>
      <c r="B6" s="370" t="inlineStr">
        <is>
          <t>Код ресурса</t>
        </is>
      </c>
      <c r="C6" s="370" t="inlineStr">
        <is>
          <t>Наименование</t>
        </is>
      </c>
      <c r="D6" s="370" t="inlineStr">
        <is>
          <t>Ед. изм.</t>
        </is>
      </c>
      <c r="E6" s="345" t="inlineStr">
        <is>
          <t>Кол-во единиц по проектным данным</t>
        </is>
      </c>
      <c r="F6" s="370" t="inlineStr">
        <is>
          <t>Сметная стоимость в ценах на 01.01.2000 (руб.)</t>
        </is>
      </c>
      <c r="G6" s="416" t="n"/>
    </row>
    <row r="7">
      <c r="A7" s="418" t="n"/>
      <c r="B7" s="418" t="n"/>
      <c r="C7" s="418" t="n"/>
      <c r="D7" s="418" t="n"/>
      <c r="E7" s="418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84">
      <c r="A9" s="207" t="n"/>
      <c r="B9" s="344" t="inlineStr">
        <is>
          <t>ИНЖЕНЕРНОЕ ОБОРУДОВАНИЕ</t>
        </is>
      </c>
      <c r="C9" s="415" t="n"/>
      <c r="D9" s="415" t="n"/>
      <c r="E9" s="415" t="n"/>
      <c r="F9" s="415" t="n"/>
      <c r="G9" s="416" t="n"/>
    </row>
    <row r="10" ht="27" customHeight="1" s="284">
      <c r="A10" s="257" t="n"/>
      <c r="B10" s="258" t="n"/>
      <c r="C10" s="366" t="inlineStr">
        <is>
          <t>ИТОГО ИНЖЕНЕРНОЕ ОБОРУДОВАНИЕ</t>
        </is>
      </c>
      <c r="D10" s="258" t="n"/>
      <c r="E10" s="260" t="n"/>
      <c r="F10" s="368" t="n"/>
      <c r="G10" s="368" t="n">
        <v>0</v>
      </c>
    </row>
    <row r="11">
      <c r="A11" s="257" t="n"/>
      <c r="B11" s="366" t="inlineStr">
        <is>
          <t>ТЕХНОЛОГИЧЕСКОЕ ОБОРУДОВАНИЕ</t>
        </is>
      </c>
      <c r="C11" s="415" t="n"/>
      <c r="D11" s="415" t="n"/>
      <c r="E11" s="415" t="n"/>
      <c r="F11" s="415" t="n"/>
      <c r="G11" s="416" t="n"/>
    </row>
    <row r="12" ht="25.5" customHeight="1" s="284">
      <c r="A12" s="257" t="n">
        <v>1</v>
      </c>
      <c r="B12" s="270">
        <f>'Прил.5 Расчет СМР и ОБ'!B58</f>
        <v/>
      </c>
      <c r="C12" s="270">
        <f>'Прил.5 Расчет СМР и ОБ'!C58</f>
        <v/>
      </c>
      <c r="D12" s="270">
        <f>'Прил.5 Расчет СМР и ОБ'!D58</f>
        <v/>
      </c>
      <c r="E12" s="270">
        <f>'Прил.5 Расчет СМР и ОБ'!E58</f>
        <v/>
      </c>
      <c r="F12" s="262">
        <f>'Прил.5 Расчет СМР и ОБ'!F58</f>
        <v/>
      </c>
      <c r="G12" s="262">
        <f>'Прил.5 Расчет СМР и ОБ'!G58</f>
        <v/>
      </c>
    </row>
    <row r="13">
      <c r="A13" s="257" t="n">
        <v>2</v>
      </c>
      <c r="B13" s="270">
        <f>'Прил.5 Расчет СМР и ОБ'!B59</f>
        <v/>
      </c>
      <c r="C13" s="270">
        <f>'Прил.5 Расчет СМР и ОБ'!C59</f>
        <v/>
      </c>
      <c r="D13" s="270">
        <f>'Прил.5 Расчет СМР и ОБ'!D59</f>
        <v/>
      </c>
      <c r="E13" s="270">
        <f>'Прил.5 Расчет СМР и ОБ'!E59</f>
        <v/>
      </c>
      <c r="F13" s="262">
        <f>'Прил.5 Расчет СМР и ОБ'!F59</f>
        <v/>
      </c>
      <c r="G13" s="262">
        <f>'Прил.5 Расчет СМР и ОБ'!G59</f>
        <v/>
      </c>
    </row>
    <row r="14" ht="38.25" customHeight="1" s="284">
      <c r="A14" s="257" t="n">
        <v>3</v>
      </c>
      <c r="B14" s="270">
        <f>'Прил.5 Расчет СМР и ОБ'!B61</f>
        <v/>
      </c>
      <c r="C14" s="270">
        <f>'Прил.5 Расчет СМР и ОБ'!C61</f>
        <v/>
      </c>
      <c r="D14" s="270">
        <f>'Прил.5 Расчет СМР и ОБ'!D61</f>
        <v/>
      </c>
      <c r="E14" s="270">
        <f>'Прил.5 Расчет СМР и ОБ'!E61</f>
        <v/>
      </c>
      <c r="F14" s="262">
        <f>'Прил.5 Расчет СМР и ОБ'!F61</f>
        <v/>
      </c>
      <c r="G14" s="262">
        <f>'Прил.5 Расчет СМР и ОБ'!G61</f>
        <v/>
      </c>
    </row>
    <row r="15">
      <c r="A15" s="257" t="n">
        <v>4</v>
      </c>
      <c r="B15" s="270">
        <f>'Прил.5 Расчет СМР и ОБ'!B62</f>
        <v/>
      </c>
      <c r="C15" s="270">
        <f>'Прил.5 Расчет СМР и ОБ'!C62</f>
        <v/>
      </c>
      <c r="D15" s="270">
        <f>'Прил.5 Расчет СМР и ОБ'!D62</f>
        <v/>
      </c>
      <c r="E15" s="270">
        <f>'Прил.5 Расчет СМР и ОБ'!E62</f>
        <v/>
      </c>
      <c r="F15" s="262">
        <f>'Прил.5 Расчет СМР и ОБ'!F62</f>
        <v/>
      </c>
      <c r="G15" s="262">
        <f>'Прил.5 Расчет СМР и ОБ'!G62</f>
        <v/>
      </c>
    </row>
    <row r="16">
      <c r="A16" s="257" t="n">
        <v>5</v>
      </c>
      <c r="B16" s="270">
        <f>'Прил.5 Расчет СМР и ОБ'!B63</f>
        <v/>
      </c>
      <c r="C16" s="270">
        <f>'Прил.5 Расчет СМР и ОБ'!C63</f>
        <v/>
      </c>
      <c r="D16" s="270">
        <f>'Прил.5 Расчет СМР и ОБ'!D63</f>
        <v/>
      </c>
      <c r="E16" s="270">
        <f>'Прил.5 Расчет СМР и ОБ'!E63</f>
        <v/>
      </c>
      <c r="F16" s="262">
        <f>'Прил.5 Расчет СМР и ОБ'!F63</f>
        <v/>
      </c>
      <c r="G16" s="262">
        <f>'Прил.5 Расчет СМР и ОБ'!G63</f>
        <v/>
      </c>
    </row>
    <row r="17" ht="25.5" customHeight="1" s="284">
      <c r="A17" s="345" t="n"/>
      <c r="B17" s="159" t="n"/>
      <c r="C17" s="159" t="inlineStr">
        <is>
          <t>ИТОГО ТЕХНОЛОГИЧЕСКОЕ ОБОРУДОВАНИЕ</t>
        </is>
      </c>
      <c r="D17" s="159" t="n"/>
      <c r="E17" s="160" t="n"/>
      <c r="F17" s="347" t="n"/>
      <c r="G17" s="242">
        <f>SUM(G12:G16)</f>
        <v/>
      </c>
    </row>
    <row r="18" ht="19.5" customHeight="1" s="284">
      <c r="A18" s="345" t="n"/>
      <c r="B18" s="344" t="n"/>
      <c r="C18" s="344" t="inlineStr">
        <is>
          <t>Всего по разделу «Оборудование»</t>
        </is>
      </c>
      <c r="D18" s="344" t="n"/>
      <c r="E18" s="244" t="n"/>
      <c r="F18" s="347" t="n"/>
      <c r="G18" s="242">
        <f>G10+G17</f>
        <v/>
      </c>
    </row>
    <row r="19">
      <c r="A19" s="296" t="n"/>
      <c r="B19" s="297" t="n"/>
      <c r="C19" s="296" t="n"/>
      <c r="D19" s="296" t="n"/>
      <c r="E19" s="296" t="n"/>
      <c r="F19" s="296" t="n"/>
      <c r="G19" s="296" t="n"/>
    </row>
    <row r="20">
      <c r="A20" s="298" t="inlineStr">
        <is>
          <t>Составил ______________________        Е.А. Князева</t>
        </is>
      </c>
      <c r="B20" s="301" t="n"/>
      <c r="C20" s="301" t="n"/>
      <c r="D20" s="296" t="n"/>
      <c r="E20" s="296" t="n"/>
      <c r="F20" s="296" t="n"/>
      <c r="G20" s="296" t="n"/>
    </row>
    <row r="21">
      <c r="A21" s="300" t="inlineStr">
        <is>
          <t xml:space="preserve">                         (подпись, инициалы, фамилия)</t>
        </is>
      </c>
      <c r="B21" s="301" t="n"/>
      <c r="C21" s="301" t="n"/>
      <c r="D21" s="296" t="n"/>
      <c r="E21" s="296" t="n"/>
      <c r="F21" s="296" t="n"/>
      <c r="G21" s="296" t="n"/>
    </row>
    <row r="22">
      <c r="A22" s="298" t="n"/>
      <c r="B22" s="301" t="n"/>
      <c r="C22" s="301" t="n"/>
      <c r="D22" s="296" t="n"/>
      <c r="E22" s="296" t="n"/>
      <c r="F22" s="296" t="n"/>
      <c r="G22" s="296" t="n"/>
    </row>
    <row r="23">
      <c r="A23" s="298" t="inlineStr">
        <is>
          <t>Проверил ______________________        А.В. Костянецкая</t>
        </is>
      </c>
      <c r="B23" s="301" t="n"/>
      <c r="C23" s="301" t="n"/>
      <c r="D23" s="296" t="n"/>
      <c r="E23" s="296" t="n"/>
      <c r="F23" s="296" t="n"/>
      <c r="G23" s="296" t="n"/>
    </row>
    <row r="24">
      <c r="A24" s="300" t="inlineStr">
        <is>
          <t xml:space="preserve">                        (подпись, инициалы, фамилия)</t>
        </is>
      </c>
      <c r="B24" s="301" t="n"/>
      <c r="C24" s="301" t="n"/>
      <c r="D24" s="296" t="n"/>
      <c r="E24" s="296" t="n"/>
      <c r="F24" s="296" t="n"/>
      <c r="G24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284" min="1" max="1"/>
    <col width="29.7109375" customWidth="1" style="284" min="2" max="2"/>
    <col width="39.140625" customWidth="1" style="284" min="3" max="3"/>
    <col width="24.5703125" customWidth="1" style="284" min="4" max="4"/>
    <col width="8.85546875" customWidth="1" style="284" min="5" max="5"/>
  </cols>
  <sheetData>
    <row r="1">
      <c r="B1" s="298" t="n"/>
      <c r="C1" s="298" t="n"/>
      <c r="D1" s="369" t="inlineStr">
        <is>
          <t>Приложение №7</t>
        </is>
      </c>
    </row>
    <row r="2">
      <c r="A2" s="369" t="n"/>
      <c r="B2" s="369" t="n"/>
      <c r="C2" s="369" t="n"/>
      <c r="D2" s="369" t="n"/>
    </row>
    <row r="3" ht="24.75" customHeight="1" s="284">
      <c r="A3" s="319" t="inlineStr">
        <is>
          <t>Расчет показателя УНЦ</t>
        </is>
      </c>
    </row>
    <row r="4" ht="24.75" customHeight="1" s="284">
      <c r="A4" s="319" t="n"/>
      <c r="B4" s="319" t="n"/>
      <c r="C4" s="319" t="n"/>
      <c r="D4" s="319" t="n"/>
    </row>
    <row r="5" ht="45" customHeight="1" s="28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84">
      <c r="A6" s="322" t="inlineStr">
        <is>
          <t>Единица измерения  — 1 ячейка</t>
        </is>
      </c>
      <c r="D6" s="322" t="n"/>
    </row>
    <row r="7">
      <c r="A7" s="298" t="n"/>
      <c r="B7" s="298" t="n"/>
      <c r="C7" s="298" t="n"/>
      <c r="D7" s="298" t="n"/>
    </row>
    <row r="8" ht="14.45" customHeight="1" s="284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 ht="15" customHeight="1" s="284">
      <c r="A9" s="418" t="n"/>
      <c r="B9" s="418" t="n"/>
      <c r="C9" s="418" t="n"/>
      <c r="D9" s="418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84">
      <c r="A11" s="345" t="inlineStr">
        <is>
          <t>В1-03-2</t>
        </is>
      </c>
      <c r="B11" s="345" t="inlineStr">
        <is>
          <t xml:space="preserve">УНЦ ячейки выключателя НУ 110 -750 кВ </t>
        </is>
      </c>
      <c r="C11" s="293">
        <f>D5</f>
        <v/>
      </c>
      <c r="D11" s="294">
        <f>'Прил.4 РМ'!C42/1000</f>
        <v/>
      </c>
      <c r="E11" s="295" t="n"/>
    </row>
    <row r="12">
      <c r="A12" s="296" t="n"/>
      <c r="B12" s="297" t="n"/>
      <c r="C12" s="296" t="n"/>
      <c r="D12" s="296" t="n"/>
    </row>
    <row r="13">
      <c r="A13" s="298" t="inlineStr">
        <is>
          <t>Составил ______________________      Е.А. Князева</t>
        </is>
      </c>
      <c r="B13" s="301" t="n"/>
      <c r="C13" s="301" t="n"/>
      <c r="D13" s="296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296" t="n"/>
    </row>
    <row r="15">
      <c r="A15" s="298" t="n"/>
      <c r="B15" s="301" t="n"/>
      <c r="C15" s="301" t="n"/>
      <c r="D15" s="296" t="n"/>
    </row>
    <row r="16">
      <c r="A16" s="298" t="inlineStr">
        <is>
          <t>Проверил ______________________        А.В. Костянецкая</t>
        </is>
      </c>
      <c r="B16" s="301" t="n"/>
      <c r="C16" s="301" t="n"/>
      <c r="D16" s="296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2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4:D31"/>
  <sheetViews>
    <sheetView view="pageBreakPreview" topLeftCell="A13" zoomScale="60" zoomScaleNormal="100" workbookViewId="0">
      <selection activeCell="C23" sqref="C23"/>
    </sheetView>
  </sheetViews>
  <sheetFormatPr baseColWidth="8" defaultRowHeight="15"/>
  <cols>
    <col width="40.7109375" customWidth="1" style="284" min="2" max="2"/>
    <col width="37" customWidth="1" style="284" min="3" max="3"/>
    <col width="32" customWidth="1" style="284" min="4" max="4"/>
  </cols>
  <sheetData>
    <row r="4" ht="15.75" customHeight="1" s="284">
      <c r="B4" s="326" t="inlineStr">
        <is>
          <t>Приложение № 10</t>
        </is>
      </c>
    </row>
    <row r="5" ht="18.75" customHeight="1" s="284">
      <c r="B5" s="173" t="n"/>
    </row>
    <row r="6" ht="15.75" customHeight="1" s="284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A7" s="343" t="n"/>
    </row>
    <row r="8" ht="18.75" customHeight="1" s="284">
      <c r="B8" s="174" t="n"/>
    </row>
    <row r="9" ht="47.25" customHeight="1" s="284">
      <c r="B9" s="334" t="inlineStr">
        <is>
          <t>Наименование индекса / норм сопутствующих затрат</t>
        </is>
      </c>
      <c r="C9" s="334" t="inlineStr">
        <is>
          <t>Дата применения и обоснование индекса / норм сопутствующих затрат</t>
        </is>
      </c>
      <c r="D9" s="334" t="inlineStr">
        <is>
          <t>Размер индекса / норма сопутствующих затрат</t>
        </is>
      </c>
    </row>
    <row r="10" ht="15.75" customHeight="1" s="284">
      <c r="B10" s="334" t="n">
        <v>1</v>
      </c>
      <c r="C10" s="334" t="n">
        <v>2</v>
      </c>
      <c r="D10" s="334" t="n">
        <v>3</v>
      </c>
    </row>
    <row r="11" ht="45" customHeight="1" s="284">
      <c r="B11" s="334" t="inlineStr">
        <is>
          <t xml:space="preserve">Индекс изменения сметной стоимости на 1 квартал 2023 года. ОЗП </t>
        </is>
      </c>
      <c r="C11" s="334" t="inlineStr">
        <is>
          <t>Письмо Минстроя России от 30.03.2023г. №17106-ИФ/09  прил.1</t>
        </is>
      </c>
      <c r="D11" s="334" t="n">
        <v>44.29</v>
      </c>
    </row>
    <row r="12" ht="29.25" customHeight="1" s="284">
      <c r="B12" s="334" t="inlineStr">
        <is>
          <t>Индекс изменения сметной стоимости на 1 квартал 2023 года. ЭМ</t>
        </is>
      </c>
      <c r="C12" s="334" t="inlineStr">
        <is>
          <t>Письмо Минстроя России от 30.03.2023г. №17106-ИФ/09  прил.1</t>
        </is>
      </c>
      <c r="D12" s="334" t="n">
        <v>13.47</v>
      </c>
    </row>
    <row r="13" ht="29.25" customHeight="1" s="284">
      <c r="B13" s="334" t="inlineStr">
        <is>
          <t>Индекс изменения сметной стоимости на 1 квартал 2023 года. МАТ</t>
        </is>
      </c>
      <c r="C13" s="334" t="inlineStr">
        <is>
          <t>Письмо Минстроя России от 30.03.2023г. №17106-ИФ/09  прил.1</t>
        </is>
      </c>
      <c r="D13" s="334" t="n">
        <v>8.039999999999999</v>
      </c>
    </row>
    <row r="14" ht="30.75" customHeight="1" s="284">
      <c r="B14" s="334" t="inlineStr">
        <is>
          <t>Индекс изменения сметной стоимости на 1 квартал 2023 года. ОБ</t>
        </is>
      </c>
      <c r="C14" s="201" t="inlineStr">
        <is>
          <t>Письмо Минстроя России от 23.02.2023г. №9791-ИФ/09 прил.6</t>
        </is>
      </c>
      <c r="D14" s="334" t="n">
        <v>6.26</v>
      </c>
    </row>
    <row r="15" ht="89.45" customHeight="1" s="284">
      <c r="B15" s="334" t="inlineStr">
        <is>
          <t>Временные здания и сооружения</t>
        </is>
      </c>
      <c r="C15" s="3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3" t="n">
        <v>0.039</v>
      </c>
    </row>
    <row r="16" ht="78.75" customHeight="1" s="284">
      <c r="B16" s="334" t="inlineStr">
        <is>
          <t>Дополнительные затраты при производстве строительно-монтажных работ в зимнее время</t>
        </is>
      </c>
      <c r="C16" s="3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3" t="n">
        <v>0.021</v>
      </c>
    </row>
    <row r="17" ht="34.5" customHeight="1" s="284">
      <c r="B17" s="334" t="inlineStr">
        <is>
          <t>Пусконаладочные работы*</t>
        </is>
      </c>
      <c r="C17" s="334" t="n"/>
      <c r="D17" s="334" t="inlineStr">
        <is>
          <t>Расчёт</t>
        </is>
      </c>
    </row>
    <row r="18" ht="31.7" customHeight="1" s="284">
      <c r="B18" s="334" t="inlineStr">
        <is>
          <t>Строительный контроль</t>
        </is>
      </c>
      <c r="C18" s="334" t="inlineStr">
        <is>
          <t>Постановление Правительства РФ от 21.06.10 г. № 468</t>
        </is>
      </c>
      <c r="D18" s="203" t="n">
        <v>0.0214</v>
      </c>
    </row>
    <row r="19" ht="31.7" customHeight="1" s="284">
      <c r="B19" s="334" t="inlineStr">
        <is>
          <t>Авторский надзор - 0,2%</t>
        </is>
      </c>
      <c r="C19" s="334" t="inlineStr">
        <is>
          <t>Приказ от 4.08.2020 № 421/пр п.173</t>
        </is>
      </c>
      <c r="D19" s="203" t="n">
        <v>0.002</v>
      </c>
    </row>
    <row r="20" ht="24" customHeight="1" s="284">
      <c r="B20" s="334" t="inlineStr">
        <is>
          <t>Непредвиденные расходы</t>
        </is>
      </c>
      <c r="C20" s="334" t="inlineStr">
        <is>
          <t>Приказ от 4.08.2020 № 421/пр п.179</t>
        </is>
      </c>
      <c r="D20" s="203" t="n">
        <v>0.03</v>
      </c>
    </row>
    <row r="21" ht="18.75" customHeight="1" s="284">
      <c r="B21" s="174" t="n"/>
    </row>
    <row r="22" ht="18.75" customHeight="1" s="284">
      <c r="B22" s="174" t="n"/>
    </row>
    <row r="23" ht="18.75" customHeight="1" s="284">
      <c r="B23" s="174" t="n"/>
    </row>
    <row r="24" ht="18.75" customHeight="1" s="284">
      <c r="B24" s="174" t="n"/>
    </row>
    <row r="27">
      <c r="B27" s="298" t="inlineStr">
        <is>
          <t>Составил ______________________        Е.А. Князева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8" t="n"/>
      <c r="C29" s="301" t="n"/>
    </row>
    <row r="30">
      <c r="B30" s="298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A7:D7"/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10" workbookViewId="0">
      <selection activeCell="I16" sqref="I16"/>
    </sheetView>
  </sheetViews>
  <sheetFormatPr baseColWidth="8" defaultColWidth="9.140625" defaultRowHeight="15"/>
  <cols>
    <col width="9.140625" customWidth="1" style="284" min="1" max="1"/>
    <col width="44.85546875" customWidth="1" style="284" min="2" max="2"/>
    <col width="13" customWidth="1" style="284" min="3" max="3"/>
    <col width="22.85546875" customWidth="1" style="284" min="4" max="4"/>
    <col width="21.5703125" customWidth="1" style="284" min="5" max="5"/>
    <col width="43.85546875" customWidth="1" style="284" min="6" max="6"/>
    <col width="9.140625" customWidth="1" style="284" min="7" max="7"/>
  </cols>
  <sheetData>
    <row r="2" ht="17.45" customHeight="1" s="28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4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84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215" t="n"/>
    </row>
    <row r="6" ht="15.75" customHeight="1" s="284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215" t="n"/>
    </row>
    <row r="7" ht="110.25" customHeight="1" s="284">
      <c r="A7" s="217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4" t="inlineStr">
        <is>
          <t>С1ср</t>
        </is>
      </c>
      <c r="D7" s="334" t="inlineStr">
        <is>
          <t>-</t>
        </is>
      </c>
      <c r="E7" s="220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7" customHeight="1" s="284">
      <c r="A8" s="217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334" t="inlineStr">
        <is>
          <t>tср</t>
        </is>
      </c>
      <c r="D8" s="334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84">
      <c r="A9" s="217" t="inlineStr">
        <is>
          <t>1.3</t>
        </is>
      </c>
      <c r="B9" s="221" t="inlineStr">
        <is>
          <t>Коэффициент увеличения</t>
        </is>
      </c>
      <c r="C9" s="334" t="inlineStr">
        <is>
          <t>Кув</t>
        </is>
      </c>
      <c r="D9" s="334" t="inlineStr">
        <is>
          <t>-</t>
        </is>
      </c>
      <c r="E9" s="220" t="n">
        <v>1</v>
      </c>
      <c r="F9" s="221" t="n"/>
      <c r="G9" s="223" t="n"/>
    </row>
    <row r="10" ht="15.75" customHeight="1" s="284">
      <c r="A10" s="217" t="inlineStr">
        <is>
          <t>1.4</t>
        </is>
      </c>
      <c r="B10" s="221" t="inlineStr">
        <is>
          <t>Средний разряд работ</t>
        </is>
      </c>
      <c r="C10" s="334" t="n"/>
      <c r="D10" s="334" t="n"/>
      <c r="E10" s="224" t="n">
        <v>4.4</v>
      </c>
      <c r="F10" s="221" t="inlineStr">
        <is>
          <t>РТМ</t>
        </is>
      </c>
      <c r="G10" s="223" t="n"/>
    </row>
    <row r="11" ht="78.75" customHeight="1" s="284">
      <c r="A11" s="217" t="inlineStr">
        <is>
          <t>1.5</t>
        </is>
      </c>
      <c r="B11" s="221" t="inlineStr">
        <is>
          <t>Тарифный коэффициент среднего разряда работ</t>
        </is>
      </c>
      <c r="C11" s="334" t="inlineStr">
        <is>
          <t>КТ</t>
        </is>
      </c>
      <c r="D11" s="334" t="inlineStr">
        <is>
          <t>-</t>
        </is>
      </c>
      <c r="E11" s="225">
        <f>1.34*1.0597</f>
        <v/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84">
      <c r="A12" s="217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334" t="inlineStr">
        <is>
          <t>Кинф</t>
        </is>
      </c>
      <c r="D12" s="334" t="inlineStr">
        <is>
          <t>-</t>
        </is>
      </c>
      <c r="E12" s="227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84">
      <c r="A13" s="217" t="inlineStr">
        <is>
          <t>1.7</t>
        </is>
      </c>
      <c r="B13" s="229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230">
        <f>((E7*E9/E8)*E11)*E12</f>
        <v/>
      </c>
      <c r="F13" s="2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2025-01-24T11:54:27Z</dcterms:modified>
  <cp:lastModifiedBy>Danil</cp:lastModifiedBy>
  <cp:lastPrinted>2023-11-24T03:58:47Z</cp:lastPrinted>
</cp:coreProperties>
</file>