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'Прил.3'!$9:$11</definedName>
    <definedName name="_xlnm.Print_Area" localSheetId="2">'Прил.3'!$A$1:$H$115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ОБ'!$A$1:$J$125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xlnm.Print_Area" localSheetId="6">'Прил.7 Расчет пок.'!$A$1:$D$18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11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#,##0.0000"/>
    <numFmt numFmtId="169" formatCode="#,##0.00000"/>
    <numFmt numFmtId="170" formatCode="_-* #,##0.0\ _₽_-;\-* #,##0.0\ _₽_-;_-* &quot;-&quot;??\ _₽_-;_-@_-"/>
    <numFmt numFmtId="171" formatCode="0.0_ ;\-0.0\ "/>
    <numFmt numFmtId="172" formatCode="#,##0.00_ ;\-#,##0.00\ "/>
    <numFmt numFmtId="173" formatCode="0.000"/>
    <numFmt numFmtId="174" formatCode="0.00000"/>
  </numFmts>
  <fonts count="23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Calibri"/>
      <color rgb="FFE7E6E6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Arial"/>
      <b val="1"/>
      <color rgb="FFC00000"/>
      <sz val="11"/>
    </font>
    <font>
      <name val="Times New Roman"/>
      <color rgb="FF000000"/>
      <sz val="11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08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164" fontId="2" fillId="0" borderId="1" applyAlignment="1" pivotButton="0" quotePrefix="0" xfId="0">
      <alignment horizontal="right" vertical="top" wrapText="1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9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center" vertical="top" wrapText="1"/>
    </xf>
    <xf numFmtId="4" fontId="2" fillId="0" borderId="1" applyAlignment="1" pivotButton="0" quotePrefix="0" xfId="0">
      <alignment horizontal="right" vertical="top" wrapText="1"/>
    </xf>
    <xf numFmtId="1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right" vertical="top" wrapText="1"/>
    </xf>
    <xf numFmtId="2" fontId="2" fillId="0" borderId="1" applyAlignment="1" pivotButton="0" quotePrefix="0" xfId="0">
      <alignment horizontal="center" vertical="top" wrapText="1"/>
    </xf>
    <xf numFmtId="0" fontId="10" fillId="0" borderId="1" applyAlignment="1" pivotButton="0" quotePrefix="0" xfId="0">
      <alignment horizontal="center" vertical="center" wrapText="1"/>
    </xf>
    <xf numFmtId="164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164" fontId="1" fillId="0" borderId="0" pivotButton="0" quotePrefix="0" xfId="0"/>
    <xf numFmtId="168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169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2" fillId="0" borderId="4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70" fontId="11" fillId="2" borderId="0" pivotButton="0" quotePrefix="0" xfId="0"/>
    <xf numFmtId="0" fontId="0" fillId="0" borderId="1" applyAlignment="1" pivotButton="0" quotePrefix="0" xfId="0">
      <alignment horizontal="center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9" fillId="0" borderId="1" applyAlignment="1" pivotButton="0" quotePrefix="0" xfId="0">
      <alignment vertical="center" wrapText="1"/>
    </xf>
    <xf numFmtId="171" fontId="12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5" applyAlignment="1" pivotButton="0" quotePrefix="0" xfId="0">
      <alignment horizontal="center" vertical="center" wrapText="1"/>
    </xf>
    <xf numFmtId="0" fontId="0" fillId="3" borderId="6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167" fontId="0" fillId="4" borderId="8" applyAlignment="1" pivotButton="0" quotePrefix="0" xfId="0">
      <alignment horizontal="center" vertical="center"/>
    </xf>
    <xf numFmtId="167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7" fontId="0" fillId="4" borderId="10" applyAlignment="1" pivotButton="0" quotePrefix="0" xfId="0">
      <alignment horizontal="center" vertical="center"/>
    </xf>
    <xf numFmtId="167" fontId="0" fillId="0" borderId="10" applyAlignment="1" pivotButton="0" quotePrefix="0" xfId="0">
      <alignment horizontal="center" vertical="center"/>
    </xf>
    <xf numFmtId="167" fontId="0" fillId="4" borderId="6" applyAlignment="1" pivotButton="0" quotePrefix="0" xfId="0">
      <alignment horizontal="center" vertical="center"/>
    </xf>
    <xf numFmtId="167" fontId="0" fillId="0" borderId="6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/>
    </xf>
    <xf numFmtId="0" fontId="0" fillId="4" borderId="10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0" fillId="5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49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vertical="center"/>
    </xf>
    <xf numFmtId="0" fontId="10" fillId="0" borderId="0" pivotButton="0" quotePrefix="0" xfId="0"/>
    <xf numFmtId="0" fontId="13" fillId="0" borderId="0" applyAlignment="1" pivotButton="0" quotePrefix="0" xfId="0">
      <alignment vertical="center"/>
    </xf>
    <xf numFmtId="172" fontId="14" fillId="0" borderId="0" pivotButton="0" quotePrefix="0" xfId="0"/>
    <xf numFmtId="0" fontId="15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173" fontId="2" fillId="0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left" vertical="center" wrapText="1"/>
    </xf>
    <xf numFmtId="167" fontId="1" fillId="0" borderId="0" pivotButton="0" quotePrefix="0" xfId="0"/>
    <xf numFmtId="0" fontId="17" fillId="0" borderId="0" applyAlignment="1" pivotButton="0" quotePrefix="0" xfId="0">
      <alignment horizontal="left"/>
    </xf>
    <xf numFmtId="0" fontId="9" fillId="0" borderId="0" applyAlignment="1" pivotButton="0" quotePrefix="0" xfId="0">
      <alignment vertical="center" wrapText="1"/>
    </xf>
    <xf numFmtId="4" fontId="9" fillId="0" borderId="0" applyAlignment="1" pivotButton="0" quotePrefix="0" xfId="0">
      <alignment vertical="center" wrapText="1"/>
    </xf>
    <xf numFmtId="4" fontId="9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/>
    </xf>
    <xf numFmtId="0" fontId="18" fillId="0" borderId="1" applyAlignment="1" pivotButton="0" quotePrefix="0" xfId="0">
      <alignment horizontal="center" vertical="center" wrapText="1"/>
    </xf>
    <xf numFmtId="2" fontId="18" fillId="0" borderId="1" applyAlignment="1" pivotButton="0" quotePrefix="0" xfId="0">
      <alignment horizontal="center" vertical="center" wrapText="1"/>
    </xf>
    <xf numFmtId="14" fontId="18" fillId="0" borderId="1" applyAlignment="1" pivotButton="0" quotePrefix="0" xfId="0">
      <alignment horizontal="center" vertical="center" wrapText="1"/>
    </xf>
    <xf numFmtId="10" fontId="0" fillId="0" borderId="0" pivotButton="0" quotePrefix="0" xfId="0"/>
    <xf numFmtId="2" fontId="2" fillId="0" borderId="3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left" vertical="center" wrapText="1"/>
    </xf>
    <xf numFmtId="3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0" fontId="2" fillId="0" borderId="4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top" wrapText="1"/>
    </xf>
    <xf numFmtId="0" fontId="9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top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1" fillId="0" borderId="0" pivotButton="0" quotePrefix="0" xfId="0"/>
    <xf numFmtId="0" fontId="13" fillId="0" borderId="0" applyAlignment="1" pivotButton="0" quotePrefix="0" xfId="0">
      <alignment vertical="center"/>
    </xf>
    <xf numFmtId="0" fontId="9" fillId="0" borderId="1" pivotButton="0" quotePrefix="0" xfId="0"/>
    <xf numFmtId="0" fontId="9" fillId="0" borderId="1" applyAlignment="1" pivotButton="0" quotePrefix="1" xfId="0">
      <alignment horizontal="center" vertical="center"/>
    </xf>
    <xf numFmtId="0" fontId="9" fillId="0" borderId="1" applyAlignment="1" pivotButton="0" quotePrefix="0" xfId="0">
      <alignment vertical="center" wrapText="1"/>
    </xf>
    <xf numFmtId="166" fontId="9" fillId="0" borderId="1" applyAlignment="1" pivotButton="0" quotePrefix="0" xfId="0">
      <alignment horizontal="right" vertical="center"/>
    </xf>
    <xf numFmtId="166" fontId="9" fillId="0" borderId="1" applyAlignment="1" pivotButton="0" quotePrefix="0" xfId="0">
      <alignment horizontal="right" vertical="center" wrapText="1"/>
    </xf>
    <xf numFmtId="166" fontId="19" fillId="0" borderId="1" applyAlignment="1" pivotButton="0" quotePrefix="0" xfId="0">
      <alignment vertical="center" wrapText="1"/>
    </xf>
    <xf numFmtId="166" fontId="19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wrapText="1"/>
    </xf>
    <xf numFmtId="0" fontId="20" fillId="0" borderId="1" applyAlignment="1" pivotButton="0" quotePrefix="0" xfId="0">
      <alignment vertical="center" wrapText="1"/>
    </xf>
    <xf numFmtId="174" fontId="2" fillId="0" borderId="1" applyAlignment="1" pivotButton="0" quotePrefix="0" xfId="0">
      <alignment horizontal="center" vertical="top" wrapText="1"/>
    </xf>
    <xf numFmtId="167" fontId="2" fillId="0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left" vertical="center" wrapText="1"/>
    </xf>
    <xf numFmtId="0" fontId="1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19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3" fillId="0" borderId="4" applyAlignment="1" pivotButton="0" quotePrefix="0" xfId="0">
      <alignment horizontal="left" vertical="center" wrapText="1"/>
    </xf>
    <xf numFmtId="0" fontId="3" fillId="0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4" applyAlignment="1" pivotButton="0" quotePrefix="0" xfId="0">
      <alignment horizontal="right" vertical="center" wrapText="1"/>
    </xf>
    <xf numFmtId="0" fontId="3" fillId="0" borderId="14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5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13" applyAlignment="1" pivotButton="0" quotePrefix="0" xfId="0">
      <alignment horizontal="center" vertical="center" wrapText="1"/>
    </xf>
    <xf numFmtId="4" fontId="9" fillId="0" borderId="0" applyAlignment="1" pivotButton="0" quotePrefix="0" xfId="0">
      <alignment horizontal="left" vertical="center"/>
    </xf>
    <xf numFmtId="10" fontId="2" fillId="0" borderId="1" applyAlignment="1" pivotButton="0" quotePrefix="0" xfId="0">
      <alignment horizontal="right" vertical="center" wrapText="1"/>
    </xf>
    <xf numFmtId="0" fontId="2" fillId="0" borderId="14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4" fontId="9" fillId="0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3" pivotButton="0" quotePrefix="0" xfId="0"/>
    <xf numFmtId="0" fontId="0" fillId="0" borderId="20" pivotButton="0" quotePrefix="0" xfId="0"/>
    <xf numFmtId="0" fontId="0" fillId="0" borderId="2" pivotButton="0" quotePrefix="0" xfId="0"/>
    <xf numFmtId="0" fontId="3" fillId="0" borderId="20" applyAlignment="1" pivotButton="0" quotePrefix="0" xfId="0">
      <alignment horizontal="left" vertical="center" wrapText="1"/>
    </xf>
    <xf numFmtId="0" fontId="0" fillId="0" borderId="15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2:J31"/>
  <sheetViews>
    <sheetView view="pageBreakPreview" topLeftCell="A17" zoomScale="60" zoomScaleNormal="85" workbookViewId="0">
      <selection activeCell="D26" sqref="D26"/>
    </sheetView>
  </sheetViews>
  <sheetFormatPr baseColWidth="8" defaultRowHeight="15"/>
  <cols>
    <col width="36.85546875" customWidth="1" style="133" min="3" max="3"/>
    <col width="39.42578125" customWidth="1" style="133" min="4" max="4"/>
    <col width="14.28515625" customWidth="1" style="133" min="7" max="7"/>
    <col width="15" customWidth="1" style="133" min="10" max="10"/>
  </cols>
  <sheetData>
    <row r="2" ht="15.75" customHeight="1" s="133">
      <c r="B2" s="159" t="inlineStr">
        <is>
          <t>Приложение № 1</t>
        </is>
      </c>
    </row>
    <row r="3" ht="18.75" customHeight="1" s="133">
      <c r="B3" s="160" t="inlineStr">
        <is>
          <t>Сравнительная таблица отбора объекта-представителя</t>
        </is>
      </c>
    </row>
    <row r="4" ht="84.2" customHeight="1" s="133">
      <c r="B4" s="16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5" ht="18.75" customHeight="1" s="133">
      <c r="B5" s="100" t="n"/>
      <c r="C5" s="100" t="n"/>
      <c r="D5" s="100" t="n"/>
    </row>
    <row r="6" ht="63" customHeight="1" s="133">
      <c r="B6" s="162" t="inlineStr">
        <is>
          <t>Наименование разрабатываемого 
показателя УНЦ</t>
        </is>
      </c>
      <c r="D6" s="172" t="inlineStr">
        <is>
          <t>РЗиА ячейки выключателя 35 кВ</t>
        </is>
      </c>
    </row>
    <row r="7" ht="31.7" customHeight="1" s="133">
      <c r="B7" s="158" t="inlineStr">
        <is>
          <t>Сопоставимый уровень цен:  3 кв. 2016 г.</t>
        </is>
      </c>
    </row>
    <row r="8" ht="15.75" customHeight="1" s="133">
      <c r="B8" s="158" t="inlineStr">
        <is>
          <t>Единица измерения  — 1 ячейка</t>
        </is>
      </c>
    </row>
    <row r="9" ht="18.75" customHeight="1" s="133">
      <c r="B9" s="36" t="n"/>
    </row>
    <row r="10" ht="15.75" customHeight="1" s="133">
      <c r="B10" s="166" t="inlineStr">
        <is>
          <t>№ п/п</t>
        </is>
      </c>
      <c r="C10" s="166" t="inlineStr">
        <is>
          <t>Параметр</t>
        </is>
      </c>
      <c r="D10" s="166" t="inlineStr">
        <is>
          <t xml:space="preserve">Объект-представитель </t>
        </is>
      </c>
    </row>
    <row r="11" ht="31.7" customHeight="1" s="133">
      <c r="B11" s="166" t="n">
        <v>1</v>
      </c>
      <c r="C11" s="149" t="inlineStr">
        <is>
          <t>Наименование объекта-представителя</t>
        </is>
      </c>
      <c r="D11" s="166" t="inlineStr">
        <is>
          <t>Комплексная реконструкция ПС № 2 «Красково»</t>
        </is>
      </c>
    </row>
    <row r="12" ht="31.7" customHeight="1" s="133">
      <c r="B12" s="166" t="n">
        <v>2</v>
      </c>
      <c r="C12" s="149" t="inlineStr">
        <is>
          <t>Наименование субъекта Российской Федерации</t>
        </is>
      </c>
      <c r="D12" s="166" t="inlineStr">
        <is>
          <t>Московская область</t>
        </is>
      </c>
    </row>
    <row r="13" ht="15.75" customHeight="1" s="133">
      <c r="B13" s="166" t="n">
        <v>3</v>
      </c>
      <c r="C13" s="149" t="inlineStr">
        <is>
          <t>Климатический район и подрайон</t>
        </is>
      </c>
      <c r="D13" s="166" t="inlineStr">
        <is>
          <t>IIВ</t>
        </is>
      </c>
    </row>
    <row r="14" ht="15.75" customHeight="1" s="133">
      <c r="B14" s="166" t="n">
        <v>4</v>
      </c>
      <c r="C14" s="149" t="inlineStr">
        <is>
          <t>Мощность объекта</t>
        </is>
      </c>
      <c r="D14" s="118" t="n">
        <v>5</v>
      </c>
    </row>
    <row r="15" ht="399.4" customHeight="1" s="133">
      <c r="B15" s="166" t="n">
        <v>5</v>
      </c>
      <c r="C15" s="38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5" s="118" t="inlineStr">
        <is>
          <t>Дифференциальная защита шин (ошиновки) ДЗШ типа ШЭТ 140.01-0 - 1шт,
Шкаф управления разъединителем ШУР-1 - 12шт,
Комплект защит и автоматики ЛЭП 35 кВ типа ШЭТ 121.01-0 - 2шт,
Комплект защит и автоматики вводного выключателя 35 кВ типа ШЭТ 151.01-0 - 2шт,
Комплект защит трансформатора напряжения 35 кВ типа ШЭТ 160.01-0 - 2шт,
Шкаф организации ЦН двух ТН с резервированием от одного источника типа ШЭТ ЦН.1 - 1шт,
Комплект защит и автоматики секционного выключателя 35 кВ типа ШЭТ 151.02-0 - 1шт,
Шкаф зажимов выключателя типа ШЗВ-120 1 шкаф на присоединение - 5шт,
Шкаф ОМП волнового типа с одним устройством - 2шт,
Шкаф отбора напряжения ШОН шкаф/на линию - 2шт,
Шкаф ТН с тремя вторичными обмотками типа ШЭТ ТН.2 - 2шт,
Шкаф ТТ наружной установки с цепями АИИС КУЭ типа ШЭТ ТТ.2 - 5шт</t>
        </is>
      </c>
      <c r="J15" s="154" t="n"/>
    </row>
    <row r="16" ht="78.75" customHeight="1" s="133">
      <c r="B16" s="166" t="n">
        <v>6</v>
      </c>
      <c r="C16" s="38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6" s="119">
        <f>SUM(D17:D20)</f>
        <v/>
      </c>
    </row>
    <row r="17" ht="15.75" customHeight="1" s="133">
      <c r="B17" s="101" t="inlineStr">
        <is>
          <t>6.1</t>
        </is>
      </c>
      <c r="C17" s="149" t="inlineStr">
        <is>
          <t>строительно-монтажные работы</t>
        </is>
      </c>
      <c r="D17" s="119">
        <f>'Прил.2 Расч стоим'!G13</f>
        <v/>
      </c>
    </row>
    <row r="18" ht="15.75" customHeight="1" s="133">
      <c r="B18" s="101" t="inlineStr">
        <is>
          <t>6.2</t>
        </is>
      </c>
      <c r="C18" s="149" t="inlineStr">
        <is>
          <t>оборудование и инвентарь</t>
        </is>
      </c>
      <c r="D18" s="119">
        <f>'Прил.2 Расч стоим'!H13</f>
        <v/>
      </c>
    </row>
    <row r="19" ht="15.75" customHeight="1" s="133">
      <c r="B19" s="101" t="inlineStr">
        <is>
          <t>6.3</t>
        </is>
      </c>
      <c r="C19" s="149" t="inlineStr">
        <is>
          <t>пусконаладочные работы</t>
        </is>
      </c>
      <c r="D19" s="119" t="n"/>
    </row>
    <row r="20" ht="31.7" customHeight="1" s="133">
      <c r="B20" s="101" t="inlineStr">
        <is>
          <t>6.4</t>
        </is>
      </c>
      <c r="C20" s="149" t="inlineStr">
        <is>
          <t>прочие и лимитированные затраты</t>
        </is>
      </c>
      <c r="D20" s="119">
        <f>'Прил.2 Расч стоим'!I14</f>
        <v/>
      </c>
    </row>
    <row r="21" ht="15.75" customHeight="1" s="133">
      <c r="B21" s="166" t="n">
        <v>7</v>
      </c>
      <c r="C21" s="149" t="inlineStr">
        <is>
          <t>Сопоставимый уровень цен</t>
        </is>
      </c>
      <c r="D21" s="120" t="inlineStr">
        <is>
          <t xml:space="preserve"> 3 кв. 2016 г.</t>
        </is>
      </c>
      <c r="G21" s="108" t="n"/>
    </row>
    <row r="22" ht="110.25" customHeight="1" s="133">
      <c r="B22" s="166" t="n">
        <v>8</v>
      </c>
      <c r="C22" s="3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2" s="119">
        <f>D16</f>
        <v/>
      </c>
    </row>
    <row r="23" ht="47.25" customHeight="1" s="133">
      <c r="B23" s="166" t="n">
        <v>9</v>
      </c>
      <c r="C23" s="38" t="inlineStr">
        <is>
          <t>Приведенная сметная стоимость на единицу мощности, тыс. руб. (строка 8/строку 4)</t>
        </is>
      </c>
      <c r="D23" s="119">
        <f>D22/D14</f>
        <v/>
      </c>
      <c r="G23" s="108" t="n"/>
    </row>
    <row r="24" hidden="1" ht="110.25" customHeight="1" s="133">
      <c r="B24" s="166" t="n">
        <v>10</v>
      </c>
      <c r="C24" s="149" t="inlineStr">
        <is>
          <t>Примечание</t>
        </is>
      </c>
      <c r="D24" s="149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5" ht="37.5" customHeight="1" s="133">
      <c r="B25" s="102" t="n"/>
      <c r="C25" s="103" t="n"/>
      <c r="D25" s="103" t="n"/>
    </row>
    <row r="26">
      <c r="B26" s="117" t="inlineStr">
        <is>
          <t>Составил ______________________        Е.А. Князева</t>
        </is>
      </c>
      <c r="C26" s="145" t="n"/>
    </row>
    <row r="27">
      <c r="B27" s="146" t="inlineStr">
        <is>
          <t xml:space="preserve">                         (подпись, инициалы, фамилия)</t>
        </is>
      </c>
      <c r="C27" s="145" t="n"/>
    </row>
    <row r="28">
      <c r="B28" s="134" t="n"/>
      <c r="C28" s="145" t="n"/>
    </row>
    <row r="29">
      <c r="B29" s="134" t="inlineStr">
        <is>
          <t>Проверил ______________________        А.В. Костянецкая</t>
        </is>
      </c>
      <c r="C29" s="145" t="n"/>
    </row>
    <row r="30">
      <c r="B30" s="146" t="inlineStr">
        <is>
          <t xml:space="preserve">                        (подпись, инициалы, фамилия)</t>
        </is>
      </c>
      <c r="C30" s="145" t="n"/>
    </row>
    <row r="31" ht="15.75" customHeight="1" s="133">
      <c r="B31" s="103" t="n"/>
      <c r="C31" s="103" t="n"/>
      <c r="D31" s="103" t="n"/>
    </row>
  </sheetData>
  <mergeCells count="6">
    <mergeCell ref="B6:C6"/>
    <mergeCell ref="B3:D3"/>
    <mergeCell ref="B8:D8"/>
    <mergeCell ref="B4:D4"/>
    <mergeCell ref="B7:D7"/>
    <mergeCell ref="B2:D2"/>
  </mergeCells>
  <pageMargins left="0.7" right="0.7" top="0.75" bottom="0.75" header="0.3" footer="0.3"/>
  <pageSetup orientation="portrait" paperSize="9" scale="6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topLeftCell="A10" zoomScale="60" zoomScaleNormal="100" workbookViewId="0">
      <selection activeCell="D16" sqref="D16"/>
    </sheetView>
  </sheetViews>
  <sheetFormatPr baseColWidth="8" defaultRowHeight="15"/>
  <cols>
    <col width="5.5703125" customWidth="1" style="133" min="1" max="1"/>
    <col width="35.28515625" customWidth="1" style="133" min="3" max="3"/>
    <col width="13.85546875" customWidth="1" style="133" min="4" max="4"/>
    <col width="17.42578125" customWidth="1" style="133" min="5" max="5"/>
    <col width="12.7109375" customWidth="1" style="133" min="6" max="6"/>
    <col width="14.85546875" customWidth="1" style="133" min="7" max="7"/>
    <col width="16.7109375" customWidth="1" style="133" min="8" max="8"/>
    <col width="13" customWidth="1" style="133" min="9" max="10"/>
    <col width="18" customWidth="1" style="133" min="11" max="11"/>
  </cols>
  <sheetData>
    <row r="3" ht="15.75" customHeight="1" s="133">
      <c r="C3" s="102" t="n"/>
      <c r="D3" s="102" t="n"/>
      <c r="E3" s="102" t="n"/>
      <c r="F3" s="102" t="n"/>
      <c r="G3" s="102" t="n"/>
      <c r="H3" s="102" t="n"/>
      <c r="I3" s="102" t="n"/>
      <c r="J3" s="159" t="inlineStr">
        <is>
          <t>Приложение № 2</t>
        </is>
      </c>
      <c r="K3" s="102" t="n"/>
    </row>
    <row r="4" ht="15.75" customHeight="1" s="133">
      <c r="B4" s="163" t="inlineStr">
        <is>
          <t>Расчет стоимости основных видов работ для выбора объекта-представителя</t>
        </is>
      </c>
    </row>
    <row r="5" ht="15.75" customHeight="1" s="133">
      <c r="B5" s="39" t="n"/>
      <c r="C5" s="39" t="n"/>
      <c r="D5" s="39" t="n"/>
      <c r="E5" s="39" t="n"/>
      <c r="F5" s="39" t="n"/>
      <c r="G5" s="39" t="n"/>
      <c r="H5" s="39" t="n"/>
      <c r="I5" s="39" t="n"/>
      <c r="J5" s="39" t="n"/>
      <c r="K5" s="39" t="n"/>
    </row>
    <row r="6" ht="39.75" customHeight="1" s="133">
      <c r="B6" s="162">
        <f>'Прил.1 Сравнит табл'!B6</f>
        <v/>
      </c>
      <c r="D6" s="164">
        <f>'Прил.1 Сравнит табл'!D6</f>
        <v/>
      </c>
      <c r="K6" s="102" t="n"/>
    </row>
    <row r="7" ht="15.75" customHeight="1" s="133">
      <c r="B7" s="102">
        <f>'Прил.1 Сравнит табл'!B8</f>
        <v/>
      </c>
      <c r="C7" s="102" t="n"/>
      <c r="D7" s="102" t="n"/>
      <c r="E7" s="102" t="n"/>
      <c r="F7" s="102" t="n"/>
      <c r="G7" s="102" t="n"/>
      <c r="H7" s="102" t="n"/>
      <c r="I7" s="102" t="n"/>
      <c r="J7" s="102" t="n"/>
      <c r="K7" s="102" t="n"/>
    </row>
    <row r="8" ht="18.75" customHeight="1" s="133">
      <c r="B8" s="36" t="n"/>
    </row>
    <row r="9" ht="15.75" customHeight="1" s="133">
      <c r="B9" s="166" t="inlineStr">
        <is>
          <t>№ п/п</t>
        </is>
      </c>
      <c r="C9" s="16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66" t="inlineStr">
        <is>
          <t>Объект-представитель 1</t>
        </is>
      </c>
      <c r="E9" s="202" t="n"/>
      <c r="F9" s="202" t="n"/>
      <c r="G9" s="202" t="n"/>
      <c r="H9" s="202" t="n"/>
      <c r="I9" s="202" t="n"/>
      <c r="J9" s="203" t="n"/>
    </row>
    <row r="10" ht="15.75" customHeight="1" s="133">
      <c r="B10" s="204" t="n"/>
      <c r="C10" s="204" t="n"/>
      <c r="D10" s="166" t="inlineStr">
        <is>
          <t>Номер сметы</t>
        </is>
      </c>
      <c r="E10" s="166" t="inlineStr">
        <is>
          <t>Наименование сметы</t>
        </is>
      </c>
      <c r="F10" s="166" t="inlineStr">
        <is>
          <t>Сметная стоимость в уровне цен 3 кв. 2016 г., тыс. руб.</t>
        </is>
      </c>
      <c r="G10" s="202" t="n"/>
      <c r="H10" s="202" t="n"/>
      <c r="I10" s="202" t="n"/>
      <c r="J10" s="203" t="n"/>
    </row>
    <row r="11" ht="60.75" customHeight="1" s="133">
      <c r="B11" s="205" t="n"/>
      <c r="C11" s="205" t="n"/>
      <c r="D11" s="205" t="n"/>
      <c r="E11" s="205" t="n"/>
      <c r="F11" s="166" t="inlineStr">
        <is>
          <t>Строительные работы</t>
        </is>
      </c>
      <c r="G11" s="166" t="inlineStr">
        <is>
          <t>Монтажные работы</t>
        </is>
      </c>
      <c r="H11" s="166" t="inlineStr">
        <is>
          <t>Оборудование</t>
        </is>
      </c>
      <c r="I11" s="166" t="inlineStr">
        <is>
          <t>Прочее</t>
        </is>
      </c>
      <c r="J11" s="166" t="inlineStr">
        <is>
          <t>Всего</t>
        </is>
      </c>
    </row>
    <row r="12" ht="393.95" customHeight="1" s="133">
      <c r="B12" s="147" t="n">
        <v>1</v>
      </c>
      <c r="C12" s="155">
        <f>'Прил.1 Сравнит табл'!D15</f>
        <v/>
      </c>
      <c r="D12" s="148" t="inlineStr">
        <is>
          <t xml:space="preserve">02-08-07 э </t>
        </is>
      </c>
      <c r="E12" s="149" t="inlineStr">
        <is>
          <t>Релейная защита и автоматика ПС "Юбилейная"</t>
        </is>
      </c>
      <c r="F12" s="150" t="n">
        <v>0</v>
      </c>
      <c r="G12" s="150" t="n">
        <v>6729.69</v>
      </c>
      <c r="H12" s="150" t="n">
        <v>19056.528</v>
      </c>
      <c r="I12" s="150" t="n"/>
      <c r="J12" s="151">
        <f>SUM(F12:I12)</f>
        <v/>
      </c>
    </row>
    <row r="13" ht="15" customHeight="1" s="133">
      <c r="B13" s="165" t="inlineStr">
        <is>
          <t>Всего по объекту:</t>
        </is>
      </c>
      <c r="C13" s="202" t="n"/>
      <c r="D13" s="202" t="n"/>
      <c r="E13" s="203" t="n"/>
      <c r="F13" s="153">
        <f>SUM(F12:F12)</f>
        <v/>
      </c>
      <c r="G13" s="153">
        <f>SUM(G12:G12)</f>
        <v/>
      </c>
      <c r="H13" s="153">
        <f>SUM(H12:H12)</f>
        <v/>
      </c>
      <c r="I13" s="153" t="n"/>
      <c r="J13" s="153">
        <f>SUM(F13:I13)</f>
        <v/>
      </c>
    </row>
    <row r="14" ht="15.75" customHeight="1" s="133">
      <c r="B14" s="165" t="inlineStr">
        <is>
          <t>Всего по объекту в сопоставимом уровне цен 3 кв. 2016г:</t>
        </is>
      </c>
      <c r="C14" s="202" t="n"/>
      <c r="D14" s="202" t="n"/>
      <c r="E14" s="203" t="n"/>
      <c r="F14" s="153">
        <f>F13</f>
        <v/>
      </c>
      <c r="G14" s="153">
        <f>G13</f>
        <v/>
      </c>
      <c r="H14" s="153">
        <f>H13</f>
        <v/>
      </c>
      <c r="I14" s="153">
        <f>(F14+G14)*3.9%*0.8+((F14+G14)*3.9%*0.8+F14+G14)*2.1%</f>
        <v/>
      </c>
      <c r="J14" s="153">
        <f>SUM(F14:I14)</f>
        <v/>
      </c>
    </row>
    <row r="18">
      <c r="C18" s="134" t="inlineStr">
        <is>
          <t>Составил ______________________        Е.А. Князева</t>
        </is>
      </c>
      <c r="D18" s="145" t="n"/>
    </row>
    <row r="19">
      <c r="C19" s="146" t="inlineStr">
        <is>
          <t xml:space="preserve">                         (подпись, инициалы, фамилия)</t>
        </is>
      </c>
      <c r="D19" s="145" t="n"/>
    </row>
    <row r="20">
      <c r="C20" s="134" t="n"/>
      <c r="D20" s="145" t="n"/>
    </row>
    <row r="21">
      <c r="C21" s="134" t="inlineStr">
        <is>
          <t>Проверил ______________________        А.В. Костянецкая</t>
        </is>
      </c>
      <c r="D21" s="145" t="n"/>
    </row>
    <row r="22">
      <c r="C22" s="146" t="inlineStr">
        <is>
          <t xml:space="preserve">                        (подпись, инициалы, фамилия)</t>
        </is>
      </c>
      <c r="D22" s="145" t="n"/>
    </row>
  </sheetData>
  <mergeCells count="11">
    <mergeCell ref="B6:C6"/>
    <mergeCell ref="D10:D11"/>
    <mergeCell ref="B4:K4"/>
    <mergeCell ref="D9:J9"/>
    <mergeCell ref="B13:E13"/>
    <mergeCell ref="F10:J10"/>
    <mergeCell ref="D6:J6"/>
    <mergeCell ref="B9:B11"/>
    <mergeCell ref="E10:E11"/>
    <mergeCell ref="C9:C11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L89"/>
  <sheetViews>
    <sheetView view="pageBreakPreview" topLeftCell="A69" workbookViewId="0">
      <selection activeCell="E89" sqref="E89"/>
    </sheetView>
  </sheetViews>
  <sheetFormatPr baseColWidth="8" defaultRowHeight="15"/>
  <cols>
    <col width="12.5703125" customWidth="1" style="133" min="2" max="2"/>
    <col width="17" customWidth="1" style="133" min="3" max="3"/>
    <col width="49.7109375" customWidth="1" style="133" min="4" max="4"/>
    <col width="16.28515625" customWidth="1" style="133" min="5" max="5"/>
    <col width="20.7109375" customWidth="1" style="133" min="6" max="6"/>
    <col width="16.140625" customWidth="1" style="133" min="7" max="7"/>
    <col width="16.7109375" customWidth="1" style="133" min="8" max="8"/>
    <col width="4.5703125" customWidth="1" style="133" min="9" max="9"/>
    <col width="12" customWidth="1" style="133" min="10" max="10"/>
    <col width="13" customWidth="1" style="133" min="11" max="11"/>
    <col width="9.140625" customWidth="1" style="133" min="12" max="12"/>
  </cols>
  <sheetData>
    <row r="1" ht="15.75" customHeight="1" s="133">
      <c r="A1" s="159" t="inlineStr">
        <is>
          <t xml:space="preserve">Приложение № 3 </t>
        </is>
      </c>
    </row>
    <row r="2" ht="18.75" customHeight="1" s="133">
      <c r="A2" s="160" t="inlineStr">
        <is>
          <t>Объектная ресурсная ведомость</t>
        </is>
      </c>
    </row>
    <row r="3">
      <c r="B3" s="106" t="n"/>
    </row>
    <row r="4" ht="18.75" customHeight="1" s="133">
      <c r="A4" s="160" t="n"/>
      <c r="B4" s="160" t="n"/>
      <c r="C4" s="170" t="n"/>
    </row>
    <row r="5" ht="18.75" customHeight="1" s="133">
      <c r="A5" s="36" t="n"/>
    </row>
    <row r="6" ht="32.25" customHeight="1" s="133">
      <c r="A6" s="162" t="inlineStr">
        <is>
          <t>Наименование разрабатываемого 
показателя УНЦ</t>
        </is>
      </c>
      <c r="D6" s="164" t="inlineStr">
        <is>
          <t>РЗиА ячейки выключателя 35 кВ</t>
        </is>
      </c>
    </row>
    <row r="7" hidden="1" ht="42" customHeight="1" s="133">
      <c r="A7" s="162" t="n"/>
      <c r="B7" s="162" t="n"/>
      <c r="C7" s="162" t="n"/>
      <c r="D7" s="102" t="n"/>
      <c r="E7" s="172" t="n"/>
      <c r="F7" s="172" t="n"/>
      <c r="G7" s="172" t="n"/>
      <c r="H7" s="172" t="n"/>
    </row>
    <row r="8" ht="15.75" customHeight="1" s="133">
      <c r="A8" s="164" t="n"/>
      <c r="B8" s="164" t="n"/>
      <c r="C8" s="164" t="n"/>
      <c r="D8" s="164" t="n"/>
      <c r="E8" s="164" t="n"/>
      <c r="F8" s="164" t="n"/>
      <c r="G8" s="164" t="n"/>
      <c r="H8" s="77" t="n"/>
    </row>
    <row r="9" ht="38.25" customHeight="1" s="133">
      <c r="A9" s="166" t="inlineStr">
        <is>
          <t>п/п</t>
        </is>
      </c>
      <c r="B9" s="166" t="inlineStr">
        <is>
          <t>№ЛСР</t>
        </is>
      </c>
      <c r="C9" s="166" t="inlineStr">
        <is>
          <t>Код ресурса</t>
        </is>
      </c>
      <c r="D9" s="166" t="inlineStr">
        <is>
          <t>Наименование ресурса</t>
        </is>
      </c>
      <c r="E9" s="166" t="inlineStr">
        <is>
          <t>Ед. изм.</t>
        </is>
      </c>
      <c r="F9" s="166" t="inlineStr">
        <is>
          <t>Кол-во единиц по данным объекта-представителя</t>
        </is>
      </c>
      <c r="G9" s="166" t="inlineStr">
        <is>
          <t>Сметная стоимость в ценах на 01.01.2000 (руб.)</t>
        </is>
      </c>
      <c r="H9" s="203" t="n"/>
    </row>
    <row r="10" ht="40.7" customHeight="1" s="133">
      <c r="A10" s="205" t="n"/>
      <c r="B10" s="205" t="n"/>
      <c r="C10" s="205" t="n"/>
      <c r="D10" s="205" t="n"/>
      <c r="E10" s="205" t="n"/>
      <c r="F10" s="205" t="n"/>
      <c r="G10" s="166" t="inlineStr">
        <is>
          <t>на ед.изм.</t>
        </is>
      </c>
      <c r="H10" s="166" t="inlineStr">
        <is>
          <t>общая</t>
        </is>
      </c>
    </row>
    <row r="11" ht="15.75" customHeight="1" s="133">
      <c r="A11" s="166" t="n">
        <v>1</v>
      </c>
      <c r="B11" s="51" t="n"/>
      <c r="C11" s="166" t="n">
        <v>2</v>
      </c>
      <c r="D11" s="166" t="inlineStr">
        <is>
          <t>З</t>
        </is>
      </c>
      <c r="E11" s="166" t="n">
        <v>4</v>
      </c>
      <c r="F11" s="166" t="n">
        <v>5</v>
      </c>
      <c r="G11" s="51" t="n">
        <v>6</v>
      </c>
      <c r="H11" s="51" t="n">
        <v>7</v>
      </c>
    </row>
    <row r="12" ht="15" customHeight="1" s="133">
      <c r="A12" s="168" t="inlineStr">
        <is>
          <t>Затраты труда рабочих</t>
        </is>
      </c>
      <c r="B12" s="202" t="n"/>
      <c r="C12" s="202" t="n"/>
      <c r="D12" s="202" t="n"/>
      <c r="E12" s="202" t="n"/>
      <c r="F12" s="52">
        <f>SUM(F13:F16)</f>
        <v/>
      </c>
      <c r="G12" s="53" t="n"/>
      <c r="H12" s="52">
        <f>SUM(H13:H16)</f>
        <v/>
      </c>
      <c r="J12" s="81" t="n"/>
      <c r="K12" s="18" t="n"/>
    </row>
    <row r="13">
      <c r="A13" s="132" t="n">
        <v>1</v>
      </c>
      <c r="B13" s="78" t="n"/>
      <c r="C13" s="132" t="inlineStr">
        <is>
          <t>1-3-8</t>
        </is>
      </c>
      <c r="D13" s="45" t="inlineStr">
        <is>
          <t>Затраты труда рабочих (средний разряд работы 3,8)</t>
        </is>
      </c>
      <c r="E13" s="194" t="inlineStr">
        <is>
          <t>чел.-ч</t>
        </is>
      </c>
      <c r="F13" s="109" t="n">
        <v>2475.11</v>
      </c>
      <c r="G13" s="47" t="n">
        <v>9.4</v>
      </c>
      <c r="H13" s="47">
        <f>ROUND(F13*G13,2)</f>
        <v/>
      </c>
    </row>
    <row r="14">
      <c r="A14" s="48" t="n">
        <v>2</v>
      </c>
      <c r="B14" s="78" t="n"/>
      <c r="C14" s="132" t="inlineStr">
        <is>
          <t>1-4-0</t>
        </is>
      </c>
      <c r="D14" s="45" t="inlineStr">
        <is>
          <t>Затраты труда рабочих (средний разряд работы 4,0)</t>
        </is>
      </c>
      <c r="E14" s="194" t="inlineStr">
        <is>
          <t>чел.-ч</t>
        </is>
      </c>
      <c r="F14" s="109" t="n">
        <v>1026.58</v>
      </c>
      <c r="G14" s="47" t="n">
        <v>9.619999999999999</v>
      </c>
      <c r="H14" s="47">
        <f>ROUND(F14*G14,2)</f>
        <v/>
      </c>
    </row>
    <row r="15">
      <c r="A15" s="48" t="n">
        <v>3</v>
      </c>
      <c r="B15" s="78" t="n"/>
      <c r="C15" s="132" t="inlineStr">
        <is>
          <t>1-4-2</t>
        </is>
      </c>
      <c r="D15" s="45" t="inlineStr">
        <is>
          <t>Затраты труда рабочих (средний разряд работы 4,2)</t>
        </is>
      </c>
      <c r="E15" s="194" t="inlineStr">
        <is>
          <t>чел.-ч</t>
        </is>
      </c>
      <c r="F15" s="109" t="n">
        <v>477.58</v>
      </c>
      <c r="G15" s="47" t="n">
        <v>9.92</v>
      </c>
      <c r="H15" s="47">
        <f>ROUND(F15*G15,2)</f>
        <v/>
      </c>
    </row>
    <row r="16">
      <c r="A16" s="48" t="n">
        <v>4</v>
      </c>
      <c r="B16" s="78" t="n"/>
      <c r="C16" s="132" t="inlineStr">
        <is>
          <t>1-4-1</t>
        </is>
      </c>
      <c r="D16" s="45" t="inlineStr">
        <is>
          <t>Затраты труда рабочих (средний разряд работы 4,1)</t>
        </is>
      </c>
      <c r="E16" s="194" t="inlineStr">
        <is>
          <t>чел.-ч</t>
        </is>
      </c>
      <c r="F16" s="109" t="n">
        <v>7.05</v>
      </c>
      <c r="G16" s="47" t="n">
        <v>9.76</v>
      </c>
      <c r="H16" s="47">
        <f>ROUND(F16*G16,2)</f>
        <v/>
      </c>
    </row>
    <row r="17" ht="15" customHeight="1" s="133">
      <c r="A17" s="167" t="inlineStr">
        <is>
          <t>Затраты труда машинистов</t>
        </is>
      </c>
      <c r="B17" s="202" t="n"/>
      <c r="C17" s="202" t="n"/>
      <c r="D17" s="202" t="n"/>
      <c r="E17" s="203" t="n"/>
      <c r="F17" s="53" t="n"/>
      <c r="G17" s="53" t="n"/>
      <c r="H17" s="52">
        <f>H18</f>
        <v/>
      </c>
    </row>
    <row r="18">
      <c r="A18" s="48" t="n">
        <v>5</v>
      </c>
      <c r="B18" s="78" t="n"/>
      <c r="C18" s="132" t="n">
        <v>2</v>
      </c>
      <c r="D18" s="45" t="inlineStr">
        <is>
          <t>Затраты труда машинистов</t>
        </is>
      </c>
      <c r="E18" s="194" t="inlineStr">
        <is>
          <t>чел.-ч</t>
        </is>
      </c>
      <c r="F18" s="194">
        <f>'Прил.5 Расчет СМР и ОБ'!E16</f>
        <v/>
      </c>
      <c r="G18" s="47" t="n"/>
      <c r="H18" s="41">
        <f>'Прил.5 Расчет СМР и ОБ'!G16</f>
        <v/>
      </c>
      <c r="L18" s="43" t="n"/>
    </row>
    <row r="19" ht="15" customHeight="1" s="133">
      <c r="A19" s="167" t="inlineStr">
        <is>
          <t>Машины и механизмы</t>
        </is>
      </c>
      <c r="B19" s="202" t="n"/>
      <c r="C19" s="202" t="n"/>
      <c r="D19" s="202" t="n"/>
      <c r="E19" s="203" t="n"/>
      <c r="F19" s="53" t="n"/>
      <c r="G19" s="53" t="n"/>
      <c r="H19" s="52">
        <f>SUM(H20:H27)</f>
        <v/>
      </c>
      <c r="K19" s="18" t="n"/>
    </row>
    <row r="20">
      <c r="A20" s="132" t="n">
        <v>6</v>
      </c>
      <c r="B20" s="78" t="n"/>
      <c r="C20" s="64" t="inlineStr">
        <is>
          <t>91.06.06-042</t>
        </is>
      </c>
      <c r="D20" s="45" t="inlineStr">
        <is>
          <t>Подъемники гидравлические, высота подъема 10 м</t>
        </is>
      </c>
      <c r="E20" s="194" t="inlineStr">
        <is>
          <t>маш.-ч</t>
        </is>
      </c>
      <c r="F20" s="194" t="n">
        <v>654.71</v>
      </c>
      <c r="G20" s="49" t="n">
        <v>29.6</v>
      </c>
      <c r="H20" s="47">
        <f>ROUND(F20*G20,2)</f>
        <v/>
      </c>
    </row>
    <row r="21" ht="25.5" customHeight="1" s="133">
      <c r="A21" s="132" t="n">
        <v>7</v>
      </c>
      <c r="B21" s="78" t="n"/>
      <c r="C21" s="64" t="inlineStr">
        <is>
          <t>91.05.05-014</t>
        </is>
      </c>
      <c r="D21" s="45" t="inlineStr">
        <is>
          <t>Краны на автомобильном ходу, грузоподъемность 10 т</t>
        </is>
      </c>
      <c r="E21" s="194" t="inlineStr">
        <is>
          <t>маш.-ч</t>
        </is>
      </c>
      <c r="F21" s="50" t="n">
        <v>82.04000000000001</v>
      </c>
      <c r="G21" s="49" t="n">
        <v>111.99</v>
      </c>
      <c r="H21" s="47">
        <f>ROUND(F21*G21,2)</f>
        <v/>
      </c>
    </row>
    <row r="22">
      <c r="A22" s="132" t="n">
        <v>8</v>
      </c>
      <c r="B22" s="78" t="n"/>
      <c r="C22" s="64" t="inlineStr">
        <is>
          <t>91.14.02-001</t>
        </is>
      </c>
      <c r="D22" s="45" t="inlineStr">
        <is>
          <t>Автомобили бортовые, грузоподъемность до 5 т</t>
        </is>
      </c>
      <c r="E22" s="194" t="inlineStr">
        <is>
          <t>маш.-ч</t>
        </is>
      </c>
      <c r="F22" s="194" t="n">
        <v>82.04000000000001</v>
      </c>
      <c r="G22" s="49" t="n">
        <v>65.70999999999999</v>
      </c>
      <c r="H22" s="47">
        <f>ROUND(F22*G22,2)</f>
        <v/>
      </c>
    </row>
    <row r="23" ht="25.5" customHeight="1" s="133">
      <c r="A23" s="132" t="n">
        <v>9</v>
      </c>
      <c r="B23" s="78" t="n"/>
      <c r="C23" s="64" t="inlineStr">
        <is>
          <t>91.17.04-233</t>
        </is>
      </c>
      <c r="D23" s="45" t="inlineStr">
        <is>
          <t>Установки для сварки ручной дуговой (постоянного тока)</t>
        </is>
      </c>
      <c r="E23" s="194" t="inlineStr">
        <is>
          <t>маш.-ч</t>
        </is>
      </c>
      <c r="F23" s="194" t="n">
        <v>584.97</v>
      </c>
      <c r="G23" s="49" t="n">
        <v>8.1</v>
      </c>
      <c r="H23" s="47">
        <f>ROUND(F23*G23,2)</f>
        <v/>
      </c>
    </row>
    <row r="24" ht="25.5" customHeight="1" s="133">
      <c r="A24" s="132" t="n">
        <v>10</v>
      </c>
      <c r="B24" s="78" t="n"/>
      <c r="C24" s="64" t="inlineStr">
        <is>
          <t>91.05.04-010</t>
        </is>
      </c>
      <c r="D24" s="45" t="inlineStr">
        <is>
          <t>Краны мостовые электрические, грузоподъемность 50 т</t>
        </is>
      </c>
      <c r="E24" s="194" t="inlineStr">
        <is>
          <t>маш.-ч</t>
        </is>
      </c>
      <c r="F24" s="194" t="n">
        <v>11.52</v>
      </c>
      <c r="G24" s="49" t="n">
        <v>197.01</v>
      </c>
      <c r="H24" s="47">
        <f>ROUND(F24*G24,2)</f>
        <v/>
      </c>
    </row>
    <row r="25" ht="25.5" customHeight="1" s="133">
      <c r="A25" s="132" t="n">
        <v>11</v>
      </c>
      <c r="B25" s="78" t="n"/>
      <c r="C25" s="64" t="inlineStr">
        <is>
          <t>91.17.04-161</t>
        </is>
      </c>
      <c r="D25" s="45" t="inlineStr">
        <is>
          <t>Полуавтоматы сварочные номинальным сварочным током 40-500 А</t>
        </is>
      </c>
      <c r="E25" s="194" t="inlineStr">
        <is>
          <t>маш.-ч</t>
        </is>
      </c>
      <c r="F25" s="194" t="n">
        <v>3.65</v>
      </c>
      <c r="G25" s="49" t="n">
        <v>16.44</v>
      </c>
      <c r="H25" s="47">
        <f>ROUND(F25*G25,2)</f>
        <v/>
      </c>
    </row>
    <row r="26" ht="25.5" customHeight="1" s="133">
      <c r="A26" s="132" t="n">
        <v>12</v>
      </c>
      <c r="B26" s="78" t="n"/>
      <c r="C26" s="64" t="inlineStr">
        <is>
          <t>91.06.03-061</t>
        </is>
      </c>
      <c r="D26" s="45" t="inlineStr">
        <is>
          <t>Лебедки электрические тяговым усилием: до 12,26 кН (1,25 т)</t>
        </is>
      </c>
      <c r="E26" s="194" t="inlineStr">
        <is>
          <t>маш.-ч</t>
        </is>
      </c>
      <c r="F26" s="194" t="n">
        <v>0.02</v>
      </c>
      <c r="G26" s="49" t="n">
        <v>3.28</v>
      </c>
      <c r="H26" s="47">
        <f>ROUND(F26*G26,2)</f>
        <v/>
      </c>
    </row>
    <row r="27" ht="25.5" customHeight="1" s="133">
      <c r="A27" s="132" t="n">
        <v>13</v>
      </c>
      <c r="B27" s="78" t="n"/>
      <c r="C27" s="64" t="inlineStr">
        <is>
          <t>91.06.01-003</t>
        </is>
      </c>
      <c r="D27" s="45" t="inlineStr">
        <is>
          <t>Домкраты гидравлические, грузоподъемность 63-100 т</t>
        </is>
      </c>
      <c r="E27" s="194" t="inlineStr">
        <is>
          <t>маш.-ч</t>
        </is>
      </c>
      <c r="F27" s="194" t="n">
        <v>0.02</v>
      </c>
      <c r="G27" s="49" t="n">
        <v>0.9</v>
      </c>
      <c r="H27" s="47">
        <f>ROUND(F27*G27,2)</f>
        <v/>
      </c>
    </row>
    <row r="28" ht="15" customHeight="1" s="133">
      <c r="A28" s="167" t="inlineStr">
        <is>
          <t>Оборудование</t>
        </is>
      </c>
      <c r="B28" s="202" t="n"/>
      <c r="C28" s="202" t="n"/>
      <c r="D28" s="202" t="n"/>
      <c r="E28" s="203" t="n"/>
      <c r="F28" s="53" t="n"/>
      <c r="G28" s="53" t="n"/>
      <c r="H28" s="52">
        <f>SUM(H29:H40)</f>
        <v/>
      </c>
    </row>
    <row r="29" ht="25.9" customHeight="1" s="133">
      <c r="A29" s="48" t="n">
        <v>14</v>
      </c>
      <c r="B29" s="167" t="n"/>
      <c r="C29" s="132" t="inlineStr">
        <is>
          <t>Прайс из СД ОП</t>
        </is>
      </c>
      <c r="D29" s="45" t="inlineStr">
        <is>
          <t>Дифференциальная защита шин (ошиновки) ДЗШ типа ШЭТ 140.01-0</t>
        </is>
      </c>
      <c r="E29" s="194" t="inlineStr">
        <is>
          <t>шт</t>
        </is>
      </c>
      <c r="F29" s="194" t="n">
        <v>1</v>
      </c>
      <c r="G29" s="47" t="n">
        <v>508206.162</v>
      </c>
      <c r="H29" s="47">
        <f>ROUND(F29*G29,2)</f>
        <v/>
      </c>
      <c r="K29" s="121" t="n"/>
    </row>
    <row r="30">
      <c r="A30" s="48" t="n">
        <v>15</v>
      </c>
      <c r="B30" s="167" t="n"/>
      <c r="C30" s="132" t="inlineStr">
        <is>
          <t>Прайс из СД ОП</t>
        </is>
      </c>
      <c r="D30" s="45" t="inlineStr">
        <is>
          <t>Шкаф управления разъединителем ШУР-1</t>
        </is>
      </c>
      <c r="E30" s="194" t="inlineStr">
        <is>
          <t>шт</t>
        </is>
      </c>
      <c r="F30" s="194" t="n">
        <v>12</v>
      </c>
      <c r="G30" s="47" t="n">
        <v>35051.118</v>
      </c>
      <c r="H30" s="47">
        <f>ROUND(F30*G30,2)</f>
        <v/>
      </c>
      <c r="K30" s="121" t="n"/>
    </row>
    <row r="31" ht="25.9" customHeight="1" s="133">
      <c r="A31" s="48" t="n">
        <v>16</v>
      </c>
      <c r="B31" s="167" t="n"/>
      <c r="C31" s="132" t="inlineStr">
        <is>
          <t>Прайс из СД ОП</t>
        </is>
      </c>
      <c r="D31" s="45" t="inlineStr">
        <is>
          <t>Комплект защит и автоматики ЛЭП 35 кВ типа ШЭТ 121.01-0</t>
        </is>
      </c>
      <c r="E31" s="194" t="inlineStr">
        <is>
          <t>шт</t>
        </is>
      </c>
      <c r="F31" s="194" t="n">
        <v>2</v>
      </c>
      <c r="G31" s="47" t="n">
        <v>157502.202</v>
      </c>
      <c r="H31" s="47">
        <f>ROUND(F31*G31,2)</f>
        <v/>
      </c>
      <c r="K31" s="121" t="n"/>
    </row>
    <row r="32" ht="25.9" customHeight="1" s="133">
      <c r="A32" s="48" t="n">
        <v>17</v>
      </c>
      <c r="B32" s="167" t="n"/>
      <c r="C32" s="132" t="inlineStr">
        <is>
          <t>Прайс из СД ОП</t>
        </is>
      </c>
      <c r="D32" s="45" t="inlineStr">
        <is>
          <t>Комплект защит и автоматики вводного выключателя 35 кВ типа ШЭТ 151.01-0</t>
        </is>
      </c>
      <c r="E32" s="194" t="inlineStr">
        <is>
          <t>шт</t>
        </is>
      </c>
      <c r="F32" s="194" t="n">
        <v>2</v>
      </c>
      <c r="G32" s="47" t="n">
        <v>157502.202</v>
      </c>
      <c r="H32" s="47">
        <f>ROUND(F32*G32,2)</f>
        <v/>
      </c>
      <c r="K32" s="121" t="n"/>
    </row>
    <row r="33" ht="25.9" customHeight="1" s="133">
      <c r="A33" s="48" t="n">
        <v>18</v>
      </c>
      <c r="B33" s="167" t="n"/>
      <c r="C33" s="132" t="inlineStr">
        <is>
          <t>Прайс из СД ОП</t>
        </is>
      </c>
      <c r="D33" s="45" t="inlineStr">
        <is>
          <t>Комплект защит трансформатора напряжения 35 кВ типа ШЭТ 160.01-0</t>
        </is>
      </c>
      <c r="E33" s="194" t="inlineStr">
        <is>
          <t>шт</t>
        </is>
      </c>
      <c r="F33" s="194" t="n">
        <v>2</v>
      </c>
      <c r="G33" s="47" t="n">
        <v>157502.202</v>
      </c>
      <c r="H33" s="47">
        <f>ROUND(F33*G33,2)</f>
        <v/>
      </c>
      <c r="K33" s="121" t="n"/>
    </row>
    <row r="34" ht="25.9" customHeight="1" s="133">
      <c r="A34" s="48" t="n">
        <v>19</v>
      </c>
      <c r="B34" s="167" t="n"/>
      <c r="C34" s="132" t="inlineStr">
        <is>
          <t>Прайс из СД ОП</t>
        </is>
      </c>
      <c r="D34" s="45" t="inlineStr">
        <is>
          <t>Шкаф организации ЦН двух ТН с резервированием от одного источника типа ШЭТ ЦН.1</t>
        </is>
      </c>
      <c r="E34" s="194" t="inlineStr">
        <is>
          <t>шт</t>
        </is>
      </c>
      <c r="F34" s="194" t="n">
        <v>1</v>
      </c>
      <c r="G34" s="47" t="n">
        <v>211989.162</v>
      </c>
      <c r="H34" s="47">
        <f>ROUND(F34*G34,2)</f>
        <v/>
      </c>
      <c r="K34" s="121" t="n"/>
    </row>
    <row r="35" ht="25.9" customHeight="1" s="133">
      <c r="A35" s="48" t="n">
        <v>20</v>
      </c>
      <c r="B35" s="167" t="n"/>
      <c r="C35" s="132" t="inlineStr">
        <is>
          <t>Прайс из СД ОП</t>
        </is>
      </c>
      <c r="D35" s="45" t="inlineStr">
        <is>
          <t>Комплект защит и автоматики секционного выключателя 35 кВ типа ШЭТ 151.02-0</t>
        </is>
      </c>
      <c r="E35" s="194" t="inlineStr">
        <is>
          <t>шт</t>
        </is>
      </c>
      <c r="F35" s="194" t="n">
        <v>1</v>
      </c>
      <c r="G35" s="47" t="n">
        <v>157502.202</v>
      </c>
      <c r="H35" s="47">
        <f>ROUND(F35*G35,2)</f>
        <v/>
      </c>
      <c r="K35" s="121" t="n"/>
    </row>
    <row r="36" ht="25.9" customHeight="1" s="133">
      <c r="A36" s="48" t="n">
        <v>21</v>
      </c>
      <c r="B36" s="167" t="n"/>
      <c r="C36" s="132" t="inlineStr">
        <is>
          <t>Прайс из СД ОП</t>
        </is>
      </c>
      <c r="D36" s="45" t="inlineStr">
        <is>
          <t>Шкаф зажимов выключателя типа ШЗВ-120 1 шкаф на присоединение</t>
        </is>
      </c>
      <c r="E36" s="194" t="inlineStr">
        <is>
          <t>шт</t>
        </is>
      </c>
      <c r="F36" s="194" t="n">
        <v>5</v>
      </c>
      <c r="G36" s="47" t="n">
        <v>19278.114</v>
      </c>
      <c r="H36" s="47">
        <f>ROUND(F36*G36,2)</f>
        <v/>
      </c>
      <c r="K36" s="121" t="n"/>
    </row>
    <row r="37">
      <c r="A37" s="48" t="n">
        <v>22</v>
      </c>
      <c r="B37" s="167" t="n"/>
      <c r="C37" s="132" t="inlineStr">
        <is>
          <t>Прайс из СД ОП</t>
        </is>
      </c>
      <c r="D37" s="45" t="inlineStr">
        <is>
          <t>Шкаф ОМП волнового типа с одним устройством</t>
        </is>
      </c>
      <c r="E37" s="194" t="inlineStr">
        <is>
          <t>шт</t>
        </is>
      </c>
      <c r="F37" s="194" t="n">
        <v>2</v>
      </c>
      <c r="G37" s="47" t="n">
        <v>61821.084</v>
      </c>
      <c r="H37" s="47">
        <f>ROUND(F37*G37,2)</f>
        <v/>
      </c>
      <c r="K37" s="121" t="n"/>
    </row>
    <row r="38">
      <c r="A38" s="48" t="n">
        <v>23</v>
      </c>
      <c r="B38" s="167" t="n"/>
      <c r="C38" s="132" t="inlineStr">
        <is>
          <t>Прайс из СД ОП</t>
        </is>
      </c>
      <c r="D38" s="45" t="inlineStr">
        <is>
          <t>Шкаф отбора напряжения ШОН шкаф/на линию</t>
        </is>
      </c>
      <c r="E38" s="194" t="inlineStr">
        <is>
          <t>шт</t>
        </is>
      </c>
      <c r="F38" s="194" t="n">
        <v>2</v>
      </c>
      <c r="G38" s="47" t="n">
        <v>38338.656</v>
      </c>
      <c r="H38" s="47">
        <f>ROUND(F38*G38,2)</f>
        <v/>
      </c>
    </row>
    <row r="39" ht="25.9" customHeight="1" s="133">
      <c r="A39" s="48" t="n">
        <v>24</v>
      </c>
      <c r="B39" s="167" t="n"/>
      <c r="C39" s="132" t="inlineStr">
        <is>
          <t>Прайс из СД ОП</t>
        </is>
      </c>
      <c r="D39" s="45" t="inlineStr">
        <is>
          <t>Шкаф ТН с тремя вторичными обмотками типа ШЭТ ТН.2</t>
        </is>
      </c>
      <c r="E39" s="194" t="inlineStr">
        <is>
          <t>шт</t>
        </is>
      </c>
      <c r="F39" s="194" t="n">
        <v>2</v>
      </c>
      <c r="G39" s="47" t="n">
        <v>35051.118</v>
      </c>
      <c r="H39" s="47">
        <f>ROUND(F39*G39,2)</f>
        <v/>
      </c>
    </row>
    <row r="40" ht="25.9" customHeight="1" s="133">
      <c r="A40" s="48" t="n">
        <v>25</v>
      </c>
      <c r="B40" s="167" t="n"/>
      <c r="C40" s="132" t="inlineStr">
        <is>
          <t>Прайс из СД ОП</t>
        </is>
      </c>
      <c r="D40" s="45" t="inlineStr">
        <is>
          <t>Шкаф ТТ наружной установки с цепями АИИС КУЭ типа ШЭТ ТТ.2</t>
        </is>
      </c>
      <c r="E40" s="194" t="inlineStr">
        <is>
          <t>шт</t>
        </is>
      </c>
      <c r="F40" s="194" t="n">
        <v>5</v>
      </c>
      <c r="G40" s="47" t="n">
        <v>12267.894</v>
      </c>
      <c r="H40" s="47">
        <f>ROUND(F40*G40,2)</f>
        <v/>
      </c>
    </row>
    <row r="41" ht="15" customHeight="1" s="133">
      <c r="A41" s="167" t="inlineStr">
        <is>
          <t>Материалы</t>
        </is>
      </c>
      <c r="B41" s="202" t="n"/>
      <c r="C41" s="202" t="n"/>
      <c r="D41" s="202" t="n"/>
      <c r="E41" s="203" t="n"/>
      <c r="F41" s="53" t="n"/>
      <c r="G41" s="53" t="n"/>
      <c r="H41" s="52">
        <f>SUM(H42:H82)</f>
        <v/>
      </c>
      <c r="K41" s="18" t="n"/>
    </row>
    <row r="42" ht="38.25" customHeight="1" s="133">
      <c r="A42" s="48" t="n">
        <v>26</v>
      </c>
      <c r="B42" s="78" t="n"/>
      <c r="C42" s="132" t="inlineStr">
        <is>
          <t>20.2.04.04-0001</t>
        </is>
      </c>
      <c r="D42" s="45" t="inlineStr">
        <is>
          <t>Короб кабельный прямой из оцинкованный стали толщиной 1,5 мм, размер 2000х150х100 мм, 1-канальный</t>
        </is>
      </c>
      <c r="E42" s="194" t="inlineStr">
        <is>
          <t>шт</t>
        </is>
      </c>
      <c r="F42" s="194" t="n">
        <v>2187.5</v>
      </c>
      <c r="G42" s="47" t="n">
        <v>157.3</v>
      </c>
      <c r="H42" s="47">
        <f>ROUND(F42*G42,2)</f>
        <v/>
      </c>
    </row>
    <row r="43" ht="25.5" customHeight="1" s="133">
      <c r="A43" s="48" t="n">
        <v>27</v>
      </c>
      <c r="B43" s="78" t="n"/>
      <c r="C43" s="64" t="inlineStr">
        <is>
          <t>21.1.06.09-0166</t>
        </is>
      </c>
      <c r="D43" s="45" t="inlineStr">
        <is>
          <t>Кабель силовой с медными жилами ВВГнг(A)-LS 4х25-660</t>
        </is>
      </c>
      <c r="E43" s="194" t="inlineStr">
        <is>
          <t>1000 м</t>
        </is>
      </c>
      <c r="F43" s="156" t="n">
        <v>3.4173611111111</v>
      </c>
      <c r="G43" s="47" t="n">
        <v>88071.37</v>
      </c>
      <c r="H43" s="47">
        <f>ROUND(F43*G43,2)</f>
        <v/>
      </c>
    </row>
    <row r="44">
      <c r="A44" s="48" t="n">
        <v>28</v>
      </c>
      <c r="B44" s="78" t="n"/>
      <c r="C44" s="64" t="inlineStr">
        <is>
          <t>21.1.08.03-0587</t>
        </is>
      </c>
      <c r="D44" s="45" t="inlineStr">
        <is>
          <t>Кабель контрольный КВВГЭнг(A)-LS 10х2,5</t>
        </is>
      </c>
      <c r="E44" s="194" t="inlineStr">
        <is>
          <t>1000 м</t>
        </is>
      </c>
      <c r="F44" s="156" t="n">
        <v>2.734375</v>
      </c>
      <c r="G44" s="47" t="n">
        <v>67943.28999999999</v>
      </c>
      <c r="H44" s="47">
        <f>ROUND(F44*G44,2)</f>
        <v/>
      </c>
    </row>
    <row r="45" ht="25.5" customHeight="1" s="133">
      <c r="A45" s="48" t="n">
        <v>29</v>
      </c>
      <c r="B45" s="78" t="n"/>
      <c r="C45" s="64" t="inlineStr">
        <is>
          <t>07.2.07.04-0007</t>
        </is>
      </c>
      <c r="D45" s="45" t="inlineStr">
        <is>
          <t>Конструкции стальные индивидуальные: решетчатые сварные массой до 0,1 т</t>
        </is>
      </c>
      <c r="E45" s="194" t="inlineStr">
        <is>
          <t>т</t>
        </is>
      </c>
      <c r="F45" s="156" t="n">
        <v>5.8541666666667</v>
      </c>
      <c r="G45" s="47" t="n">
        <v>11500</v>
      </c>
      <c r="H45" s="47">
        <f>ROUND(F45*G45,2)</f>
        <v/>
      </c>
    </row>
    <row r="46">
      <c r="A46" s="48" t="n">
        <v>30</v>
      </c>
      <c r="B46" s="78" t="n"/>
      <c r="C46" s="64" t="inlineStr">
        <is>
          <t>21.1.06.09-0111</t>
        </is>
      </c>
      <c r="D46" s="45" t="inlineStr">
        <is>
          <t>Кабель силовой с медными жилами ВВГнг 4х6-660</t>
        </is>
      </c>
      <c r="E46" s="194" t="inlineStr">
        <is>
          <t>1000 м</t>
        </is>
      </c>
      <c r="F46" s="156" t="n">
        <v>2.734375</v>
      </c>
      <c r="G46" s="47" t="n">
        <v>14867.6</v>
      </c>
      <c r="H46" s="47">
        <f>ROUND(F46*G46,2)</f>
        <v/>
      </c>
    </row>
    <row r="47">
      <c r="A47" s="48" t="n">
        <v>31</v>
      </c>
      <c r="B47" s="78" t="n"/>
      <c r="C47" s="64" t="inlineStr">
        <is>
          <t>01.7.11.07-0034</t>
        </is>
      </c>
      <c r="D47" s="45" t="inlineStr">
        <is>
          <t>Электроды диаметром: 4 мм Э42А</t>
        </is>
      </c>
      <c r="E47" s="194" t="inlineStr">
        <is>
          <t>кг</t>
        </is>
      </c>
      <c r="F47" s="156" t="n">
        <v>219.28472222222</v>
      </c>
      <c r="G47" s="47" t="n">
        <v>10.57</v>
      </c>
      <c r="H47" s="47">
        <f>ROUND(F47*G47,2)</f>
        <v/>
      </c>
    </row>
    <row r="48">
      <c r="A48" s="48" t="n">
        <v>32</v>
      </c>
      <c r="B48" s="78" t="n"/>
      <c r="C48" s="64" t="inlineStr">
        <is>
          <t>20.2.08.07-0033</t>
        </is>
      </c>
      <c r="D48" s="45" t="inlineStr">
        <is>
          <t>Скоба: У1078</t>
        </is>
      </c>
      <c r="E48" s="194" t="inlineStr">
        <is>
          <t>100 шт</t>
        </is>
      </c>
      <c r="F48" s="156" t="n">
        <v>3.0947916666667</v>
      </c>
      <c r="G48" s="47" t="n">
        <v>617</v>
      </c>
      <c r="H48" s="47">
        <f>ROUND(F48*G48,2)</f>
        <v/>
      </c>
    </row>
    <row r="49">
      <c r="A49" s="48" t="n">
        <v>33</v>
      </c>
      <c r="B49" s="78" t="n"/>
      <c r="C49" s="64" t="inlineStr">
        <is>
          <t>01.7.15.03-0042</t>
        </is>
      </c>
      <c r="D49" s="45" t="inlineStr">
        <is>
          <t>Болты с гайками и шайбами строительные</t>
        </is>
      </c>
      <c r="E49" s="194" t="inlineStr">
        <is>
          <t>кг</t>
        </is>
      </c>
      <c r="F49" s="156" t="n">
        <v>185.48576388889</v>
      </c>
      <c r="G49" s="47" t="n">
        <v>9.039999999999999</v>
      </c>
      <c r="H49" s="47">
        <f>ROUND(F49*G49,2)</f>
        <v/>
      </c>
    </row>
    <row r="50">
      <c r="A50" s="48" t="n">
        <v>34</v>
      </c>
      <c r="B50" s="78" t="n"/>
      <c r="C50" s="64" t="inlineStr">
        <is>
          <t>01.7.15.07-0014</t>
        </is>
      </c>
      <c r="D50" s="45" t="inlineStr">
        <is>
          <t>Дюбели распорные полипропиленовые</t>
        </is>
      </c>
      <c r="E50" s="194" t="inlineStr">
        <is>
          <t>100 шт</t>
        </is>
      </c>
      <c r="F50" s="156" t="n">
        <v>11.258333333333</v>
      </c>
      <c r="G50" s="47" t="n">
        <v>86</v>
      </c>
      <c r="H50" s="47">
        <f>ROUND(F50*G50,2)</f>
        <v/>
      </c>
    </row>
    <row r="51" ht="38.25" customHeight="1" s="133">
      <c r="A51" s="48" t="n">
        <v>35</v>
      </c>
      <c r="B51" s="78" t="n"/>
      <c r="C51" s="64" t="inlineStr">
        <is>
          <t>20.5.02.02-0001</t>
        </is>
      </c>
      <c r="D51" s="45" t="inlineStr">
        <is>
          <t>Коробка клеммная взрывозащищенная SA141410(1C10-1N-1PE- 1C2-1N-1PE-1FL3(C)-1FL2(C) 2Exel IT6, IP66</t>
        </is>
      </c>
      <c r="E51" s="194" t="inlineStr">
        <is>
          <t>шт.</t>
        </is>
      </c>
      <c r="F51" s="156" t="n">
        <v>0.34722222222222</v>
      </c>
      <c r="G51" s="47" t="n">
        <v>2639.24</v>
      </c>
      <c r="H51" s="47">
        <f>ROUND(F51*G51,2)</f>
        <v/>
      </c>
    </row>
    <row r="52">
      <c r="A52" s="48" t="n">
        <v>36</v>
      </c>
      <c r="B52" s="78" t="n"/>
      <c r="C52" s="64" t="inlineStr">
        <is>
          <t>14.4.02.09-0001</t>
        </is>
      </c>
      <c r="D52" s="45" t="inlineStr">
        <is>
          <t>Краска</t>
        </is>
      </c>
      <c r="E52" s="194" t="inlineStr">
        <is>
          <t>кг</t>
        </is>
      </c>
      <c r="F52" s="156" t="n">
        <v>24.923611111111</v>
      </c>
      <c r="G52" s="47" t="n">
        <v>28.6</v>
      </c>
      <c r="H52" s="47">
        <f>ROUND(F52*G52,2)</f>
        <v/>
      </c>
    </row>
    <row r="53">
      <c r="A53" s="48" t="n">
        <v>37</v>
      </c>
      <c r="B53" s="78" t="n"/>
      <c r="C53" s="64" t="inlineStr">
        <is>
          <t>01.7.15.07-0031</t>
        </is>
      </c>
      <c r="D53" s="45" t="inlineStr">
        <is>
          <t>Дюбели распорные с гайкой</t>
        </is>
      </c>
      <c r="E53" s="194" t="inlineStr">
        <is>
          <t>100 шт</t>
        </is>
      </c>
      <c r="F53" s="194" t="n">
        <v>4.5</v>
      </c>
      <c r="G53" s="47" t="n">
        <v>110</v>
      </c>
      <c r="H53" s="47">
        <f>ROUND(F53*G53,2)</f>
        <v/>
      </c>
    </row>
    <row r="54" ht="25.5" customHeight="1" s="133">
      <c r="A54" s="48" t="n">
        <v>38</v>
      </c>
      <c r="B54" s="78" t="n"/>
      <c r="C54" s="64" t="inlineStr">
        <is>
          <t>03.2.01.01-0003</t>
        </is>
      </c>
      <c r="D54" s="45" t="inlineStr">
        <is>
          <t>Портландцемент общестроительного назначения бездобавочный, марки: 500</t>
        </is>
      </c>
      <c r="E54" s="194" t="inlineStr">
        <is>
          <t>т</t>
        </is>
      </c>
      <c r="F54" s="109" t="n">
        <v>1.0128472222222</v>
      </c>
      <c r="G54" s="47" t="n">
        <v>480</v>
      </c>
      <c r="H54" s="47">
        <f>ROUND(F54*G54,2)</f>
        <v/>
      </c>
    </row>
    <row r="55" ht="25.5" customHeight="1" s="133">
      <c r="A55" s="48" t="n">
        <v>39</v>
      </c>
      <c r="B55" s="78" t="n"/>
      <c r="C55" s="64" t="inlineStr">
        <is>
          <t>999-9950</t>
        </is>
      </c>
      <c r="D55" s="45" t="inlineStr">
        <is>
          <t>Вспомогательные ненормируемые ресурсы (2% от Оплаты труда рабочих)</t>
        </is>
      </c>
      <c r="E55" s="194" t="inlineStr">
        <is>
          <t>руб.</t>
        </is>
      </c>
      <c r="F55" s="50" t="n">
        <v>260.98506944444</v>
      </c>
      <c r="G55" s="47" t="n">
        <v>1</v>
      </c>
      <c r="H55" s="47">
        <f>ROUND(F55*G55,2)</f>
        <v/>
      </c>
    </row>
    <row r="56">
      <c r="A56" s="48" t="n">
        <v>40</v>
      </c>
      <c r="B56" s="78" t="n"/>
      <c r="C56" s="64" t="inlineStr">
        <is>
          <t>08.1.02.13-0005</t>
        </is>
      </c>
      <c r="D56" s="45" t="inlineStr">
        <is>
          <t>Рукава металлические диаметром 15 мм РЗ-Ц-Х</t>
        </is>
      </c>
      <c r="E56" s="194" t="inlineStr">
        <is>
          <t>м</t>
        </is>
      </c>
      <c r="F56" s="109" t="n">
        <v>31.25</v>
      </c>
      <c r="G56" s="47" t="n">
        <v>8.279999999999999</v>
      </c>
      <c r="H56" s="47">
        <f>ROUND(F56*G56,2)</f>
        <v/>
      </c>
    </row>
    <row r="57" ht="25.5" customHeight="1" s="133">
      <c r="A57" s="48" t="n">
        <v>41</v>
      </c>
      <c r="B57" s="78" t="n"/>
      <c r="C57" s="64" t="inlineStr">
        <is>
          <t>08.3.07.01-0076</t>
        </is>
      </c>
      <c r="D57" s="45" t="inlineStr">
        <is>
          <t>Сталь полосовая, марка стали: Ст3сп шириной 50-200 мм толщиной 4-5 мм</t>
        </is>
      </c>
      <c r="E57" s="194" t="inlineStr">
        <is>
          <t>т</t>
        </is>
      </c>
      <c r="F57" s="109" t="n">
        <v>0.023125</v>
      </c>
      <c r="G57" s="47" t="n">
        <v>5000</v>
      </c>
      <c r="H57" s="47">
        <f>ROUND(F57*G57,2)</f>
        <v/>
      </c>
    </row>
    <row r="58" ht="25.5" customHeight="1" s="133">
      <c r="A58" s="48" t="n">
        <v>42</v>
      </c>
      <c r="B58" s="78" t="n"/>
      <c r="C58" s="64" t="inlineStr">
        <is>
          <t>21.2.01.02-0141</t>
        </is>
      </c>
      <c r="D58" s="45" t="inlineStr">
        <is>
          <t>Провода неизолированные для воздушных линий электропередачи медные марки: М, сечением 4 мм2</t>
        </is>
      </c>
      <c r="E58" s="194" t="inlineStr">
        <is>
          <t>т</t>
        </is>
      </c>
      <c r="F58" s="157" t="n">
        <v>0.0010069444444444</v>
      </c>
      <c r="G58" s="47" t="n">
        <v>96440</v>
      </c>
      <c r="H58" s="47">
        <f>ROUND(F58*G58,2)</f>
        <v/>
      </c>
    </row>
    <row r="59">
      <c r="A59" s="48" t="n">
        <v>43</v>
      </c>
      <c r="B59" s="78" t="n"/>
      <c r="C59" s="64" t="inlineStr">
        <is>
          <t>18.5.08.09-0001</t>
        </is>
      </c>
      <c r="D59" s="45" t="inlineStr">
        <is>
          <t>Патрубки</t>
        </is>
      </c>
      <c r="E59" s="194" t="inlineStr">
        <is>
          <t>10 шт</t>
        </is>
      </c>
      <c r="F59" s="109" t="n">
        <v>0.3125</v>
      </c>
      <c r="G59" s="47" t="n">
        <v>277.5</v>
      </c>
      <c r="H59" s="47">
        <f>ROUND(F59*G59,2)</f>
        <v/>
      </c>
    </row>
    <row r="60">
      <c r="A60" s="48" t="n">
        <v>44</v>
      </c>
      <c r="B60" s="78" t="n"/>
      <c r="C60" s="64" t="inlineStr">
        <is>
          <t>14.4.02.09-0301</t>
        </is>
      </c>
      <c r="D60" s="45" t="inlineStr">
        <is>
          <t>Краска "Цинол"</t>
        </is>
      </c>
      <c r="E60" s="194" t="inlineStr">
        <is>
          <t>кг</t>
        </is>
      </c>
      <c r="F60" s="109" t="n">
        <v>0.34722222222222</v>
      </c>
      <c r="G60" s="47" t="n">
        <v>238.48</v>
      </c>
      <c r="H60" s="47">
        <f>ROUND(F60*G60,2)</f>
        <v/>
      </c>
    </row>
    <row r="61">
      <c r="A61" s="48" t="n">
        <v>45</v>
      </c>
      <c r="B61" s="78" t="n"/>
      <c r="C61" s="64" t="inlineStr">
        <is>
          <t>20.1.02.23-0082</t>
        </is>
      </c>
      <c r="D61" s="45" t="inlineStr">
        <is>
          <t>Перемычки гибкие, тип ПГС-50</t>
        </is>
      </c>
      <c r="E61" s="194" t="inlineStr">
        <is>
          <t>10 шт</t>
        </is>
      </c>
      <c r="F61" s="109" t="n">
        <v>1.9479166666667</v>
      </c>
      <c r="G61" s="47" t="n">
        <v>39</v>
      </c>
      <c r="H61" s="47">
        <f>ROUND(F61*G61,2)</f>
        <v/>
      </c>
    </row>
    <row r="62" ht="25.5" customHeight="1" s="133">
      <c r="A62" s="48" t="n">
        <v>46</v>
      </c>
      <c r="B62" s="78" t="n"/>
      <c r="C62" s="64" t="inlineStr">
        <is>
          <t>02.3.01.02-0020</t>
        </is>
      </c>
      <c r="D62" s="45" t="inlineStr">
        <is>
          <t>Песок природный для строительных: растворов средний</t>
        </is>
      </c>
      <c r="E62" s="194" t="inlineStr">
        <is>
          <t>м3</t>
        </is>
      </c>
      <c r="F62" s="109" t="n">
        <v>0.8440972222222199</v>
      </c>
      <c r="G62" s="47" t="n">
        <v>59.99</v>
      </c>
      <c r="H62" s="47">
        <f>ROUND(F62*G62,2)</f>
        <v/>
      </c>
    </row>
    <row r="63" ht="25.5" customHeight="1" s="133">
      <c r="A63" s="48" t="n">
        <v>47</v>
      </c>
      <c r="B63" s="78" t="n"/>
      <c r="C63" s="64" t="inlineStr">
        <is>
          <t>10.3.02.03-0011</t>
        </is>
      </c>
      <c r="D63" s="45" t="inlineStr">
        <is>
          <t>Припои оловянно-свинцовые бессурьмянистые марки: ПОС30</t>
        </is>
      </c>
      <c r="E63" s="194" t="inlineStr">
        <is>
          <t>кг</t>
        </is>
      </c>
      <c r="F63" s="109" t="n">
        <v>0.45229166666667</v>
      </c>
      <c r="G63" s="47" t="n">
        <v>68.05</v>
      </c>
      <c r="H63" s="47">
        <f>ROUND(F63*G63,2)</f>
        <v/>
      </c>
    </row>
    <row r="64">
      <c r="A64" s="48" t="n">
        <v>48</v>
      </c>
      <c r="B64" s="78" t="n"/>
      <c r="C64" s="64" t="inlineStr">
        <is>
          <t>20.1.02.06-0001</t>
        </is>
      </c>
      <c r="D64" s="45" t="inlineStr">
        <is>
          <t>Жир паяльный</t>
        </is>
      </c>
      <c r="E64" s="194" t="inlineStr">
        <is>
          <t>кг</t>
        </is>
      </c>
      <c r="F64" s="109" t="n">
        <v>0.18055555555556</v>
      </c>
      <c r="G64" s="47" t="n">
        <v>100.8</v>
      </c>
      <c r="H64" s="47">
        <f>ROUND(F64*G64,2)</f>
        <v/>
      </c>
    </row>
    <row r="65">
      <c r="A65" s="48" t="n">
        <v>49</v>
      </c>
      <c r="B65" s="78" t="n"/>
      <c r="C65" s="64" t="inlineStr">
        <is>
          <t>01.3.01.01-0001</t>
        </is>
      </c>
      <c r="D65" s="45" t="inlineStr">
        <is>
          <t>Бензин авиационный Б-70</t>
        </is>
      </c>
      <c r="E65" s="194" t="inlineStr">
        <is>
          <t>т</t>
        </is>
      </c>
      <c r="F65" s="109" t="n">
        <v>0.0027777777777778</v>
      </c>
      <c r="G65" s="47" t="n">
        <v>4488.4</v>
      </c>
      <c r="H65" s="47">
        <f>ROUND(F65*G65,2)</f>
        <v/>
      </c>
    </row>
    <row r="66">
      <c r="A66" s="48" t="n">
        <v>50</v>
      </c>
      <c r="B66" s="78" t="n"/>
      <c r="C66" s="64" t="inlineStr">
        <is>
          <t>01.7.15.04-0011</t>
        </is>
      </c>
      <c r="D66" s="45" t="inlineStr">
        <is>
          <t>Винты с полукруглой головкой длиной: 50 мм</t>
        </is>
      </c>
      <c r="E66" s="194" t="inlineStr">
        <is>
          <t>т</t>
        </is>
      </c>
      <c r="F66" s="109" t="n">
        <v>0.00069444444444444</v>
      </c>
      <c r="G66" s="47" t="n">
        <v>12430</v>
      </c>
      <c r="H66" s="47">
        <f>ROUND(F66*G66,2)</f>
        <v/>
      </c>
    </row>
    <row r="67">
      <c r="A67" s="48" t="n">
        <v>51</v>
      </c>
      <c r="B67" s="78" t="n"/>
      <c r="C67" s="64" t="inlineStr">
        <is>
          <t>25.2.01.01-0017</t>
        </is>
      </c>
      <c r="D67" s="45" t="inlineStr">
        <is>
          <t>Бирки маркировочные пластмассовые</t>
        </is>
      </c>
      <c r="E67" s="194" t="inlineStr">
        <is>
          <t>100 шт</t>
        </is>
      </c>
      <c r="F67" s="109" t="n">
        <v>0.26388888888889</v>
      </c>
      <c r="G67" s="47" t="n">
        <v>30.74</v>
      </c>
      <c r="H67" s="47">
        <f>ROUND(F67*G67,2)</f>
        <v/>
      </c>
    </row>
    <row r="68" ht="25.5" customHeight="1" s="133">
      <c r="A68" s="48" t="n">
        <v>52</v>
      </c>
      <c r="B68" s="78" t="n"/>
      <c r="C68" s="64" t="inlineStr">
        <is>
          <t>01.7.06.05-0041</t>
        </is>
      </c>
      <c r="D68" s="45" t="inlineStr">
        <is>
          <t>Лента изоляционная прорезиненная односторонняя ширина 20 мм, толщина 0,25-0,35 мм</t>
        </is>
      </c>
      <c r="E68" s="194" t="inlineStr">
        <is>
          <t>кг</t>
        </is>
      </c>
      <c r="F68" s="109" t="n">
        <v>0.19444444444444</v>
      </c>
      <c r="G68" s="47" t="n">
        <v>30.4</v>
      </c>
      <c r="H68" s="47">
        <f>ROUND(F68*G68,2)</f>
        <v/>
      </c>
    </row>
    <row r="69">
      <c r="A69" s="48" t="n">
        <v>53</v>
      </c>
      <c r="B69" s="78" t="n"/>
      <c r="C69" s="64" t="inlineStr">
        <is>
          <t>08.3.07.01-0037</t>
        </is>
      </c>
      <c r="D69" s="45" t="inlineStr">
        <is>
          <t>Сталь полосовая 30х4 мм, марка Ст3сп</t>
        </is>
      </c>
      <c r="E69" s="194" t="inlineStr">
        <is>
          <t>т</t>
        </is>
      </c>
      <c r="F69" s="109" t="n">
        <v>0.00069444444444444</v>
      </c>
      <c r="G69" s="47" t="n">
        <v>6674.64</v>
      </c>
      <c r="H69" s="47">
        <f>ROUND(F69*G69,2)</f>
        <v/>
      </c>
    </row>
    <row r="70">
      <c r="A70" s="48" t="n">
        <v>54</v>
      </c>
      <c r="B70" s="78" t="n"/>
      <c r="C70" s="64" t="inlineStr">
        <is>
          <t>25.2.01.01-0001</t>
        </is>
      </c>
      <c r="D70" s="45" t="inlineStr">
        <is>
          <t>Бирки-оконцеватели</t>
        </is>
      </c>
      <c r="E70" s="194" t="inlineStr">
        <is>
          <t>100 шт</t>
        </is>
      </c>
      <c r="F70" s="109" t="n">
        <v>0.069444444444444</v>
      </c>
      <c r="G70" s="47" t="n">
        <v>63</v>
      </c>
      <c r="H70" s="47">
        <f>ROUND(F70*G70,2)</f>
        <v/>
      </c>
    </row>
    <row r="71">
      <c r="A71" s="48" t="n">
        <v>55</v>
      </c>
      <c r="B71" s="78" t="n"/>
      <c r="C71" s="64" t="inlineStr">
        <is>
          <t>01.3.02.09-0022</t>
        </is>
      </c>
      <c r="D71" s="45" t="inlineStr">
        <is>
          <t>Пропан-бутан, смесь техническая</t>
        </is>
      </c>
      <c r="E71" s="194" t="inlineStr">
        <is>
          <t>кг</t>
        </is>
      </c>
      <c r="F71" s="109" t="n">
        <v>0.52083333333333</v>
      </c>
      <c r="G71" s="47" t="n">
        <v>6.09</v>
      </c>
      <c r="H71" s="47">
        <f>ROUND(F71*G71,2)</f>
        <v/>
      </c>
    </row>
    <row r="72" ht="25.5" customHeight="1" s="133">
      <c r="A72" s="48" t="n">
        <v>56</v>
      </c>
      <c r="B72" s="78" t="n"/>
      <c r="C72" s="64" t="inlineStr">
        <is>
          <t>10.3.02.03-0013</t>
        </is>
      </c>
      <c r="D72" s="45" t="inlineStr">
        <is>
          <t>Припои оловянно-свинцовые бессурьмянистые марки: ПОС61</t>
        </is>
      </c>
      <c r="E72" s="194" t="inlineStr">
        <is>
          <t>кг</t>
        </is>
      </c>
      <c r="F72" s="109" t="n">
        <v>0.0203125</v>
      </c>
      <c r="G72" s="47" t="n">
        <v>114.22</v>
      </c>
      <c r="H72" s="47">
        <f>ROUND(F72*G72,2)</f>
        <v/>
      </c>
    </row>
    <row r="73">
      <c r="A73" s="48" t="n">
        <v>57</v>
      </c>
      <c r="B73" s="78" t="n"/>
      <c r="C73" s="64" t="inlineStr">
        <is>
          <t>01.3.01.05-0009</t>
        </is>
      </c>
      <c r="D73" s="45" t="inlineStr">
        <is>
          <t>Парафины нефтяные твердые марки Т-1</t>
        </is>
      </c>
      <c r="E73" s="194" t="inlineStr">
        <is>
          <t>т</t>
        </is>
      </c>
      <c r="F73" s="156" t="n">
        <v>0.00013888888888889</v>
      </c>
      <c r="G73" s="47" t="n">
        <v>8105.71</v>
      </c>
      <c r="H73" s="47">
        <f>ROUND(F73*G73,2)</f>
        <v/>
      </c>
    </row>
    <row r="74">
      <c r="A74" s="48" t="n">
        <v>58</v>
      </c>
      <c r="B74" s="78" t="n"/>
      <c r="C74" s="64" t="inlineStr">
        <is>
          <t>01.7.06.07-0001</t>
        </is>
      </c>
      <c r="D74" s="45" t="inlineStr">
        <is>
          <t>Лента К226</t>
        </is>
      </c>
      <c r="E74" s="194" t="inlineStr">
        <is>
          <t>100 м</t>
        </is>
      </c>
      <c r="F74" s="109" t="n">
        <v>0.008402777777777801</v>
      </c>
      <c r="G74" s="47" t="n">
        <v>120</v>
      </c>
      <c r="H74" s="47">
        <f>ROUND(F74*G74,2)</f>
        <v/>
      </c>
    </row>
    <row r="75">
      <c r="A75" s="48" t="n">
        <v>59</v>
      </c>
      <c r="B75" s="78" t="n"/>
      <c r="C75" s="64" t="inlineStr">
        <is>
          <t>20.2.02.01-0019</t>
        </is>
      </c>
      <c r="D75" s="45" t="inlineStr">
        <is>
          <t>Втулки изолирующие</t>
        </is>
      </c>
      <c r="E75" s="194" t="inlineStr">
        <is>
          <t>1000 шт</t>
        </is>
      </c>
      <c r="F75" s="109" t="n">
        <v>0.003125</v>
      </c>
      <c r="G75" s="47" t="n">
        <v>270</v>
      </c>
      <c r="H75" s="47">
        <f>ROUND(F75*G75,2)</f>
        <v/>
      </c>
    </row>
    <row r="76">
      <c r="A76" s="132" t="n">
        <v>60</v>
      </c>
      <c r="B76" s="78" t="n"/>
      <c r="C76" s="64" t="inlineStr">
        <is>
          <t>24.3.01.01-0002</t>
        </is>
      </c>
      <c r="D76" s="45" t="inlineStr">
        <is>
          <t>Трубка полихлорвиниловая</t>
        </is>
      </c>
      <c r="E76" s="194" t="inlineStr">
        <is>
          <t>кг</t>
        </is>
      </c>
      <c r="F76" s="109" t="n">
        <v>0.010555555555556</v>
      </c>
      <c r="G76" s="47" t="n">
        <v>35.7</v>
      </c>
      <c r="H76" s="47">
        <f>ROUND(F76*G76,2)</f>
        <v/>
      </c>
    </row>
    <row r="77">
      <c r="A77" s="132" t="n">
        <v>61</v>
      </c>
      <c r="B77" s="78" t="n"/>
      <c r="C77" s="64" t="inlineStr">
        <is>
          <t>01.3.01.02-0002</t>
        </is>
      </c>
      <c r="D77" s="45" t="inlineStr">
        <is>
          <t>Вазелин технический</t>
        </is>
      </c>
      <c r="E77" s="194" t="inlineStr">
        <is>
          <t>кг</t>
        </is>
      </c>
      <c r="F77" s="156" t="n">
        <v>0.0069444444444444</v>
      </c>
      <c r="G77" s="47" t="n">
        <v>44.97</v>
      </c>
      <c r="H77" s="47">
        <f>ROUND(F77*G77,2)</f>
        <v/>
      </c>
    </row>
    <row r="78">
      <c r="A78" s="132" t="n">
        <v>62</v>
      </c>
      <c r="B78" s="78" t="n"/>
      <c r="C78" s="64" t="inlineStr">
        <is>
          <t>01.3.01.07-0009</t>
        </is>
      </c>
      <c r="D78" s="45" t="inlineStr">
        <is>
          <t>Спирт этиловый ректификованный технический, сорт I</t>
        </is>
      </c>
      <c r="E78" s="194" t="inlineStr">
        <is>
          <t>кг</t>
        </is>
      </c>
      <c r="F78" s="156" t="n">
        <v>0.0076388888888889</v>
      </c>
      <c r="G78" s="47" t="n">
        <v>38.89</v>
      </c>
      <c r="H78" s="47">
        <f>ROUND(F78*G78,2)</f>
        <v/>
      </c>
    </row>
    <row r="79">
      <c r="A79" s="132" t="n">
        <v>63</v>
      </c>
      <c r="B79" s="78" t="n"/>
      <c r="C79" s="64" t="inlineStr">
        <is>
          <t>14.4.03.17-0011</t>
        </is>
      </c>
      <c r="D79" s="45" t="inlineStr">
        <is>
          <t>Лак электроизоляционный 318</t>
        </is>
      </c>
      <c r="E79" s="194" t="inlineStr">
        <is>
          <t>кг</t>
        </is>
      </c>
      <c r="F79" s="109" t="n">
        <v>0.0069444444444444</v>
      </c>
      <c r="G79" s="47" t="n">
        <v>35.63</v>
      </c>
      <c r="H79" s="47">
        <f>ROUND(F79*G79,2)</f>
        <v/>
      </c>
    </row>
    <row r="80">
      <c r="A80" s="132" t="n">
        <v>64</v>
      </c>
      <c r="B80" s="78" t="n"/>
      <c r="C80" s="64" t="inlineStr">
        <is>
          <t>01.3.05.17-0002</t>
        </is>
      </c>
      <c r="D80" s="45" t="inlineStr">
        <is>
          <t>Канифоль сосновая</t>
        </is>
      </c>
      <c r="E80" s="194" t="inlineStr">
        <is>
          <t>кг</t>
        </is>
      </c>
      <c r="F80" s="109" t="n">
        <v>0.005</v>
      </c>
      <c r="G80" s="47" t="n">
        <v>27.74</v>
      </c>
      <c r="H80" s="47">
        <f>ROUND(F80*G80,2)</f>
        <v/>
      </c>
    </row>
    <row r="81">
      <c r="A81" s="132" t="n">
        <v>65</v>
      </c>
      <c r="B81" s="78" t="n"/>
      <c r="C81" s="64" t="inlineStr">
        <is>
          <t>01.7.20.04-0005</t>
        </is>
      </c>
      <c r="D81" s="45" t="inlineStr">
        <is>
          <t>Нитки швейные</t>
        </is>
      </c>
      <c r="E81" s="194" t="inlineStr">
        <is>
          <t>кг</t>
        </is>
      </c>
      <c r="F81" s="109" t="n">
        <v>0.00069444444444444</v>
      </c>
      <c r="G81" s="47" t="n">
        <v>133.05</v>
      </c>
      <c r="H81" s="47">
        <f>ROUND(F81*G81,2)</f>
        <v/>
      </c>
    </row>
    <row r="82">
      <c r="A82" s="132" t="n">
        <v>66</v>
      </c>
      <c r="B82" s="78" t="n"/>
      <c r="C82" s="64" t="inlineStr">
        <is>
          <t>01.7.02.09-0002</t>
        </is>
      </c>
      <c r="D82" s="45" t="inlineStr">
        <is>
          <t>Шпагат бумажный</t>
        </is>
      </c>
      <c r="E82" s="194" t="inlineStr">
        <is>
          <t>кг</t>
        </is>
      </c>
      <c r="F82" s="109" t="n">
        <v>0.0013888888888889</v>
      </c>
      <c r="G82" s="47" t="n">
        <v>11.5</v>
      </c>
      <c r="H82" s="47">
        <f>ROUND(F82*G82,2)</f>
        <v/>
      </c>
    </row>
    <row r="83">
      <c r="K83" s="105" t="n"/>
    </row>
    <row r="85">
      <c r="B85" s="134" t="inlineStr">
        <is>
          <t>Составил ______________________        Е.А. Князева</t>
        </is>
      </c>
      <c r="C85" s="145" t="n"/>
    </row>
    <row r="86">
      <c r="B86" s="146" t="inlineStr">
        <is>
          <t xml:space="preserve">                         (подпись, инициалы, фамилия)</t>
        </is>
      </c>
      <c r="C86" s="145" t="n"/>
    </row>
    <row r="87">
      <c r="B87" s="134" t="n"/>
      <c r="C87" s="145" t="n"/>
    </row>
    <row r="88">
      <c r="B88" s="134" t="inlineStr">
        <is>
          <t>Проверил ______________________        А.В. Костянецкая</t>
        </is>
      </c>
      <c r="C88" s="145" t="n"/>
    </row>
    <row r="89">
      <c r="B89" s="146" t="inlineStr">
        <is>
          <t xml:space="preserve">                        (подпись, инициалы, фамилия)</t>
        </is>
      </c>
      <c r="C89" s="145" t="n"/>
    </row>
  </sheetData>
  <mergeCells count="17">
    <mergeCell ref="C9:C10"/>
    <mergeCell ref="B9:B10"/>
    <mergeCell ref="A12:E12"/>
    <mergeCell ref="E9:E10"/>
    <mergeCell ref="D9:D10"/>
    <mergeCell ref="D6:H6"/>
    <mergeCell ref="F9:F10"/>
    <mergeCell ref="A9:A10"/>
    <mergeCell ref="A2:H2"/>
    <mergeCell ref="A28:E28"/>
    <mergeCell ref="A6:C6"/>
    <mergeCell ref="A41:E41"/>
    <mergeCell ref="A19:E19"/>
    <mergeCell ref="C4:H4"/>
    <mergeCell ref="A1:H1"/>
    <mergeCell ref="G9:H9"/>
    <mergeCell ref="A17:E17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6" workbookViewId="0">
      <selection activeCell="D45" sqref="D45"/>
    </sheetView>
  </sheetViews>
  <sheetFormatPr baseColWidth="8" defaultRowHeight="15"/>
  <cols>
    <col width="4.140625" customWidth="1" style="133" min="1" max="1"/>
    <col width="36.28515625" customWidth="1" style="133" min="2" max="2"/>
    <col width="18.85546875" customWidth="1" style="133" min="3" max="3"/>
    <col width="18.28515625" customWidth="1" style="133" min="4" max="4"/>
    <col width="18.85546875" customWidth="1" style="133" min="5" max="5"/>
    <col width="9.140625" customWidth="1" style="133" min="6" max="6"/>
    <col width="12.85546875" customWidth="1" style="133" min="7" max="7"/>
    <col width="9.140625" customWidth="1" style="133" min="8" max="11"/>
    <col width="13.5703125" customWidth="1" style="133" min="12" max="12"/>
    <col width="9.140625" customWidth="1" style="133" min="13" max="13"/>
  </cols>
  <sheetData>
    <row r="1">
      <c r="B1" s="134" t="n"/>
      <c r="C1" s="134" t="n"/>
      <c r="D1" s="134" t="n"/>
      <c r="E1" s="193" t="inlineStr">
        <is>
          <t>Приложение № 4</t>
        </is>
      </c>
    </row>
    <row r="2" hidden="1" s="133">
      <c r="B2" s="134" t="n"/>
      <c r="C2" s="134" t="n"/>
      <c r="D2" s="134" t="n"/>
      <c r="E2" s="134" t="n"/>
    </row>
    <row r="3" hidden="1" s="133">
      <c r="B3" s="134" t="n"/>
      <c r="C3" s="134" t="n"/>
      <c r="D3" s="134" t="n"/>
      <c r="E3" s="134" t="n"/>
    </row>
    <row r="4">
      <c r="B4" s="171" t="inlineStr">
        <is>
          <t>Ресурсная модель</t>
        </is>
      </c>
    </row>
    <row r="5" ht="8.449999999999999" customHeight="1" s="133">
      <c r="B5" s="16" t="n"/>
      <c r="C5" s="134" t="n"/>
      <c r="D5" s="134" t="n"/>
      <c r="E5" s="134" t="n"/>
    </row>
    <row r="6" ht="67.7" customHeight="1" s="133">
      <c r="B6" s="162">
        <f>'Прил.1 Сравнит табл'!B6</f>
        <v/>
      </c>
      <c r="C6" s="172" t="n"/>
      <c r="D6" s="172">
        <f>'Прил.1 Сравнит табл'!D6</f>
        <v/>
      </c>
    </row>
    <row r="7" ht="15.75" customHeight="1" s="133">
      <c r="B7" s="162">
        <f>'Прил.1 Сравнит табл'!B8</f>
        <v/>
      </c>
      <c r="C7" s="162" t="n"/>
      <c r="D7" s="162" t="n"/>
      <c r="E7" s="162" t="n"/>
    </row>
    <row r="8" hidden="1" ht="15.75" customHeight="1" s="133">
      <c r="B8" s="162" t="n"/>
      <c r="C8" s="162" t="n"/>
      <c r="D8" s="162" t="n"/>
      <c r="E8" s="162" t="n"/>
    </row>
    <row r="9">
      <c r="B9" s="16" t="n"/>
      <c r="C9" s="134" t="n"/>
      <c r="D9" s="134" t="n"/>
      <c r="E9" s="134" t="n"/>
    </row>
    <row r="10" ht="51" customHeight="1" s="133">
      <c r="B10" s="174" t="inlineStr">
        <is>
          <t>Наименование</t>
        </is>
      </c>
      <c r="C10" s="174" t="inlineStr">
        <is>
          <t>Сметная стоимость в ценах на 01.01.2023
 (руб.)</t>
        </is>
      </c>
      <c r="D10" s="174" t="inlineStr">
        <is>
          <t>Удельный вес, 
(в СМР)</t>
        </is>
      </c>
      <c r="E10" s="174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140">
        <f>'Прил.5 Расчет СМР и ОБ'!J14</f>
        <v/>
      </c>
      <c r="D11" s="55">
        <f>C11/$C$24</f>
        <v/>
      </c>
      <c r="E11" s="55">
        <f>C11/$C$40</f>
        <v/>
      </c>
    </row>
    <row r="12">
      <c r="B12" s="7" t="inlineStr">
        <is>
          <t>Эксплуатация машин основных</t>
        </is>
      </c>
      <c r="C12" s="140">
        <f>'Прил.5 Расчет СМР и ОБ'!J23</f>
        <v/>
      </c>
      <c r="D12" s="55">
        <f>C12/$C$24</f>
        <v/>
      </c>
      <c r="E12" s="55">
        <f>C12/$C$40</f>
        <v/>
      </c>
    </row>
    <row r="13">
      <c r="B13" s="7" t="inlineStr">
        <is>
          <t>Эксплуатация машин прочих</t>
        </is>
      </c>
      <c r="C13" s="140">
        <f>'Прил.5 Расчет СМР и ОБ'!J28</f>
        <v/>
      </c>
      <c r="D13" s="55">
        <f>C13/$C$24</f>
        <v/>
      </c>
      <c r="E13" s="55">
        <f>C13/$C$40</f>
        <v/>
      </c>
    </row>
    <row r="14">
      <c r="B14" s="7" t="inlineStr">
        <is>
          <t>ЭКСПЛУАТАЦИЯ МАШИН, ВСЕГО:</t>
        </is>
      </c>
      <c r="C14" s="140">
        <f>C13+C12</f>
        <v/>
      </c>
      <c r="D14" s="55">
        <f>C14/$C$24</f>
        <v/>
      </c>
      <c r="E14" s="55">
        <f>C14/$C$40</f>
        <v/>
      </c>
    </row>
    <row r="15">
      <c r="B15" s="7" t="inlineStr">
        <is>
          <t>в том числе зарплата машинистов</t>
        </is>
      </c>
      <c r="C15" s="140">
        <f>'Прил.5 Расчет СМР и ОБ'!J16</f>
        <v/>
      </c>
      <c r="D15" s="55">
        <f>C15/$C$24</f>
        <v/>
      </c>
      <c r="E15" s="55">
        <f>C15/$C$40</f>
        <v/>
      </c>
    </row>
    <row r="16">
      <c r="B16" s="7" t="inlineStr">
        <is>
          <t>Материалы основные</t>
        </is>
      </c>
      <c r="C16" s="140">
        <f>'Прил.5 Расчет СМР и ОБ'!J53</f>
        <v/>
      </c>
      <c r="D16" s="55">
        <f>C16/$C$24</f>
        <v/>
      </c>
      <c r="E16" s="55">
        <f>C16/$C$40</f>
        <v/>
      </c>
    </row>
    <row r="17">
      <c r="B17" s="7" t="inlineStr">
        <is>
          <t>Материалы прочие</t>
        </is>
      </c>
      <c r="C17" s="140">
        <f>'Прил.5 Расчет СМР и ОБ'!J92</f>
        <v/>
      </c>
      <c r="D17" s="55">
        <f>C17/$C$24</f>
        <v/>
      </c>
      <c r="E17" s="55">
        <f>C17/$C$40</f>
        <v/>
      </c>
      <c r="G17" s="17" t="n"/>
    </row>
    <row r="18">
      <c r="B18" s="7" t="inlineStr">
        <is>
          <t>МАТЕРИАЛЫ, ВСЕГО:</t>
        </is>
      </c>
      <c r="C18" s="140">
        <f>C17+C16</f>
        <v/>
      </c>
      <c r="D18" s="55">
        <f>C18/$C$24</f>
        <v/>
      </c>
      <c r="E18" s="55">
        <f>C18/$C$40</f>
        <v/>
      </c>
    </row>
    <row r="19">
      <c r="B19" s="7" t="inlineStr">
        <is>
          <t>ИТОГО</t>
        </is>
      </c>
      <c r="C19" s="140">
        <f>C18+C14+C11</f>
        <v/>
      </c>
      <c r="D19" s="55" t="n"/>
      <c r="E19" s="7" t="n"/>
    </row>
    <row r="20">
      <c r="B20" s="7" t="inlineStr">
        <is>
          <t>Сметная прибыль, руб.</t>
        </is>
      </c>
      <c r="C20" s="140">
        <f>ROUND(C21*(C11+C15),2)</f>
        <v/>
      </c>
      <c r="D20" s="55">
        <f>C20/$C$24</f>
        <v/>
      </c>
      <c r="E20" s="55">
        <f>C20/$C$40</f>
        <v/>
      </c>
    </row>
    <row r="21">
      <c r="B21" s="7" t="inlineStr">
        <is>
          <t>Сметная прибыль, %</t>
        </is>
      </c>
      <c r="C21" s="57">
        <f>'Прил.5 Расчет СМР и ОБ'!E96</f>
        <v/>
      </c>
      <c r="D21" s="55" t="n"/>
      <c r="E21" s="7" t="n"/>
    </row>
    <row r="22">
      <c r="B22" s="7" t="inlineStr">
        <is>
          <t>Накладные расходы, руб.</t>
        </is>
      </c>
      <c r="C22" s="140">
        <f>ROUND(C23*(C11+C15),2)</f>
        <v/>
      </c>
      <c r="D22" s="55">
        <f>C22/$C$24</f>
        <v/>
      </c>
      <c r="E22" s="55">
        <f>C22/$C$40</f>
        <v/>
      </c>
    </row>
    <row r="23">
      <c r="B23" s="7" t="inlineStr">
        <is>
          <t>Накладные расходы, %</t>
        </is>
      </c>
      <c r="C23" s="57">
        <f>'Прил.5 Расчет СМР и ОБ'!E95</f>
        <v/>
      </c>
      <c r="D23" s="55" t="n"/>
      <c r="E23" s="7" t="n"/>
    </row>
    <row r="24">
      <c r="B24" s="7" t="inlineStr">
        <is>
          <t>ВСЕГО СМР с НР и СП</t>
        </is>
      </c>
      <c r="C24" s="140">
        <f>C19+C20+C22</f>
        <v/>
      </c>
      <c r="D24" s="55">
        <f>C24/$C$24</f>
        <v/>
      </c>
      <c r="E24" s="55">
        <f>C24/$C$40</f>
        <v/>
      </c>
    </row>
    <row r="25" ht="25.5" customHeight="1" s="133">
      <c r="B25" s="7" t="inlineStr">
        <is>
          <t>ВСЕГО стоимость оборудования, в том числе</t>
        </is>
      </c>
      <c r="C25" s="140">
        <f>'Прил.5 Расчет СМР и ОБ'!J47</f>
        <v/>
      </c>
      <c r="D25" s="55" t="n"/>
      <c r="E25" s="55">
        <f>C25/$C$40</f>
        <v/>
      </c>
    </row>
    <row r="26" ht="25.5" customHeight="1" s="133">
      <c r="B26" s="7" t="inlineStr">
        <is>
          <t>стоимость оборудования технологического</t>
        </is>
      </c>
      <c r="C26" s="140">
        <f>C25</f>
        <v/>
      </c>
      <c r="D26" s="55" t="n"/>
      <c r="E26" s="55">
        <f>C26/$C$40</f>
        <v/>
      </c>
    </row>
    <row r="27">
      <c r="B27" s="7" t="inlineStr">
        <is>
          <t>ИТОГО (СМР + ОБОРУДОВАНИЕ)</t>
        </is>
      </c>
      <c r="C27" s="54">
        <f>C24+C25</f>
        <v/>
      </c>
      <c r="D27" s="55" t="n"/>
      <c r="E27" s="55">
        <f>C27/$C$40</f>
        <v/>
      </c>
    </row>
    <row r="28" ht="33" customHeight="1" s="133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 s="133">
      <c r="B29" s="7" t="inlineStr">
        <is>
          <t>Временные здания и сооружения - 3,9%</t>
        </is>
      </c>
      <c r="C29" s="54">
        <f>ROUND(C24*3.9%,2)</f>
        <v/>
      </c>
      <c r="D29" s="7" t="n"/>
      <c r="E29" s="55">
        <f>C29/$C$40</f>
        <v/>
      </c>
    </row>
    <row r="30" ht="38.25" customHeight="1" s="133">
      <c r="B30" s="7" t="inlineStr">
        <is>
          <t>Дополнительные затраты при производстве строительно-монтажных работ в зимнее время - 2,1%</t>
        </is>
      </c>
      <c r="C30" s="54">
        <f>ROUND((C24+C29)*2.1%,2)</f>
        <v/>
      </c>
      <c r="D30" s="7" t="n"/>
      <c r="E30" s="55">
        <f>C30/$C$40</f>
        <v/>
      </c>
    </row>
    <row r="31">
      <c r="B31" s="7" t="inlineStr">
        <is>
          <t>Пусконаладочные работы</t>
        </is>
      </c>
      <c r="C31" s="54" t="n">
        <v>1580720.5</v>
      </c>
      <c r="D31" s="7" t="n"/>
      <c r="E31" s="55">
        <f>C31/$C$40</f>
        <v/>
      </c>
    </row>
    <row r="32" ht="25.5" customHeight="1" s="133">
      <c r="B32" s="7" t="inlineStr">
        <is>
          <t>Затраты по перевозке работников к месту работы и обратно</t>
        </is>
      </c>
      <c r="C32" s="54">
        <f>ROUND($C$27*0%,2)</f>
        <v/>
      </c>
      <c r="D32" s="7" t="n"/>
      <c r="E32" s="55">
        <f>C32/$C$40</f>
        <v/>
      </c>
    </row>
    <row r="33" ht="25.5" customHeight="1" s="133">
      <c r="B33" s="7" t="inlineStr">
        <is>
          <t>Затраты, связанные с осуществлением работ вахтовым методом</t>
        </is>
      </c>
      <c r="C33" s="54">
        <f>ROUND($C$27*0%,2)</f>
        <v/>
      </c>
      <c r="D33" s="7" t="n"/>
      <c r="E33" s="55">
        <f>C33/$C$40</f>
        <v/>
      </c>
    </row>
    <row r="34" ht="51" customHeight="1" s="133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54">
        <f>ROUND($C$27*0%,2)</f>
        <v/>
      </c>
      <c r="D34" s="7" t="n"/>
      <c r="E34" s="55">
        <f>C34/$C$40</f>
        <v/>
      </c>
    </row>
    <row r="35" ht="76.7" customHeight="1" s="133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54">
        <f>ROUND($C$27*0%,2)</f>
        <v/>
      </c>
      <c r="D35" s="7" t="n"/>
      <c r="E35" s="55">
        <f>C35/$C$40</f>
        <v/>
      </c>
    </row>
    <row r="36" ht="25.5" customHeight="1" s="133">
      <c r="B36" s="7" t="inlineStr">
        <is>
          <t>Строительный контроль и содержание службы заказчика - 2,14%</t>
        </is>
      </c>
      <c r="C36" s="54">
        <f>ROUND((C27+C32+C33+C34+C35+C29+C31+C30)*2.14%,2)</f>
        <v/>
      </c>
      <c r="D36" s="7" t="n"/>
      <c r="E36" s="55">
        <f>C36/$C$40</f>
        <v/>
      </c>
      <c r="G36" s="79" t="n"/>
      <c r="L36" s="18" t="n"/>
    </row>
    <row r="37">
      <c r="B37" s="7" t="inlineStr">
        <is>
          <t>Авторский надзор - 0,2%</t>
        </is>
      </c>
      <c r="C37" s="54">
        <f>ROUND((C27+C32+C33+C34+C35+C29+C31+C30)*0.2%,2)</f>
        <v/>
      </c>
      <c r="D37" s="7" t="n"/>
      <c r="E37" s="55">
        <f>C37/$C$40</f>
        <v/>
      </c>
      <c r="G37" s="79" t="n"/>
      <c r="L37" s="18" t="n"/>
    </row>
    <row r="38" ht="38.25" customHeight="1" s="133">
      <c r="B38" s="7" t="inlineStr">
        <is>
          <t>ИТОГО (СМР+ОБОРУДОВАНИЕ+ПРОЧ. ЗАТР., УЧТЕННЫЕ ПОКАЗАТЕЛЕМ)</t>
        </is>
      </c>
      <c r="C38" s="140">
        <f>C27+C32+C33+C34+C35+C29+C31+C30+C36+C37</f>
        <v/>
      </c>
      <c r="D38" s="7" t="n"/>
      <c r="E38" s="55">
        <f>C38/$C$40</f>
        <v/>
      </c>
    </row>
    <row r="39" ht="13.7" customHeight="1" s="133">
      <c r="B39" s="7" t="inlineStr">
        <is>
          <t>Непредвиденные расходы</t>
        </is>
      </c>
      <c r="C39" s="140">
        <f>ROUND(C38*3%,2)</f>
        <v/>
      </c>
      <c r="D39" s="7" t="n"/>
      <c r="E39" s="55">
        <f>C39/$C$38</f>
        <v/>
      </c>
    </row>
    <row r="40">
      <c r="B40" s="7" t="inlineStr">
        <is>
          <t>ВСЕГО:</t>
        </is>
      </c>
      <c r="C40" s="140">
        <f>C39+C38</f>
        <v/>
      </c>
      <c r="D40" s="7" t="n"/>
      <c r="E40" s="55">
        <f>C40/$C$40</f>
        <v/>
      </c>
    </row>
    <row r="41">
      <c r="B41" s="7" t="inlineStr">
        <is>
          <t>ИТОГО ПОКАЗАТЕЛЬ НА ЕД. ИЗМ.</t>
        </is>
      </c>
      <c r="C41" s="140">
        <f>C40/'Прил.5 Расчет СМР и ОБ'!E99</f>
        <v/>
      </c>
      <c r="D41" s="7" t="n"/>
      <c r="E41" s="7" t="n"/>
    </row>
    <row r="42">
      <c r="B42" s="142" t="n"/>
      <c r="C42" s="134" t="n"/>
      <c r="D42" s="134" t="n"/>
      <c r="E42" s="134" t="n"/>
    </row>
    <row r="43">
      <c r="B43" s="134" t="inlineStr">
        <is>
          <t>Составил ______________________        Е.А. Князева</t>
        </is>
      </c>
      <c r="C43" s="145" t="n"/>
      <c r="D43" s="134" t="n"/>
      <c r="E43" s="134" t="n"/>
    </row>
    <row r="44">
      <c r="B44" s="146" t="inlineStr">
        <is>
          <t xml:space="preserve">                         (подпись, инициалы, фамилия)</t>
        </is>
      </c>
      <c r="C44" s="145" t="n"/>
      <c r="D44" s="134" t="n"/>
      <c r="E44" s="134" t="n"/>
    </row>
    <row r="45">
      <c r="B45" s="134" t="n"/>
      <c r="C45" s="145" t="n"/>
      <c r="D45" s="134" t="n"/>
      <c r="E45" s="134" t="n"/>
    </row>
    <row r="46">
      <c r="B46" s="134" t="inlineStr">
        <is>
          <t>Проверил ______________________        А.В. Костянецкая</t>
        </is>
      </c>
      <c r="C46" s="145" t="n"/>
      <c r="D46" s="134" t="n"/>
      <c r="E46" s="134" t="n"/>
    </row>
    <row r="47">
      <c r="B47" s="146" t="inlineStr">
        <is>
          <t xml:space="preserve">                        (подпись, инициалы, фамилия)</t>
        </is>
      </c>
      <c r="C47" s="145" t="n"/>
      <c r="D47" s="134" t="n"/>
      <c r="E47" s="134" t="n"/>
    </row>
    <row r="49">
      <c r="B49" s="134" t="n"/>
      <c r="C49" s="134" t="n"/>
      <c r="D49" s="134" t="n"/>
      <c r="E49" s="134" t="n"/>
    </row>
    <row r="50">
      <c r="B50" s="134" t="n"/>
      <c r="C50" s="134" t="n"/>
      <c r="D50" s="134" t="n"/>
      <c r="E50" s="134" t="n"/>
    </row>
  </sheetData>
  <mergeCells count="2">
    <mergeCell ref="D6:E6"/>
    <mergeCell ref="B4:E4"/>
  </mergeCells>
  <pageMargins left="0.7" right="0.7" top="0.75" bottom="0.75" header="0.3" footer="0.3"/>
  <pageSetup orientation="portrait" paperSize="9" scale="77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L106"/>
  <sheetViews>
    <sheetView view="pageBreakPreview" topLeftCell="A95" workbookViewId="0">
      <selection activeCell="D120" sqref="D120"/>
    </sheetView>
  </sheetViews>
  <sheetFormatPr baseColWidth="8" defaultColWidth="9.140625" defaultRowHeight="15" outlineLevelRow="1"/>
  <cols>
    <col width="5.7109375" customWidth="1" style="145" min="1" max="1"/>
    <col width="22.5703125" customWidth="1" style="145" min="2" max="2"/>
    <col width="39.140625" customWidth="1" style="145" min="3" max="3"/>
    <col width="10.7109375" customWidth="1" style="145" min="4" max="4"/>
    <col width="12.7109375" customWidth="1" style="145" min="5" max="5"/>
    <col width="14.5703125" customWidth="1" style="145" min="6" max="6"/>
    <col width="13.42578125" customWidth="1" style="145" min="7" max="7"/>
    <col width="12.7109375" customWidth="1" style="145" min="8" max="8"/>
    <col width="14.5703125" customWidth="1" style="145" min="9" max="9"/>
    <col width="15.140625" customWidth="1" style="145" min="10" max="10"/>
    <col width="2.85546875" customWidth="1" style="145" min="11" max="11"/>
    <col width="10.7109375" customWidth="1" style="145" min="12" max="12"/>
    <col width="10.85546875" customWidth="1" style="145" min="13" max="13"/>
    <col width="9.140625" customWidth="1" style="145" min="14" max="14"/>
  </cols>
  <sheetData>
    <row r="2" ht="15.6" customHeight="1" s="133">
      <c r="I2" s="99" t="n"/>
      <c r="J2" s="82" t="inlineStr">
        <is>
          <t>Приложение №5</t>
        </is>
      </c>
    </row>
    <row r="4" ht="13.7" customFormat="1" customHeight="1" s="134">
      <c r="A4" s="171" t="inlineStr">
        <is>
          <t>Расчет стоимости СМР и оборудования</t>
        </is>
      </c>
      <c r="I4" s="171" t="n"/>
      <c r="J4" s="171" t="n"/>
    </row>
    <row r="5" ht="13.7" customFormat="1" customHeight="1" s="134">
      <c r="A5" s="171" t="n"/>
      <c r="B5" s="171" t="n"/>
      <c r="C5" s="171" t="n"/>
      <c r="D5" s="171" t="n"/>
      <c r="E5" s="171" t="n"/>
      <c r="F5" s="171" t="n"/>
      <c r="G5" s="171" t="n"/>
      <c r="H5" s="171" t="n"/>
      <c r="I5" s="171" t="n"/>
      <c r="J5" s="171" t="n"/>
    </row>
    <row r="6" ht="15.6" customFormat="1" customHeight="1" s="134">
      <c r="B6" s="102">
        <f>'Прил.1 Сравнит табл'!B6</f>
        <v/>
      </c>
      <c r="C6" s="115" t="n"/>
      <c r="D6" s="183" t="inlineStr">
        <is>
          <t>РЗиА ячейки выключателя 35 кВ</t>
        </is>
      </c>
    </row>
    <row r="7" ht="15.6" customFormat="1" customHeight="1" s="134">
      <c r="B7" s="116">
        <f>'Прил.1 Сравнит табл'!B8</f>
        <v/>
      </c>
      <c r="C7" s="102" t="n"/>
      <c r="D7" s="102" t="n"/>
      <c r="E7" s="142" t="n"/>
      <c r="F7" s="142" t="n"/>
      <c r="G7" s="142" t="n"/>
      <c r="H7" s="142" t="n"/>
      <c r="I7" s="186" t="n"/>
      <c r="J7" s="186" t="n"/>
    </row>
    <row r="8" ht="12.95" customFormat="1" customHeight="1" s="134"/>
    <row r="9">
      <c r="A9" s="174" t="inlineStr">
        <is>
          <t>№ пп.</t>
        </is>
      </c>
      <c r="B9" s="174" t="inlineStr">
        <is>
          <t>Код ресурса</t>
        </is>
      </c>
      <c r="C9" s="174" t="inlineStr">
        <is>
          <t>Наименование</t>
        </is>
      </c>
      <c r="D9" s="174" t="inlineStr">
        <is>
          <t>Ед. изм.</t>
        </is>
      </c>
      <c r="E9" s="174" t="inlineStr">
        <is>
          <t>Кол-во единиц по проектным данным</t>
        </is>
      </c>
      <c r="F9" s="174" t="inlineStr">
        <is>
          <t>Сметная стоимость в ценах на 01.01.2000 (руб.)</t>
        </is>
      </c>
      <c r="G9" s="203" t="n"/>
      <c r="H9" s="174" t="inlineStr">
        <is>
          <t>Удельный вес, %</t>
        </is>
      </c>
      <c r="I9" s="174" t="inlineStr">
        <is>
          <t>Сметная стоимость в ценах на 01.01.2023 (руб.)</t>
        </is>
      </c>
      <c r="J9" s="203" t="n"/>
    </row>
    <row r="10">
      <c r="A10" s="205" t="n"/>
      <c r="B10" s="205" t="n"/>
      <c r="C10" s="205" t="n"/>
      <c r="D10" s="205" t="n"/>
      <c r="E10" s="205" t="n"/>
      <c r="F10" s="174" t="inlineStr">
        <is>
          <t>на ед. изм.</t>
        </is>
      </c>
      <c r="G10" s="174" t="inlineStr">
        <is>
          <t>общая</t>
        </is>
      </c>
      <c r="H10" s="205" t="n"/>
      <c r="I10" s="174" t="inlineStr">
        <is>
          <t>на ед. изм.</t>
        </is>
      </c>
      <c r="J10" s="174" t="inlineStr">
        <is>
          <t>общая</t>
        </is>
      </c>
    </row>
    <row r="11">
      <c r="A11" s="174" t="n">
        <v>1</v>
      </c>
      <c r="B11" s="174" t="n">
        <v>2</v>
      </c>
      <c r="C11" s="174" t="n">
        <v>3</v>
      </c>
      <c r="D11" s="174" t="n">
        <v>4</v>
      </c>
      <c r="E11" s="174" t="n">
        <v>5</v>
      </c>
      <c r="F11" s="174" t="n">
        <v>6</v>
      </c>
      <c r="G11" s="174" t="n">
        <v>7</v>
      </c>
      <c r="H11" s="174" t="n">
        <v>8</v>
      </c>
      <c r="I11" s="174" t="n">
        <v>9</v>
      </c>
      <c r="J11" s="174" t="n">
        <v>10</v>
      </c>
    </row>
    <row r="12">
      <c r="A12" s="174" t="n"/>
      <c r="B12" s="167" t="inlineStr">
        <is>
          <t>Затраты труда рабочих-строителей</t>
        </is>
      </c>
      <c r="C12" s="202" t="n"/>
      <c r="D12" s="202" t="n"/>
      <c r="E12" s="202" t="n"/>
      <c r="F12" s="202" t="n"/>
      <c r="G12" s="202" t="n"/>
      <c r="H12" s="203" t="n"/>
      <c r="I12" s="60" t="n"/>
      <c r="J12" s="60" t="n"/>
      <c r="L12" s="112" t="n"/>
    </row>
    <row r="13" ht="25.9" customHeight="1" s="133">
      <c r="A13" s="174" t="n">
        <v>1</v>
      </c>
      <c r="B13" s="64" t="inlineStr">
        <is>
          <t>1-3-9</t>
        </is>
      </c>
      <c r="C13" s="173" t="inlineStr">
        <is>
          <t>Затраты труда рабочих-строителей среднего разряда (3,9)</t>
        </is>
      </c>
      <c r="D13" s="174" t="inlineStr">
        <is>
          <t>чел.-ч.</t>
        </is>
      </c>
      <c r="E13" s="63">
        <f>G13/F13</f>
        <v/>
      </c>
      <c r="F13" s="14" t="n">
        <v>9.51</v>
      </c>
      <c r="G13" s="14" t="n">
        <v>37948.13</v>
      </c>
      <c r="H13" s="184">
        <f>G13/G14</f>
        <v/>
      </c>
      <c r="I13" s="14">
        <f>ФОТр.тек.!E13</f>
        <v/>
      </c>
      <c r="J13" s="14">
        <f>ROUND(I13*E13,2)</f>
        <v/>
      </c>
    </row>
    <row r="14" ht="27.2" customFormat="1" customHeight="1" s="145">
      <c r="A14" s="174" t="n"/>
      <c r="B14" s="174" t="n"/>
      <c r="C14" s="167" t="inlineStr">
        <is>
          <t>Итого по разделу "Затраты труда рабочих-строителей"</t>
        </is>
      </c>
      <c r="D14" s="174" t="inlineStr">
        <is>
          <t>чел.-ч.</t>
        </is>
      </c>
      <c r="E14" s="63">
        <f>SUM(E13:E13)</f>
        <v/>
      </c>
      <c r="F14" s="14" t="n"/>
      <c r="G14" s="14">
        <f>SUM(G13:G13)</f>
        <v/>
      </c>
      <c r="H14" s="184" t="n">
        <v>1</v>
      </c>
      <c r="I14" s="14" t="n"/>
      <c r="J14" s="14">
        <f>SUM(J13:J13)</f>
        <v/>
      </c>
      <c r="L14" s="113" t="n"/>
    </row>
    <row r="15" ht="13.7" customFormat="1" customHeight="1" s="145">
      <c r="A15" s="174" t="n"/>
      <c r="B15" s="173" t="inlineStr">
        <is>
          <t>Затраты труда машинистов</t>
        </is>
      </c>
      <c r="C15" s="202" t="n"/>
      <c r="D15" s="202" t="n"/>
      <c r="E15" s="202" t="n"/>
      <c r="F15" s="202" t="n"/>
      <c r="G15" s="202" t="n"/>
      <c r="H15" s="203" t="n"/>
      <c r="I15" s="60" t="n"/>
      <c r="J15" s="60" t="n"/>
      <c r="L15" s="112" t="n"/>
    </row>
    <row r="16" ht="13.7" customFormat="1" customHeight="1" s="145">
      <c r="A16" s="174" t="n">
        <v>2</v>
      </c>
      <c r="B16" s="174" t="n">
        <v>2</v>
      </c>
      <c r="C16" s="173" t="inlineStr">
        <is>
          <t>Затраты труда машинистов</t>
        </is>
      </c>
      <c r="D16" s="174" t="inlineStr">
        <is>
          <t>чел.-ч.</t>
        </is>
      </c>
      <c r="E16" s="63" t="n">
        <v>830.3099999999999</v>
      </c>
      <c r="F16" s="14">
        <f>G16/E16</f>
        <v/>
      </c>
      <c r="G16" s="14" t="n">
        <v>8811.469999999999</v>
      </c>
      <c r="H16" s="184" t="n">
        <v>1</v>
      </c>
      <c r="I16" s="14">
        <f>ROUND(F16*Прил.10!D10,2)</f>
        <v/>
      </c>
      <c r="J16" s="14">
        <f>ROUND(I16*E16,2)</f>
        <v/>
      </c>
      <c r="L16" s="75" t="n"/>
    </row>
    <row r="17" ht="13.7" customFormat="1" customHeight="1" s="145">
      <c r="A17" s="174" t="n"/>
      <c r="B17" s="167" t="inlineStr">
        <is>
          <t>Машины и механизмы</t>
        </is>
      </c>
      <c r="C17" s="202" t="n"/>
      <c r="D17" s="202" t="n"/>
      <c r="E17" s="202" t="n"/>
      <c r="F17" s="202" t="n"/>
      <c r="G17" s="202" t="n"/>
      <c r="H17" s="203" t="n"/>
      <c r="I17" s="184" t="n"/>
      <c r="J17" s="184" t="n"/>
    </row>
    <row r="18" ht="13.7" customFormat="1" customHeight="1" s="145">
      <c r="A18" s="174" t="n"/>
      <c r="B18" s="173" t="inlineStr">
        <is>
          <t>Основные машины и механизмы</t>
        </is>
      </c>
      <c r="C18" s="202" t="n"/>
      <c r="D18" s="202" t="n"/>
      <c r="E18" s="202" t="n"/>
      <c r="F18" s="202" t="n"/>
      <c r="G18" s="202" t="n"/>
      <c r="H18" s="203" t="n"/>
      <c r="I18" s="60" t="n"/>
      <c r="J18" s="60" t="n"/>
    </row>
    <row r="19" ht="25.9" customFormat="1" customHeight="1" s="145">
      <c r="A19" s="174" t="n">
        <v>3</v>
      </c>
      <c r="B19" s="64" t="inlineStr">
        <is>
          <t>91.06.06-042</t>
        </is>
      </c>
      <c r="C19" s="173" t="inlineStr">
        <is>
          <t>Подъемники гидравлические, высота подъема 10 м</t>
        </is>
      </c>
      <c r="D19" s="174" t="inlineStr">
        <is>
          <t>маш.-ч</t>
        </is>
      </c>
      <c r="E19" s="63" t="n">
        <v>654.71</v>
      </c>
      <c r="F19" s="192" t="n">
        <v>29.6</v>
      </c>
      <c r="G19" s="14">
        <f>ROUND(E19*F19,2)</f>
        <v/>
      </c>
      <c r="H19" s="184">
        <f>G19/$G$29</f>
        <v/>
      </c>
      <c r="I19" s="14">
        <f>ROUND(F19*Прил.10!$D$11,2)</f>
        <v/>
      </c>
      <c r="J19" s="14">
        <f>ROUND(I19*E19,2)</f>
        <v/>
      </c>
    </row>
    <row r="20" ht="25.9" customFormat="1" customHeight="1" s="145">
      <c r="A20" s="174" t="n">
        <v>4</v>
      </c>
      <c r="B20" s="64" t="inlineStr">
        <is>
          <t>91.05.05-014</t>
        </is>
      </c>
      <c r="C20" s="173" t="inlineStr">
        <is>
          <t>Краны на автомобильном ходу, грузоподъемность 10 т</t>
        </is>
      </c>
      <c r="D20" s="174" t="inlineStr">
        <is>
          <t>маш.-ч</t>
        </is>
      </c>
      <c r="E20" s="63" t="n">
        <v>82.04000000000001</v>
      </c>
      <c r="F20" s="192" t="n">
        <v>111.99</v>
      </c>
      <c r="G20" s="14">
        <f>ROUND(E20*F20,2)</f>
        <v/>
      </c>
      <c r="H20" s="184">
        <f>G20/$G$29</f>
        <v/>
      </c>
      <c r="I20" s="14">
        <f>ROUND(F20*Прил.10!$D$11,2)</f>
        <v/>
      </c>
      <c r="J20" s="14">
        <f>ROUND(I20*E20,2)</f>
        <v/>
      </c>
    </row>
    <row r="21" ht="25.9" customFormat="1" customHeight="1" s="145">
      <c r="A21" s="174" t="n">
        <v>5</v>
      </c>
      <c r="B21" s="64" t="inlineStr">
        <is>
          <t>91.14.02-001</t>
        </is>
      </c>
      <c r="C21" s="173" t="inlineStr">
        <is>
          <t>Автомобили бортовые, грузоподъемность до 5 т</t>
        </is>
      </c>
      <c r="D21" s="174" t="inlineStr">
        <is>
          <t>маш.-ч</t>
        </is>
      </c>
      <c r="E21" s="63" t="n">
        <v>82.04000000000001</v>
      </c>
      <c r="F21" s="192" t="n">
        <v>65.70999999999999</v>
      </c>
      <c r="G21" s="14">
        <f>ROUND(E21*F21,2)</f>
        <v/>
      </c>
      <c r="H21" s="184">
        <f>G21/$G$29</f>
        <v/>
      </c>
      <c r="I21" s="14">
        <f>ROUND(F21*Прил.10!$D$11,2)</f>
        <v/>
      </c>
      <c r="J21" s="14">
        <f>ROUND(I21*E21,2)</f>
        <v/>
      </c>
    </row>
    <row r="22" ht="25.9" customFormat="1" customHeight="1" s="145">
      <c r="A22" s="174" t="n">
        <v>6</v>
      </c>
      <c r="B22" s="64" t="inlineStr">
        <is>
          <t>91.17.04-233</t>
        </is>
      </c>
      <c r="C22" s="173" t="inlineStr">
        <is>
          <t>Установки для сварки ручной дуговой (постоянного тока)</t>
        </is>
      </c>
      <c r="D22" s="174" t="inlineStr">
        <is>
          <t>маш.-ч</t>
        </is>
      </c>
      <c r="E22" s="63" t="n">
        <v>584.97</v>
      </c>
      <c r="F22" s="192" t="n">
        <v>8.1</v>
      </c>
      <c r="G22" s="14">
        <f>ROUND(E22*F22,2)</f>
        <v/>
      </c>
      <c r="H22" s="184">
        <f>G22/$G$29</f>
        <v/>
      </c>
      <c r="I22" s="14">
        <f>ROUND(F22*Прил.10!$D$11,2)</f>
        <v/>
      </c>
      <c r="J22" s="14">
        <f>ROUND(I22*E22,2)</f>
        <v/>
      </c>
    </row>
    <row r="23" ht="13.7" customFormat="1" customHeight="1" s="145">
      <c r="A23" s="174" t="n"/>
      <c r="B23" s="174" t="n"/>
      <c r="C23" s="173" t="inlineStr">
        <is>
          <t>Итого основные машины и механизмы</t>
        </is>
      </c>
      <c r="D23" s="174" t="n"/>
      <c r="E23" s="65" t="n"/>
      <c r="F23" s="14" t="n"/>
      <c r="G23" s="14">
        <f>SUM(G19:G22)</f>
        <v/>
      </c>
      <c r="H23" s="184">
        <f>G23/G29</f>
        <v/>
      </c>
      <c r="I23" s="14" t="n"/>
      <c r="J23" s="14">
        <f>SUM(J19:J22)</f>
        <v/>
      </c>
      <c r="L23" s="62" t="n"/>
    </row>
    <row r="24" outlineLevel="1" ht="25.9" customFormat="1" customHeight="1" s="145">
      <c r="A24" s="174" t="n">
        <v>7</v>
      </c>
      <c r="B24" s="64" t="inlineStr">
        <is>
          <t>91.05.04-010</t>
        </is>
      </c>
      <c r="C24" s="173" t="inlineStr">
        <is>
          <t>Краны мостовые электрические, грузоподъемность 50 т</t>
        </is>
      </c>
      <c r="D24" s="174" t="inlineStr">
        <is>
          <t>маш.-ч</t>
        </is>
      </c>
      <c r="E24" s="63" t="n">
        <v>11.52</v>
      </c>
      <c r="F24" s="192" t="n">
        <v>197.01</v>
      </c>
      <c r="G24" s="14">
        <f>ROUND(E24*F24,2)</f>
        <v/>
      </c>
      <c r="H24" s="184">
        <f>G24/$G$29</f>
        <v/>
      </c>
      <c r="I24" s="14">
        <f>ROUND(F24*Прил.10!$D$11,2)</f>
        <v/>
      </c>
      <c r="J24" s="14">
        <f>ROUND(I24*E24,2)</f>
        <v/>
      </c>
      <c r="L24" s="62" t="n"/>
    </row>
    <row r="25" outlineLevel="1" ht="25.9" customFormat="1" customHeight="1" s="145">
      <c r="A25" s="174" t="n">
        <v>8</v>
      </c>
      <c r="B25" s="64" t="inlineStr">
        <is>
          <t>91.17.04-161</t>
        </is>
      </c>
      <c r="C25" s="173" t="inlineStr">
        <is>
          <t>Полуавтоматы сварочные номинальным сварочным током 40-500 А</t>
        </is>
      </c>
      <c r="D25" s="174" t="inlineStr">
        <is>
          <t>маш.-ч</t>
        </is>
      </c>
      <c r="E25" s="63" t="n">
        <v>3.65</v>
      </c>
      <c r="F25" s="192" t="n">
        <v>16.44</v>
      </c>
      <c r="G25" s="14">
        <f>ROUND(E25*F25,2)</f>
        <v/>
      </c>
      <c r="H25" s="184">
        <f>G25/$G$29</f>
        <v/>
      </c>
      <c r="I25" s="14">
        <f>ROUND(F25*Прил.10!$D$11,2)</f>
        <v/>
      </c>
      <c r="J25" s="14">
        <f>ROUND(I25*E25,2)</f>
        <v/>
      </c>
      <c r="L25" s="62" t="n"/>
    </row>
    <row r="26" outlineLevel="1" ht="25.9" customFormat="1" customHeight="1" s="145">
      <c r="A26" s="174" t="n">
        <v>9</v>
      </c>
      <c r="B26" s="64" t="inlineStr">
        <is>
          <t>91.06.03-061</t>
        </is>
      </c>
      <c r="C26" s="173" t="inlineStr">
        <is>
          <t>Лебедки электрические тяговым усилием: до 12,26 кН (1,25 т)</t>
        </is>
      </c>
      <c r="D26" s="174" t="inlineStr">
        <is>
          <t>маш.-ч</t>
        </is>
      </c>
      <c r="E26" s="63" t="n">
        <v>0.02</v>
      </c>
      <c r="F26" s="192" t="n">
        <v>3.28</v>
      </c>
      <c r="G26" s="14">
        <f>ROUND(E26*F26,2)</f>
        <v/>
      </c>
      <c r="H26" s="184">
        <f>G26/$G$29</f>
        <v/>
      </c>
      <c r="I26" s="14">
        <f>ROUND(F26*Прил.10!$D$11,2)</f>
        <v/>
      </c>
      <c r="J26" s="14">
        <f>ROUND(I26*E26,2)</f>
        <v/>
      </c>
      <c r="L26" s="62" t="n"/>
    </row>
    <row r="27" outlineLevel="1" ht="25.9" customFormat="1" customHeight="1" s="145">
      <c r="A27" s="174" t="n">
        <v>10</v>
      </c>
      <c r="B27" s="64" t="inlineStr">
        <is>
          <t>91.06.01-003</t>
        </is>
      </c>
      <c r="C27" s="173" t="inlineStr">
        <is>
          <t>Домкраты гидравлические, грузоподъемность 63-100 т</t>
        </is>
      </c>
      <c r="D27" s="174" t="inlineStr">
        <is>
          <t>маш.-ч</t>
        </is>
      </c>
      <c r="E27" s="63" t="n">
        <v>0.02</v>
      </c>
      <c r="F27" s="192" t="n">
        <v>0.9</v>
      </c>
      <c r="G27" s="14">
        <f>ROUND(E27*F27,2)</f>
        <v/>
      </c>
      <c r="H27" s="184">
        <f>G27/$G$29</f>
        <v/>
      </c>
      <c r="I27" s="14">
        <f>ROUND(F27*Прил.10!$D$11,2)</f>
        <v/>
      </c>
      <c r="J27" s="14">
        <f>ROUND(I27*E27,2)</f>
        <v/>
      </c>
      <c r="L27" s="62" t="n"/>
    </row>
    <row r="28" ht="13.7" customFormat="1" customHeight="1" s="145">
      <c r="A28" s="174" t="n"/>
      <c r="B28" s="174" t="n"/>
      <c r="C28" s="173" t="inlineStr">
        <is>
          <t>Итого прочие машины и механизмы</t>
        </is>
      </c>
      <c r="D28" s="174" t="n"/>
      <c r="E28" s="175" t="n"/>
      <c r="F28" s="14" t="n"/>
      <c r="G28" s="14">
        <f>SUM(G24:G27)</f>
        <v/>
      </c>
      <c r="H28" s="184">
        <f>G28/G29</f>
        <v/>
      </c>
      <c r="I28" s="14" t="n"/>
      <c r="J28" s="14">
        <f>SUM(J24:J27)</f>
        <v/>
      </c>
      <c r="K28" s="62" t="n"/>
      <c r="L28" s="112" t="n"/>
    </row>
    <row r="29" ht="27.2" customFormat="1" customHeight="1" s="145">
      <c r="A29" s="174" t="n"/>
      <c r="B29" s="187" t="n"/>
      <c r="C29" s="68" t="inlineStr">
        <is>
          <t>Итого по разделу «Машины и механизмы»</t>
        </is>
      </c>
      <c r="D29" s="187" t="n"/>
      <c r="E29" s="69" t="n"/>
      <c r="F29" s="70" t="n"/>
      <c r="G29" s="70">
        <f>G23+G28</f>
        <v/>
      </c>
      <c r="H29" s="71" t="n">
        <v>1</v>
      </c>
      <c r="I29" s="70" t="n"/>
      <c r="J29" s="70">
        <f>J23+J28</f>
        <v/>
      </c>
    </row>
    <row r="30">
      <c r="A30" s="181" t="n"/>
      <c r="B30" s="167" t="inlineStr">
        <is>
          <t xml:space="preserve">Оборудование </t>
        </is>
      </c>
      <c r="C30" s="202" t="n"/>
      <c r="D30" s="202" t="n"/>
      <c r="E30" s="202" t="n"/>
      <c r="F30" s="202" t="n"/>
      <c r="G30" s="202" t="n"/>
      <c r="H30" s="202" t="n"/>
      <c r="I30" s="202" t="n"/>
      <c r="J30" s="203" t="n"/>
    </row>
    <row r="31">
      <c r="A31" s="174" t="n"/>
      <c r="B31" s="185" t="inlineStr">
        <is>
          <t>Основное оборудование</t>
        </is>
      </c>
    </row>
    <row r="32" ht="25.9" customHeight="1" s="133">
      <c r="A32" s="174" t="n">
        <v>11</v>
      </c>
      <c r="B32" s="174" t="inlineStr">
        <is>
          <t>БЦ.30_1.56</t>
        </is>
      </c>
      <c r="C32" s="173" t="inlineStr">
        <is>
          <t>Дифференциальная защита сборных шин 35 кВ</t>
        </is>
      </c>
      <c r="D32" s="174" t="inlineStr">
        <is>
          <t>шт</t>
        </is>
      </c>
      <c r="E32" s="124" t="n">
        <v>1</v>
      </c>
      <c r="F32" s="122">
        <f>ROUND(I32/Прил.10!$D$13,2)</f>
        <v/>
      </c>
      <c r="G32" s="70">
        <f>ROUND(E32*F32,2)</f>
        <v/>
      </c>
      <c r="H32" s="71">
        <f>G32/$G$46</f>
        <v/>
      </c>
      <c r="I32" s="14" t="n">
        <v>5002155</v>
      </c>
      <c r="J32" s="14">
        <f>ROUND(I32*E32,2)</f>
        <v/>
      </c>
    </row>
    <row r="33" ht="51.6" customHeight="1" s="133">
      <c r="A33" s="174" t="n">
        <v>12</v>
      </c>
      <c r="B33" s="132" t="inlineStr">
        <is>
          <t>БЦ.30_1.159</t>
        </is>
      </c>
      <c r="C33" s="45" t="inlineStr">
        <is>
          <t>Шкаф управления одпополюсным или трехполюсным разъединителем с 1 ЗН, или пофазного оперирования одним полюсом разъединителя с 1 ЗН</t>
        </is>
      </c>
      <c r="D33" s="194" t="inlineStr">
        <is>
          <t>шт</t>
        </is>
      </c>
      <c r="E33" s="124" t="n">
        <v>12</v>
      </c>
      <c r="F33" s="122">
        <f>ROUND(I33/Прил.10!$D$13,2)</f>
        <v/>
      </c>
      <c r="G33" s="14">
        <f>ROUND(E33*F33,2)</f>
        <v/>
      </c>
      <c r="H33" s="184">
        <f>G33/$G$46</f>
        <v/>
      </c>
      <c r="I33" s="14" t="n">
        <v>345000</v>
      </c>
      <c r="J33" s="14">
        <f>ROUND(I33*E33,2)</f>
        <v/>
      </c>
    </row>
    <row r="34">
      <c r="A34" s="174" t="n">
        <v>13</v>
      </c>
      <c r="B34" s="174" t="inlineStr">
        <is>
          <t>БЦ.30_1.50</t>
        </is>
      </c>
      <c r="C34" s="173" t="inlineStr">
        <is>
          <t>Комплект защит и автоматики ЛЭП 35 кВ</t>
        </is>
      </c>
      <c r="D34" s="174" t="inlineStr">
        <is>
          <t>шт</t>
        </is>
      </c>
      <c r="E34" s="124" t="n">
        <v>2</v>
      </c>
      <c r="F34" s="122">
        <f>ROUND(I34/Прил.10!$D$13,2)</f>
        <v/>
      </c>
      <c r="G34" s="14">
        <f>ROUND(E34*F34,2)</f>
        <v/>
      </c>
      <c r="H34" s="184">
        <f>G34/$G$46</f>
        <v/>
      </c>
      <c r="I34" s="14" t="n">
        <v>1550257.5</v>
      </c>
      <c r="J34" s="14">
        <f>ROUND(I34*E34,2)</f>
        <v/>
      </c>
    </row>
    <row r="35" ht="25.9" customHeight="1" s="133">
      <c r="A35" s="174" t="n">
        <v>14</v>
      </c>
      <c r="B35" s="174" t="inlineStr">
        <is>
          <t>БЦ.30_1.49</t>
        </is>
      </c>
      <c r="C35" s="173" t="inlineStr">
        <is>
          <t>Комплект защит и автоматики вводного выключателя 35 кВ</t>
        </is>
      </c>
      <c r="D35" s="174" t="inlineStr">
        <is>
          <t>шт</t>
        </is>
      </c>
      <c r="E35" s="124" t="n">
        <v>2</v>
      </c>
      <c r="F35" s="122">
        <f>ROUND(I35/Прил.10!$D$13,2)</f>
        <v/>
      </c>
      <c r="G35" s="14">
        <f>ROUND(E35*F35,2)</f>
        <v/>
      </c>
      <c r="H35" s="184">
        <f>G35/$G$46</f>
        <v/>
      </c>
      <c r="I35" s="14" t="n">
        <v>1550257.5</v>
      </c>
      <c r="J35" s="14">
        <f>ROUND(I35*E35,2)</f>
        <v/>
      </c>
    </row>
    <row r="36" ht="25.9" customHeight="1" s="133">
      <c r="A36" s="174" t="n">
        <v>15</v>
      </c>
      <c r="B36" s="174" t="inlineStr">
        <is>
          <t>БЦ.30_1.54</t>
        </is>
      </c>
      <c r="C36" s="173" t="inlineStr">
        <is>
          <t xml:space="preserve">Комплект защит трансформатора напряжения 35 кВ </t>
        </is>
      </c>
      <c r="D36" s="174" t="inlineStr">
        <is>
          <t>шт</t>
        </is>
      </c>
      <c r="E36" s="124" t="n">
        <v>2</v>
      </c>
      <c r="F36" s="122">
        <f>ROUND(I36/Прил.10!$D$13,2)</f>
        <v/>
      </c>
      <c r="G36" s="14">
        <f>ROUND(E36*F36,2)</f>
        <v/>
      </c>
      <c r="H36" s="184">
        <f>G36/$G$46</f>
        <v/>
      </c>
      <c r="I36" s="14" t="n">
        <v>1550257.5</v>
      </c>
      <c r="J36" s="14">
        <f>ROUND(I36*E36,2)</f>
        <v/>
      </c>
    </row>
    <row r="37" ht="25.9" customHeight="1" s="133">
      <c r="A37" s="174" t="n">
        <v>16</v>
      </c>
      <c r="B37" s="174" t="inlineStr">
        <is>
          <t>БЦ.30_1.66</t>
        </is>
      </c>
      <c r="C37" s="173" t="inlineStr">
        <is>
          <t>Шкаф организации ЦН двух ТН с резервированием от одного источника</t>
        </is>
      </c>
      <c r="D37" s="174" t="inlineStr">
        <is>
          <t>шт</t>
        </is>
      </c>
      <c r="E37" s="124" t="n">
        <v>1</v>
      </c>
      <c r="F37" s="122">
        <f>ROUND(I37/Прил.10!$D$13,2)</f>
        <v/>
      </c>
      <c r="G37" s="14">
        <f>ROUND(E37*F37,2)</f>
        <v/>
      </c>
      <c r="H37" s="184">
        <f>G37/$G$46</f>
        <v/>
      </c>
      <c r="I37" s="14" t="n">
        <v>2086560</v>
      </c>
      <c r="J37" s="14">
        <f>ROUND(I37*E37,2)</f>
        <v/>
      </c>
    </row>
    <row r="38" ht="25.9" customHeight="1" s="133">
      <c r="A38" s="174" t="n">
        <v>17</v>
      </c>
      <c r="B38" s="174" t="inlineStr">
        <is>
          <t>БЦ.30_1.53</t>
        </is>
      </c>
      <c r="C38" s="173" t="inlineStr">
        <is>
          <t>Комплект защит и автоматики секционного выключателя 35 кВ</t>
        </is>
      </c>
      <c r="D38" s="174" t="inlineStr">
        <is>
          <t>шт</t>
        </is>
      </c>
      <c r="E38" s="124" t="n">
        <v>1</v>
      </c>
      <c r="F38" s="122">
        <f>ROUND(I38/Прил.10!$D$13,2)</f>
        <v/>
      </c>
      <c r="G38" s="70">
        <f>ROUND(E38*F38,2)</f>
        <v/>
      </c>
      <c r="H38" s="71">
        <f>G38/$G$46</f>
        <v/>
      </c>
      <c r="I38" s="14" t="n">
        <v>1550257.5</v>
      </c>
      <c r="J38" s="14">
        <f>ROUND(I38*E38,2)</f>
        <v/>
      </c>
    </row>
    <row r="39">
      <c r="A39" s="174" t="n">
        <v>18</v>
      </c>
      <c r="B39" s="132" t="inlineStr">
        <is>
          <t>БЦ.30_1.151</t>
        </is>
      </c>
      <c r="C39" s="45" t="inlineStr">
        <is>
          <t>Шкаф зажимов выключателя типа ШЗВ-120</t>
        </is>
      </c>
      <c r="D39" s="194" t="inlineStr">
        <is>
          <t>шт</t>
        </is>
      </c>
      <c r="E39" s="124" t="n">
        <v>5</v>
      </c>
      <c r="F39" s="122">
        <f>ROUND(I39/Прил.10!$D$13,2)</f>
        <v/>
      </c>
      <c r="G39" s="14">
        <f>ROUND(E39*F39,2)</f>
        <v/>
      </c>
      <c r="H39" s="184">
        <f>G39/$G$46</f>
        <v/>
      </c>
      <c r="I39" s="14" t="n">
        <v>189750</v>
      </c>
      <c r="J39" s="14">
        <f>ROUND(I39*E39,2)</f>
        <v/>
      </c>
    </row>
    <row r="40">
      <c r="A40" s="174" t="n"/>
      <c r="B40" s="174" t="n"/>
      <c r="C40" s="173" t="inlineStr">
        <is>
          <t>Итого основное оборудование</t>
        </is>
      </c>
      <c r="D40" s="174" t="n"/>
      <c r="E40" s="124" t="n"/>
      <c r="F40" s="176" t="n"/>
      <c r="G40" s="14">
        <f>SUM(G32:G39)</f>
        <v/>
      </c>
      <c r="H40" s="184">
        <f>G40/$G$46</f>
        <v/>
      </c>
      <c r="I40" s="14" t="n"/>
      <c r="J40" s="14">
        <f>SUM(J32:J39)</f>
        <v/>
      </c>
      <c r="K40" s="62" t="n"/>
    </row>
    <row r="41" outlineLevel="1" ht="25.9" customHeight="1" s="133">
      <c r="A41" s="174" t="n">
        <v>19</v>
      </c>
      <c r="B41" s="174" t="inlineStr">
        <is>
          <t>БЦ.30_1.122</t>
        </is>
      </c>
      <c r="C41" s="173" t="inlineStr">
        <is>
          <t>Шкаф определения места повреждения по волновому методу для 1 присоединения</t>
        </is>
      </c>
      <c r="D41" s="174" t="inlineStr">
        <is>
          <t>шт</t>
        </is>
      </c>
      <c r="E41" s="124" t="n">
        <v>2</v>
      </c>
      <c r="F41" s="122">
        <f>ROUND(I41/Прил.10!$D$13,2)</f>
        <v/>
      </c>
      <c r="G41" s="14">
        <f>ROUND(E41*F41,2)</f>
        <v/>
      </c>
      <c r="H41" s="184">
        <f>G41/$G$46</f>
        <v/>
      </c>
      <c r="I41" s="14" t="n">
        <v>2887400</v>
      </c>
      <c r="J41" s="14">
        <f>ROUND(I41*E41,2)</f>
        <v/>
      </c>
      <c r="K41" s="62" t="n"/>
    </row>
    <row r="42" outlineLevel="1" s="133">
      <c r="A42" s="181" t="n">
        <v>20</v>
      </c>
      <c r="B42" s="132" t="inlineStr">
        <is>
          <t>БЦ.30_1.153</t>
        </is>
      </c>
      <c r="C42" s="45" t="inlineStr">
        <is>
          <t>Шкаф отбора напряжения типа ШОН-301</t>
        </is>
      </c>
      <c r="D42" s="194" t="inlineStr">
        <is>
          <t>шт</t>
        </is>
      </c>
      <c r="E42" s="124" t="n">
        <v>2</v>
      </c>
      <c r="F42" s="122">
        <f>ROUND(I42/Прил.10!$D$13,2)</f>
        <v/>
      </c>
      <c r="G42" s="70">
        <f>ROUND(E42*F42,2)</f>
        <v/>
      </c>
      <c r="H42" s="71">
        <f>G42/$G$46</f>
        <v/>
      </c>
      <c r="I42" s="14" t="n">
        <v>400000</v>
      </c>
      <c r="J42" s="14">
        <f>ROUND(I42*E42,2)</f>
        <v/>
      </c>
      <c r="K42" s="62" t="n"/>
    </row>
    <row r="43" outlineLevel="1" s="133">
      <c r="A43" s="174" t="n">
        <v>21</v>
      </c>
      <c r="B43" s="132" t="inlineStr">
        <is>
          <t>БЦ.30_1.144</t>
        </is>
      </c>
      <c r="C43" s="45" t="inlineStr">
        <is>
          <t>Шкаф зажимов ТН типа ШЗН-1А</t>
        </is>
      </c>
      <c r="D43" s="194" t="inlineStr">
        <is>
          <t>шт</t>
        </is>
      </c>
      <c r="E43" s="124" t="n">
        <v>2</v>
      </c>
      <c r="F43" s="122">
        <f>ROUND(I43/Прил.10!$D$13,2)</f>
        <v/>
      </c>
      <c r="G43" s="70">
        <f>ROUND(E43*F43,2)</f>
        <v/>
      </c>
      <c r="H43" s="71">
        <f>G43/$G$46</f>
        <v/>
      </c>
      <c r="I43" s="14" t="n">
        <v>345000</v>
      </c>
      <c r="J43" s="14">
        <f>ROUND(I43*E43,2)</f>
        <v/>
      </c>
      <c r="K43" s="62" t="n"/>
    </row>
    <row r="44" outlineLevel="1" ht="25.9" customHeight="1" s="133">
      <c r="A44" s="181" t="n">
        <v>22</v>
      </c>
      <c r="B44" s="132" t="inlineStr">
        <is>
          <t>БЦ.30_1.75</t>
        </is>
      </c>
      <c r="C44" s="45" t="inlineStr">
        <is>
          <t>Шкаф ТТ наружной установки с цепями АИИС КУЭ</t>
        </is>
      </c>
      <c r="D44" s="194" t="inlineStr">
        <is>
          <t>шт</t>
        </is>
      </c>
      <c r="E44" s="124" t="n">
        <v>5</v>
      </c>
      <c r="F44" s="122">
        <f>ROUND(I44/Прил.10!$D$13,2)</f>
        <v/>
      </c>
      <c r="G44" s="70">
        <f>ROUND(E44*F44,2)</f>
        <v/>
      </c>
      <c r="H44" s="71">
        <f>G44/$G$46</f>
        <v/>
      </c>
      <c r="I44" s="14" t="n">
        <v>120750</v>
      </c>
      <c r="J44" s="14">
        <f>ROUND(I44*E44,2)</f>
        <v/>
      </c>
      <c r="K44" s="62" t="n"/>
    </row>
    <row r="45">
      <c r="A45" s="174" t="n"/>
      <c r="B45" s="174" t="n"/>
      <c r="C45" s="173" t="inlineStr">
        <is>
          <t>Итого прочее оборудование</t>
        </is>
      </c>
      <c r="D45" s="174" t="n"/>
      <c r="E45" s="175" t="n"/>
      <c r="F45" s="176" t="n"/>
      <c r="G45" s="14">
        <f>SUM(G41:G44)</f>
        <v/>
      </c>
      <c r="H45" s="184">
        <f>G45/$G$46</f>
        <v/>
      </c>
      <c r="I45" s="14" t="n"/>
      <c r="J45" s="14">
        <f>SUM(J41:J44)</f>
        <v/>
      </c>
      <c r="K45" s="62" t="n"/>
      <c r="L45" s="112" t="n"/>
    </row>
    <row r="46">
      <c r="A46" s="174" t="n"/>
      <c r="B46" s="174" t="n"/>
      <c r="C46" s="167" t="inlineStr">
        <is>
          <t>Итого по разделу «Оборудование»</t>
        </is>
      </c>
      <c r="D46" s="174" t="n"/>
      <c r="E46" s="175" t="n"/>
      <c r="F46" s="176" t="n"/>
      <c r="G46" s="14">
        <f>G40+G45</f>
        <v/>
      </c>
      <c r="H46" s="184">
        <f>(G40+G45)/G46</f>
        <v/>
      </c>
      <c r="I46" s="14" t="n"/>
      <c r="J46" s="14">
        <f>J45+J40</f>
        <v/>
      </c>
      <c r="K46" s="62" t="n"/>
    </row>
    <row r="47" ht="25.9" customHeight="1" s="133">
      <c r="A47" s="174" t="n"/>
      <c r="B47" s="174" t="n"/>
      <c r="C47" s="173" t="inlineStr">
        <is>
          <t>в том числе технологическое оборудование</t>
        </is>
      </c>
      <c r="D47" s="174" t="n"/>
      <c r="E47" s="175" t="n"/>
      <c r="F47" s="176" t="n"/>
      <c r="G47" s="14">
        <f>'Прил.6 Расчет ОБ'!G26</f>
        <v/>
      </c>
      <c r="H47" s="184">
        <f>G47/$G$46</f>
        <v/>
      </c>
      <c r="I47" s="14" t="n"/>
      <c r="J47" s="14">
        <f>ROUND(G47*Прил.10!$D$13,2)</f>
        <v/>
      </c>
      <c r="K47" s="62" t="n"/>
    </row>
    <row r="48" ht="13.7" customFormat="1" customHeight="1" s="145">
      <c r="A48" s="174" t="n"/>
      <c r="B48" s="206" t="inlineStr">
        <is>
          <t>Материалы</t>
        </is>
      </c>
      <c r="J48" s="207" t="n"/>
      <c r="K48" s="62" t="n"/>
    </row>
    <row r="49" ht="13.7" customFormat="1" customHeight="1" s="145">
      <c r="A49" s="174" t="n"/>
      <c r="B49" s="173" t="inlineStr">
        <is>
          <t>Основные материалы</t>
        </is>
      </c>
      <c r="C49" s="202" t="n"/>
      <c r="D49" s="202" t="n"/>
      <c r="E49" s="202" t="n"/>
      <c r="F49" s="202" t="n"/>
      <c r="G49" s="202" t="n"/>
      <c r="H49" s="203" t="n"/>
      <c r="I49" s="184" t="n"/>
      <c r="J49" s="184" t="n"/>
    </row>
    <row r="50" ht="38.85" customFormat="1" customHeight="1" s="145">
      <c r="A50" s="174" t="n">
        <v>23</v>
      </c>
      <c r="B50" s="64" t="inlineStr">
        <is>
          <t>20.2.04.04-0001</t>
        </is>
      </c>
      <c r="C50" s="173" t="inlineStr">
        <is>
          <t>Короб кабельный прямой из оцинкованный стали толщиной 1,5 мм, размер 2000х150х100 мм, 1-канальный</t>
        </is>
      </c>
      <c r="D50" s="174" t="inlineStr">
        <is>
          <t>шт</t>
        </is>
      </c>
      <c r="E50" s="63" t="n">
        <v>2187.5</v>
      </c>
      <c r="F50" s="192" t="n">
        <v>157.3</v>
      </c>
      <c r="G50" s="14">
        <f>ROUND(E50*F50,2)</f>
        <v/>
      </c>
      <c r="H50" s="184">
        <f>G50/$G$93</f>
        <v/>
      </c>
      <c r="I50" s="14">
        <f>ROUND(F50*Прил.10!$D$12,2)</f>
        <v/>
      </c>
      <c r="J50" s="14">
        <f>ROUND(I50*E50,2)</f>
        <v/>
      </c>
    </row>
    <row r="51" ht="25.9" customFormat="1" customHeight="1" s="145">
      <c r="A51" s="174" t="n">
        <v>24</v>
      </c>
      <c r="B51" s="64" t="inlineStr">
        <is>
          <t>21.1.06.09-0166</t>
        </is>
      </c>
      <c r="C51" s="173" t="inlineStr">
        <is>
          <t>Кабель силовой с медными жилами ВВГнг(A)-LS 4х25-660</t>
        </is>
      </c>
      <c r="D51" s="174" t="inlineStr">
        <is>
          <t>1000 м</t>
        </is>
      </c>
      <c r="E51" s="63" t="n">
        <v>3.4173611111111</v>
      </c>
      <c r="F51" s="192" t="n">
        <v>88071.37</v>
      </c>
      <c r="G51" s="14">
        <f>ROUND(E51*F51,2)</f>
        <v/>
      </c>
      <c r="H51" s="184">
        <f>G51/$G$93</f>
        <v/>
      </c>
      <c r="I51" s="14">
        <f>ROUND(F51*Прил.10!$D$12,2)</f>
        <v/>
      </c>
      <c r="J51" s="14">
        <f>ROUND(I51*E51,2)</f>
        <v/>
      </c>
    </row>
    <row r="52" ht="13.7" customFormat="1" customHeight="1" s="145">
      <c r="A52" s="174" t="n">
        <v>25</v>
      </c>
      <c r="B52" s="64" t="inlineStr">
        <is>
          <t>21.1.08.03-0587</t>
        </is>
      </c>
      <c r="C52" s="173" t="inlineStr">
        <is>
          <t>Кабель контрольный КВВГЭнг(A)-LS 10х2,5</t>
        </is>
      </c>
      <c r="D52" s="174" t="inlineStr">
        <is>
          <t>1000 м</t>
        </is>
      </c>
      <c r="E52" s="63" t="n">
        <v>2.734375</v>
      </c>
      <c r="F52" s="192" t="n">
        <v>67943.28999999999</v>
      </c>
      <c r="G52" s="14">
        <f>ROUND(E52*F52,2)</f>
        <v/>
      </c>
      <c r="H52" s="184">
        <f>G52/$G$93</f>
        <v/>
      </c>
      <c r="I52" s="14">
        <f>ROUND(F52*Прил.10!$D$12,2)</f>
        <v/>
      </c>
      <c r="J52" s="14">
        <f>ROUND(I52*E52,2)</f>
        <v/>
      </c>
    </row>
    <row r="53" ht="13.7" customFormat="1" customHeight="1" s="145">
      <c r="A53" s="174" t="n"/>
      <c r="B53" s="174" t="n"/>
      <c r="C53" s="173" t="inlineStr">
        <is>
          <t>Итого основные материалы</t>
        </is>
      </c>
      <c r="D53" s="174" t="n"/>
      <c r="E53" s="63" t="n"/>
      <c r="F53" s="176" t="n"/>
      <c r="G53" s="14">
        <f>SUM(G50:G52)</f>
        <v/>
      </c>
      <c r="H53" s="184">
        <f>G53/$G$93</f>
        <v/>
      </c>
      <c r="I53" s="14" t="n"/>
      <c r="J53" s="14">
        <f>SUM(J50:J52)</f>
        <v/>
      </c>
      <c r="K53" s="62" t="n"/>
    </row>
    <row r="54" outlineLevel="1" ht="25.9" customFormat="1" customHeight="1" s="145">
      <c r="A54" s="174" t="n">
        <v>26</v>
      </c>
      <c r="B54" s="64" t="inlineStr">
        <is>
          <t>07.2.07.04-0007</t>
        </is>
      </c>
      <c r="C54" s="173" t="inlineStr">
        <is>
          <t>Конструкции стальные индивидуальные: решетчатые сварные массой до 0,1 т</t>
        </is>
      </c>
      <c r="D54" s="174" t="inlineStr">
        <is>
          <t>т</t>
        </is>
      </c>
      <c r="E54" s="63" t="n">
        <v>5.8541666666667</v>
      </c>
      <c r="F54" s="192" t="n">
        <v>11500</v>
      </c>
      <c r="G54" s="14">
        <f>ROUND(F54*E54,2)</f>
        <v/>
      </c>
      <c r="H54" s="184">
        <f>G54/$G$93</f>
        <v/>
      </c>
      <c r="I54" s="14">
        <f>ROUND(F54*Прил.10!$D$12,2)</f>
        <v/>
      </c>
      <c r="J54" s="14">
        <f>ROUND(I54*E54,2)</f>
        <v/>
      </c>
    </row>
    <row r="55" outlineLevel="1" ht="25.9" customFormat="1" customHeight="1" s="145">
      <c r="A55" s="174" t="n">
        <v>27</v>
      </c>
      <c r="B55" s="64" t="inlineStr">
        <is>
          <t>21.1.06.09-0111</t>
        </is>
      </c>
      <c r="C55" s="173" t="inlineStr">
        <is>
          <t>Кабель силовой с медными жилами ВВГнг 4х6-660</t>
        </is>
      </c>
      <c r="D55" s="64" t="inlineStr">
        <is>
          <t>1000 м</t>
        </is>
      </c>
      <c r="E55" s="63" t="n">
        <v>2.734375</v>
      </c>
      <c r="F55" s="192" t="n">
        <v>14867.6</v>
      </c>
      <c r="G55" s="14">
        <f>ROUND(F55*E55,2)</f>
        <v/>
      </c>
      <c r="H55" s="184">
        <f>G55/$G$93</f>
        <v/>
      </c>
      <c r="I55" s="14">
        <f>ROUND(F55*Прил.10!$D$12,2)</f>
        <v/>
      </c>
      <c r="J55" s="14">
        <f>ROUND(I55*E55,2)</f>
        <v/>
      </c>
    </row>
    <row r="56" outlineLevel="1" ht="13.7" customFormat="1" customHeight="1" s="145">
      <c r="A56" s="174" t="n">
        <v>28</v>
      </c>
      <c r="B56" s="64" t="inlineStr">
        <is>
          <t>01.7.11.07-0034</t>
        </is>
      </c>
      <c r="C56" s="173" t="inlineStr">
        <is>
          <t>Электроды диаметром: 4 мм Э42А</t>
        </is>
      </c>
      <c r="D56" s="174" t="inlineStr">
        <is>
          <t>кг</t>
        </is>
      </c>
      <c r="E56" s="63" t="n">
        <v>219.28472222222</v>
      </c>
      <c r="F56" s="192" t="n">
        <v>10.57</v>
      </c>
      <c r="G56" s="14">
        <f>ROUND(F56*E56,2)</f>
        <v/>
      </c>
      <c r="H56" s="184">
        <f>G56/$G$93</f>
        <v/>
      </c>
      <c r="I56" s="14">
        <f>ROUND(F56*Прил.10!$D$12,2)</f>
        <v/>
      </c>
      <c r="J56" s="14">
        <f>ROUND(I56*E56,2)</f>
        <v/>
      </c>
    </row>
    <row r="57" outlineLevel="1" ht="13.7" customFormat="1" customHeight="1" s="145">
      <c r="A57" s="174" t="n">
        <v>29</v>
      </c>
      <c r="B57" s="64" t="inlineStr">
        <is>
          <t>20.2.08.07-0033</t>
        </is>
      </c>
      <c r="C57" s="173" t="inlineStr">
        <is>
          <t>Скоба: У1078</t>
        </is>
      </c>
      <c r="D57" s="174" t="inlineStr">
        <is>
          <t>100 шт</t>
        </is>
      </c>
      <c r="E57" s="63" t="n">
        <v>3.0947916666667</v>
      </c>
      <c r="F57" s="192" t="n">
        <v>617</v>
      </c>
      <c r="G57" s="14">
        <f>ROUND(F57*E57,2)</f>
        <v/>
      </c>
      <c r="H57" s="184">
        <f>G57/$G$93</f>
        <v/>
      </c>
      <c r="I57" s="14">
        <f>ROUND(F57*Прил.10!$D$12,2)</f>
        <v/>
      </c>
      <c r="J57" s="14">
        <f>ROUND(I57*E57,2)</f>
        <v/>
      </c>
    </row>
    <row r="58" outlineLevel="1" ht="13.7" customFormat="1" customHeight="1" s="145">
      <c r="A58" s="174" t="n">
        <v>30</v>
      </c>
      <c r="B58" s="64" t="inlineStr">
        <is>
          <t>01.7.15.03-0042</t>
        </is>
      </c>
      <c r="C58" s="173" t="inlineStr">
        <is>
          <t>Болты с гайками и шайбами строительные</t>
        </is>
      </c>
      <c r="D58" s="174" t="inlineStr">
        <is>
          <t>кг</t>
        </is>
      </c>
      <c r="E58" s="63" t="n">
        <v>185.48576388889</v>
      </c>
      <c r="F58" s="192" t="n">
        <v>9.039999999999999</v>
      </c>
      <c r="G58" s="14">
        <f>ROUND(F58*E58,2)</f>
        <v/>
      </c>
      <c r="H58" s="184">
        <f>G58/$G$93</f>
        <v/>
      </c>
      <c r="I58" s="14">
        <f>ROUND(F58*Прил.10!$D$12,2)</f>
        <v/>
      </c>
      <c r="J58" s="14">
        <f>ROUND(I58*E58,2)</f>
        <v/>
      </c>
    </row>
    <row r="59" outlineLevel="1" ht="13.7" customFormat="1" customHeight="1" s="145">
      <c r="A59" s="174" t="n">
        <v>31</v>
      </c>
      <c r="B59" s="64" t="inlineStr">
        <is>
          <t>01.7.15.07-0014</t>
        </is>
      </c>
      <c r="C59" s="173" t="inlineStr">
        <is>
          <t>Дюбели распорные полипропиленовые</t>
        </is>
      </c>
      <c r="D59" s="174" t="inlineStr">
        <is>
          <t>100 шт</t>
        </is>
      </c>
      <c r="E59" s="63" t="n">
        <v>11.258333333333</v>
      </c>
      <c r="F59" s="192" t="n">
        <v>86</v>
      </c>
      <c r="G59" s="14">
        <f>ROUND(F59*E59,2)</f>
        <v/>
      </c>
      <c r="H59" s="184">
        <f>G59/$G$93</f>
        <v/>
      </c>
      <c r="I59" s="14">
        <f>ROUND(F59*Прил.10!$D$12,2)</f>
        <v/>
      </c>
      <c r="J59" s="14">
        <f>ROUND(I59*E59,2)</f>
        <v/>
      </c>
    </row>
    <row r="60" outlineLevel="1" ht="38.85" customFormat="1" customHeight="1" s="145">
      <c r="A60" s="174" t="n">
        <v>32</v>
      </c>
      <c r="B60" s="64" t="inlineStr">
        <is>
          <t>20.5.02.02-0001</t>
        </is>
      </c>
      <c r="C60" s="173" t="inlineStr">
        <is>
          <t>Коробка клеммная взрывозащищенная SA141410(1C10-1N-1PE- 1C2-1N-1PE-1FL3(C)-1FL2(C) 2Exel IT6, IP66</t>
        </is>
      </c>
      <c r="D60" s="174" t="inlineStr">
        <is>
          <t>шт.</t>
        </is>
      </c>
      <c r="E60" s="63" t="n">
        <v>0.34722222222222</v>
      </c>
      <c r="F60" s="192" t="n">
        <v>2639.24</v>
      </c>
      <c r="G60" s="14">
        <f>ROUND(F60*E60,2)</f>
        <v/>
      </c>
      <c r="H60" s="184">
        <f>G60/$G$93</f>
        <v/>
      </c>
      <c r="I60" s="14">
        <f>ROUND(F60*Прил.10!$D$12,2)</f>
        <v/>
      </c>
      <c r="J60" s="14">
        <f>ROUND(I60*E60,2)</f>
        <v/>
      </c>
    </row>
    <row r="61" outlineLevel="1" ht="13.7" customFormat="1" customHeight="1" s="145">
      <c r="A61" s="174" t="n">
        <v>33</v>
      </c>
      <c r="B61" s="64" t="inlineStr">
        <is>
          <t>14.4.02.09-0001</t>
        </is>
      </c>
      <c r="C61" s="173" t="inlineStr">
        <is>
          <t>Краска</t>
        </is>
      </c>
      <c r="D61" s="174" t="inlineStr">
        <is>
          <t>кг</t>
        </is>
      </c>
      <c r="E61" s="63" t="n">
        <v>24.923611111111</v>
      </c>
      <c r="F61" s="192" t="n">
        <v>28.6</v>
      </c>
      <c r="G61" s="14">
        <f>ROUND(F61*E61,2)</f>
        <v/>
      </c>
      <c r="H61" s="184">
        <f>G61/$G$93</f>
        <v/>
      </c>
      <c r="I61" s="14">
        <f>ROUND(F61*Прил.10!$D$12,2)</f>
        <v/>
      </c>
      <c r="J61" s="14">
        <f>ROUND(I61*E61,2)</f>
        <v/>
      </c>
    </row>
    <row r="62" outlineLevel="1" ht="13.7" customFormat="1" customHeight="1" s="145">
      <c r="A62" s="174" t="n">
        <v>34</v>
      </c>
      <c r="B62" s="64" t="inlineStr">
        <is>
          <t>01.7.15.07-0031</t>
        </is>
      </c>
      <c r="C62" s="173" t="inlineStr">
        <is>
          <t>Дюбели распорные с гайкой</t>
        </is>
      </c>
      <c r="D62" s="174" t="inlineStr">
        <is>
          <t>100 шт</t>
        </is>
      </c>
      <c r="E62" s="63" t="n">
        <v>4.5</v>
      </c>
      <c r="F62" s="192" t="n">
        <v>110</v>
      </c>
      <c r="G62" s="14">
        <f>ROUND(F62*E62,2)</f>
        <v/>
      </c>
      <c r="H62" s="184">
        <f>G62/$G$93</f>
        <v/>
      </c>
      <c r="I62" s="14">
        <f>ROUND(F62*Прил.10!$D$12,2)</f>
        <v/>
      </c>
      <c r="J62" s="14">
        <f>ROUND(I62*E62,2)</f>
        <v/>
      </c>
    </row>
    <row r="63" outlineLevel="1" ht="25.9" customFormat="1" customHeight="1" s="145">
      <c r="A63" s="174" t="n">
        <v>35</v>
      </c>
      <c r="B63" s="64" t="inlineStr">
        <is>
          <t>03.2.01.01-0003</t>
        </is>
      </c>
      <c r="C63" s="173" t="inlineStr">
        <is>
          <t>Портландцемент общестроительного назначения бездобавочный, марки: 500</t>
        </is>
      </c>
      <c r="D63" s="174" t="inlineStr">
        <is>
          <t>т</t>
        </is>
      </c>
      <c r="E63" s="63" t="n">
        <v>1.0128472222222</v>
      </c>
      <c r="F63" s="192" t="n">
        <v>480</v>
      </c>
      <c r="G63" s="14">
        <f>ROUND(F63*E63,2)</f>
        <v/>
      </c>
      <c r="H63" s="184">
        <f>G63/$G$93</f>
        <v/>
      </c>
      <c r="I63" s="14">
        <f>ROUND(F63*Прил.10!$D$12,2)</f>
        <v/>
      </c>
      <c r="J63" s="14">
        <f>ROUND(I63*E63,2)</f>
        <v/>
      </c>
    </row>
    <row r="64" outlineLevel="1" ht="25.9" customFormat="1" customHeight="1" s="145">
      <c r="A64" s="174" t="n">
        <v>36</v>
      </c>
      <c r="B64" s="64" t="inlineStr">
        <is>
          <t>999-9950</t>
        </is>
      </c>
      <c r="C64" s="173" t="inlineStr">
        <is>
          <t>Вспомогательные ненормируемые ресурсы (2% от Оплаты труда рабочих)</t>
        </is>
      </c>
      <c r="D64" s="174" t="inlineStr">
        <is>
          <t>руб.</t>
        </is>
      </c>
      <c r="E64" s="63" t="n">
        <v>260.98506944444</v>
      </c>
      <c r="F64" s="192" t="n">
        <v>1</v>
      </c>
      <c r="G64" s="14">
        <f>ROUND(F64*E64,2)</f>
        <v/>
      </c>
      <c r="H64" s="184">
        <f>G64/$G$93</f>
        <v/>
      </c>
      <c r="I64" s="14">
        <f>ROUND(F64*Прил.10!$D$12,2)</f>
        <v/>
      </c>
      <c r="J64" s="14">
        <f>ROUND(I64*E64,2)</f>
        <v/>
      </c>
    </row>
    <row r="65" outlineLevel="1" ht="25.9" customFormat="1" customHeight="1" s="145">
      <c r="A65" s="174" t="n">
        <v>37</v>
      </c>
      <c r="B65" s="64" t="inlineStr">
        <is>
          <t>08.1.02.13-0005</t>
        </is>
      </c>
      <c r="C65" s="173" t="inlineStr">
        <is>
          <t>Рукава металлические диаметром 15 мм РЗ-Ц-Х</t>
        </is>
      </c>
      <c r="D65" s="174" t="inlineStr">
        <is>
          <t>м</t>
        </is>
      </c>
      <c r="E65" s="63" t="n">
        <v>31.25</v>
      </c>
      <c r="F65" s="192" t="n">
        <v>8.279999999999999</v>
      </c>
      <c r="G65" s="14">
        <f>ROUND(F65*E65,2)</f>
        <v/>
      </c>
      <c r="H65" s="184">
        <f>G65/$G$93</f>
        <v/>
      </c>
      <c r="I65" s="14">
        <f>ROUND(F65*Прил.10!$D$12,2)</f>
        <v/>
      </c>
      <c r="J65" s="14">
        <f>ROUND(I65*E65,2)</f>
        <v/>
      </c>
    </row>
    <row r="66" outlineLevel="1" ht="25.9" customFormat="1" customHeight="1" s="145">
      <c r="A66" s="174" t="n">
        <v>38</v>
      </c>
      <c r="B66" s="64" t="inlineStr">
        <is>
          <t>08.3.07.01-0076</t>
        </is>
      </c>
      <c r="C66" s="173" t="inlineStr">
        <is>
          <t>Сталь полосовая, марка стали: Ст3сп шириной 50-200 мм толщиной 4-5 мм</t>
        </is>
      </c>
      <c r="D66" s="174" t="inlineStr">
        <is>
          <t>т</t>
        </is>
      </c>
      <c r="E66" s="63" t="n">
        <v>0.023125</v>
      </c>
      <c r="F66" s="192" t="n">
        <v>5000</v>
      </c>
      <c r="G66" s="14">
        <f>ROUND(F66*E66,2)</f>
        <v/>
      </c>
      <c r="H66" s="184">
        <f>G66/$G$93</f>
        <v/>
      </c>
      <c r="I66" s="14">
        <f>ROUND(F66*Прил.10!$D$12,2)</f>
        <v/>
      </c>
      <c r="J66" s="14">
        <f>ROUND(I66*E66,2)</f>
        <v/>
      </c>
    </row>
    <row r="67" outlineLevel="1" ht="38.85" customFormat="1" customHeight="1" s="145">
      <c r="A67" s="174" t="n">
        <v>39</v>
      </c>
      <c r="B67" s="64" t="inlineStr">
        <is>
          <t>21.2.01.02-0141</t>
        </is>
      </c>
      <c r="C67" s="173" t="inlineStr">
        <is>
          <t>Провода неизолированные для воздушных линий электропередачи медные марки: М, сечением 4 мм2</t>
        </is>
      </c>
      <c r="D67" s="174" t="inlineStr">
        <is>
          <t>т</t>
        </is>
      </c>
      <c r="E67" s="63" t="n">
        <v>0.0010069444444444</v>
      </c>
      <c r="F67" s="192" t="n">
        <v>96440</v>
      </c>
      <c r="G67" s="14">
        <f>ROUND(F67*E67,2)</f>
        <v/>
      </c>
      <c r="H67" s="184">
        <f>G67/$G$93</f>
        <v/>
      </c>
      <c r="I67" s="14">
        <f>ROUND(F67*Прил.10!$D$12,2)</f>
        <v/>
      </c>
      <c r="J67" s="14">
        <f>ROUND(I67*E67,2)</f>
        <v/>
      </c>
    </row>
    <row r="68" outlineLevel="1" ht="13.7" customFormat="1" customHeight="1" s="145">
      <c r="A68" s="174" t="n">
        <v>40</v>
      </c>
      <c r="B68" s="64" t="inlineStr">
        <is>
          <t>18.5.08.09-0001</t>
        </is>
      </c>
      <c r="C68" s="173" t="inlineStr">
        <is>
          <t>Патрубки</t>
        </is>
      </c>
      <c r="D68" s="174" t="inlineStr">
        <is>
          <t>10 шт</t>
        </is>
      </c>
      <c r="E68" s="63" t="n">
        <v>0.3125</v>
      </c>
      <c r="F68" s="192" t="n">
        <v>277.5</v>
      </c>
      <c r="G68" s="14">
        <f>ROUND(F68*E68,2)</f>
        <v/>
      </c>
      <c r="H68" s="184">
        <f>G68/$G$93</f>
        <v/>
      </c>
      <c r="I68" s="14">
        <f>ROUND(F68*Прил.10!$D$12,2)</f>
        <v/>
      </c>
      <c r="J68" s="14">
        <f>ROUND(I68*E68,2)</f>
        <v/>
      </c>
    </row>
    <row r="69" outlineLevel="1" ht="13.7" customFormat="1" customHeight="1" s="145">
      <c r="A69" s="174" t="n">
        <v>41</v>
      </c>
      <c r="B69" s="64" t="inlineStr">
        <is>
          <t>14.4.02.09-0301</t>
        </is>
      </c>
      <c r="C69" s="173" t="inlineStr">
        <is>
          <t>Краска "Цинол"</t>
        </is>
      </c>
      <c r="D69" s="174" t="inlineStr">
        <is>
          <t>кг</t>
        </is>
      </c>
      <c r="E69" s="63" t="n">
        <v>0.34722222222222</v>
      </c>
      <c r="F69" s="192" t="n">
        <v>238.48</v>
      </c>
      <c r="G69" s="14">
        <f>ROUND(F69*E69,2)</f>
        <v/>
      </c>
      <c r="H69" s="184">
        <f>G69/$G$93</f>
        <v/>
      </c>
      <c r="I69" s="14">
        <f>ROUND(F69*Прил.10!$D$12,2)</f>
        <v/>
      </c>
      <c r="J69" s="14">
        <f>ROUND(I69*E69,2)</f>
        <v/>
      </c>
    </row>
    <row r="70" outlineLevel="1" ht="13.7" customFormat="1" customHeight="1" s="145">
      <c r="A70" s="174" t="n">
        <v>42</v>
      </c>
      <c r="B70" s="64" t="inlineStr">
        <is>
          <t>20.1.02.23-0082</t>
        </is>
      </c>
      <c r="C70" s="173" t="inlineStr">
        <is>
          <t>Перемычки гибкие, тип ПГС-50</t>
        </is>
      </c>
      <c r="D70" s="174" t="inlineStr">
        <is>
          <t>10 шт</t>
        </is>
      </c>
      <c r="E70" s="63" t="n">
        <v>1.9479166666667</v>
      </c>
      <c r="F70" s="192" t="n">
        <v>39</v>
      </c>
      <c r="G70" s="14">
        <f>ROUND(F70*E70,2)</f>
        <v/>
      </c>
      <c r="H70" s="184">
        <f>G70/$G$93</f>
        <v/>
      </c>
      <c r="I70" s="14">
        <f>ROUND(F70*Прил.10!$D$12,2)</f>
        <v/>
      </c>
      <c r="J70" s="14">
        <f>ROUND(I70*E70,2)</f>
        <v/>
      </c>
    </row>
    <row r="71" outlineLevel="1" ht="25.9" customFormat="1" customHeight="1" s="145">
      <c r="A71" s="174" t="n">
        <v>43</v>
      </c>
      <c r="B71" s="64" t="inlineStr">
        <is>
          <t>02.3.01.02-0020</t>
        </is>
      </c>
      <c r="C71" s="173" t="inlineStr">
        <is>
          <t>Песок природный для строительных: растворов средний</t>
        </is>
      </c>
      <c r="D71" s="174" t="inlineStr">
        <is>
          <t>м3</t>
        </is>
      </c>
      <c r="E71" s="63" t="n">
        <v>0.8440972222222199</v>
      </c>
      <c r="F71" s="192" t="n">
        <v>59.99</v>
      </c>
      <c r="G71" s="14">
        <f>ROUND(F71*E71,2)</f>
        <v/>
      </c>
      <c r="H71" s="184">
        <f>G71/$G$93</f>
        <v/>
      </c>
      <c r="I71" s="14">
        <f>ROUND(F71*Прил.10!$D$12,2)</f>
        <v/>
      </c>
      <c r="J71" s="14">
        <f>ROUND(I71*E71,2)</f>
        <v/>
      </c>
    </row>
    <row r="72" outlineLevel="1" ht="25.9" customFormat="1" customHeight="1" s="145">
      <c r="A72" s="174" t="n">
        <v>44</v>
      </c>
      <c r="B72" s="64" t="inlineStr">
        <is>
          <t>10.3.02.03-0011</t>
        </is>
      </c>
      <c r="C72" s="173" t="inlineStr">
        <is>
          <t>Припои оловянно-свинцовые бессурьмянистые марки: ПОС30</t>
        </is>
      </c>
      <c r="D72" s="174" t="inlineStr">
        <is>
          <t>кг</t>
        </is>
      </c>
      <c r="E72" s="63" t="n">
        <v>0.45229166666667</v>
      </c>
      <c r="F72" s="192" t="n">
        <v>68.05</v>
      </c>
      <c r="G72" s="14">
        <f>ROUND(F72*E72,2)</f>
        <v/>
      </c>
      <c r="H72" s="184">
        <f>G72/$G$93</f>
        <v/>
      </c>
      <c r="I72" s="14">
        <f>ROUND(F72*Прил.10!$D$12,2)</f>
        <v/>
      </c>
      <c r="J72" s="14">
        <f>ROUND(I72*E72,2)</f>
        <v/>
      </c>
    </row>
    <row r="73" outlineLevel="1" ht="13.7" customFormat="1" customHeight="1" s="145">
      <c r="A73" s="174" t="n">
        <v>45</v>
      </c>
      <c r="B73" s="64" t="inlineStr">
        <is>
          <t>20.1.02.06-0001</t>
        </is>
      </c>
      <c r="C73" s="173" t="inlineStr">
        <is>
          <t>Жир паяльный</t>
        </is>
      </c>
      <c r="D73" s="174" t="inlineStr">
        <is>
          <t>кг</t>
        </is>
      </c>
      <c r="E73" s="63" t="n">
        <v>0.18055555555556</v>
      </c>
      <c r="F73" s="192" t="n">
        <v>100.8</v>
      </c>
      <c r="G73" s="14">
        <f>ROUND(F73*E73,2)</f>
        <v/>
      </c>
      <c r="H73" s="184">
        <f>G73/$G$93</f>
        <v/>
      </c>
      <c r="I73" s="14">
        <f>ROUND(F73*Прил.10!$D$12,2)</f>
        <v/>
      </c>
      <c r="J73" s="14">
        <f>ROUND(I73*E73,2)</f>
        <v/>
      </c>
    </row>
    <row r="74" outlineLevel="1" ht="13.7" customFormat="1" customHeight="1" s="145">
      <c r="A74" s="174" t="n">
        <v>46</v>
      </c>
      <c r="B74" s="64" t="inlineStr">
        <is>
          <t>01.3.01.01-0001</t>
        </is>
      </c>
      <c r="C74" s="173" t="inlineStr">
        <is>
          <t>Бензин авиационный Б-70</t>
        </is>
      </c>
      <c r="D74" s="174" t="inlineStr">
        <is>
          <t>т</t>
        </is>
      </c>
      <c r="E74" s="63" t="n">
        <v>0.0027777777777778</v>
      </c>
      <c r="F74" s="192" t="n">
        <v>4488.4</v>
      </c>
      <c r="G74" s="14">
        <f>ROUND(F74*E74,2)</f>
        <v/>
      </c>
      <c r="H74" s="184">
        <f>G74/$G$93</f>
        <v/>
      </c>
      <c r="I74" s="14">
        <f>ROUND(F74*Прил.10!$D$12,2)</f>
        <v/>
      </c>
      <c r="J74" s="14">
        <f>ROUND(I74*E74,2)</f>
        <v/>
      </c>
    </row>
    <row r="75" outlineLevel="1" ht="25.9" customFormat="1" customHeight="1" s="145">
      <c r="A75" s="174" t="n">
        <v>47</v>
      </c>
      <c r="B75" s="64" t="inlineStr">
        <is>
          <t>01.7.15.04-0011</t>
        </is>
      </c>
      <c r="C75" s="173" t="inlineStr">
        <is>
          <t>Винты с полукруглой головкой длиной: 50 мм</t>
        </is>
      </c>
      <c r="D75" s="174" t="inlineStr">
        <is>
          <t>т</t>
        </is>
      </c>
      <c r="E75" s="63" t="n">
        <v>0.00069444444444444</v>
      </c>
      <c r="F75" s="192" t="n">
        <v>12430</v>
      </c>
      <c r="G75" s="14">
        <f>ROUND(F75*E75,2)</f>
        <v/>
      </c>
      <c r="H75" s="184">
        <f>G75/$G$93</f>
        <v/>
      </c>
      <c r="I75" s="14">
        <f>ROUND(F75*Прил.10!$D$12,2)</f>
        <v/>
      </c>
      <c r="J75" s="14">
        <f>ROUND(I75*E75,2)</f>
        <v/>
      </c>
    </row>
    <row r="76" outlineLevel="1" ht="13.7" customFormat="1" customHeight="1" s="145">
      <c r="A76" s="174" t="n">
        <v>48</v>
      </c>
      <c r="B76" s="64" t="inlineStr">
        <is>
          <t>25.2.01.01-0017</t>
        </is>
      </c>
      <c r="C76" s="173" t="inlineStr">
        <is>
          <t>Бирки маркировочные пластмассовые</t>
        </is>
      </c>
      <c r="D76" s="174" t="inlineStr">
        <is>
          <t>100 шт</t>
        </is>
      </c>
      <c r="E76" s="63" t="n">
        <v>0.26388888888889</v>
      </c>
      <c r="F76" s="192" t="n">
        <v>30.74</v>
      </c>
      <c r="G76" s="14">
        <f>ROUND(F76*E76,2)</f>
        <v/>
      </c>
      <c r="H76" s="184">
        <f>G76/$G$93</f>
        <v/>
      </c>
      <c r="I76" s="14">
        <f>ROUND(F76*Прил.10!$D$12,2)</f>
        <v/>
      </c>
      <c r="J76" s="14">
        <f>ROUND(I76*E76,2)</f>
        <v/>
      </c>
    </row>
    <row r="77" outlineLevel="1" ht="38.85" customFormat="1" customHeight="1" s="145">
      <c r="A77" s="174" t="n">
        <v>49</v>
      </c>
      <c r="B77" s="64" t="inlineStr">
        <is>
          <t>01.7.06.05-0041</t>
        </is>
      </c>
      <c r="C77" s="173" t="inlineStr">
        <is>
          <t>Лента изоляционная прорезиненная односторонняя ширина 20 мм, толщина 0,25-0,35 мм</t>
        </is>
      </c>
      <c r="D77" s="174" t="inlineStr">
        <is>
          <t>кг</t>
        </is>
      </c>
      <c r="E77" s="63" t="n">
        <v>0.19444444444444</v>
      </c>
      <c r="F77" s="192" t="n">
        <v>30.4</v>
      </c>
      <c r="G77" s="14">
        <f>ROUND(F77*E77,2)</f>
        <v/>
      </c>
      <c r="H77" s="184">
        <f>G77/$G$93</f>
        <v/>
      </c>
      <c r="I77" s="14">
        <f>ROUND(F77*Прил.10!$D$12,2)</f>
        <v/>
      </c>
      <c r="J77" s="14">
        <f>ROUND(I77*E77,2)</f>
        <v/>
      </c>
    </row>
    <row r="78" outlineLevel="1" ht="13.7" customFormat="1" customHeight="1" s="145">
      <c r="A78" s="174" t="n">
        <v>50</v>
      </c>
      <c r="B78" s="64" t="inlineStr">
        <is>
          <t>08.3.07.01-0037</t>
        </is>
      </c>
      <c r="C78" s="173" t="inlineStr">
        <is>
          <t>Сталь полосовая 30х4 мм, марка Ст3сп</t>
        </is>
      </c>
      <c r="D78" s="174" t="inlineStr">
        <is>
          <t>т</t>
        </is>
      </c>
      <c r="E78" s="63" t="n">
        <v>0.00069444444444444</v>
      </c>
      <c r="F78" s="192" t="n">
        <v>6674.64</v>
      </c>
      <c r="G78" s="14">
        <f>ROUND(F78*E78,2)</f>
        <v/>
      </c>
      <c r="H78" s="184">
        <f>G78/$G$93</f>
        <v/>
      </c>
      <c r="I78" s="14">
        <f>ROUND(F78*Прил.10!$D$12,2)</f>
        <v/>
      </c>
      <c r="J78" s="14">
        <f>ROUND(I78*E78,2)</f>
        <v/>
      </c>
    </row>
    <row r="79" outlineLevel="1" ht="13.7" customFormat="1" customHeight="1" s="145">
      <c r="A79" s="174" t="n">
        <v>51</v>
      </c>
      <c r="B79" s="64" t="inlineStr">
        <is>
          <t>25.2.01.01-0001</t>
        </is>
      </c>
      <c r="C79" s="173" t="inlineStr">
        <is>
          <t>Бирки-оконцеватели</t>
        </is>
      </c>
      <c r="D79" s="174" t="inlineStr">
        <is>
          <t>100 шт</t>
        </is>
      </c>
      <c r="E79" s="63" t="n">
        <v>0.069444444444444</v>
      </c>
      <c r="F79" s="192" t="n">
        <v>63</v>
      </c>
      <c r="G79" s="14">
        <f>ROUND(F79*E79,2)</f>
        <v/>
      </c>
      <c r="H79" s="184">
        <f>G79/$G$93</f>
        <v/>
      </c>
      <c r="I79" s="14">
        <f>ROUND(F79*Прил.10!$D$12,2)</f>
        <v/>
      </c>
      <c r="J79" s="14">
        <f>ROUND(I79*E79,2)</f>
        <v/>
      </c>
    </row>
    <row r="80" outlineLevel="1" ht="13.7" customFormat="1" customHeight="1" s="145">
      <c r="A80" s="174" t="n">
        <v>52</v>
      </c>
      <c r="B80" s="64" t="inlineStr">
        <is>
          <t>01.3.02.09-0022</t>
        </is>
      </c>
      <c r="C80" s="173" t="inlineStr">
        <is>
          <t>Пропан-бутан, смесь техническая</t>
        </is>
      </c>
      <c r="D80" s="174" t="inlineStr">
        <is>
          <t>кг</t>
        </is>
      </c>
      <c r="E80" s="63" t="n">
        <v>0.52083333333333</v>
      </c>
      <c r="F80" s="192" t="n">
        <v>6.09</v>
      </c>
      <c r="G80" s="14">
        <f>ROUND(F80*E80,2)</f>
        <v/>
      </c>
      <c r="H80" s="184">
        <f>G80/$G$93</f>
        <v/>
      </c>
      <c r="I80" s="14">
        <f>ROUND(F80*Прил.10!$D$12,2)</f>
        <v/>
      </c>
      <c r="J80" s="14">
        <f>ROUND(I80*E80,2)</f>
        <v/>
      </c>
    </row>
    <row r="81" outlineLevel="1" ht="25.9" customFormat="1" customHeight="1" s="145">
      <c r="A81" s="174" t="n">
        <v>53</v>
      </c>
      <c r="B81" s="64" t="inlineStr">
        <is>
          <t>10.3.02.03-0013</t>
        </is>
      </c>
      <c r="C81" s="173" t="inlineStr">
        <is>
          <t>Припои оловянно-свинцовые бессурьмянистые марки: ПОС61</t>
        </is>
      </c>
      <c r="D81" s="174" t="inlineStr">
        <is>
          <t>кг</t>
        </is>
      </c>
      <c r="E81" s="63" t="n">
        <v>0.0203125</v>
      </c>
      <c r="F81" s="192" t="n">
        <v>114.22</v>
      </c>
      <c r="G81" s="14">
        <f>ROUND(F81*E81,2)</f>
        <v/>
      </c>
      <c r="H81" s="184">
        <f>G81/$G$93</f>
        <v/>
      </c>
      <c r="I81" s="14">
        <f>ROUND(F81*Прил.10!$D$12,2)</f>
        <v/>
      </c>
      <c r="J81" s="14">
        <f>ROUND(I81*E81,2)</f>
        <v/>
      </c>
    </row>
    <row r="82" outlineLevel="1" ht="13.7" customFormat="1" customHeight="1" s="145">
      <c r="A82" s="174" t="n">
        <v>54</v>
      </c>
      <c r="B82" s="64" t="inlineStr">
        <is>
          <t>01.3.01.05-0009</t>
        </is>
      </c>
      <c r="C82" s="173" t="inlineStr">
        <is>
          <t>Парафины нефтяные твердые марки Т-1</t>
        </is>
      </c>
      <c r="D82" s="174" t="inlineStr">
        <is>
          <t>т</t>
        </is>
      </c>
      <c r="E82" s="63" t="n">
        <v>0.00013888888888889</v>
      </c>
      <c r="F82" s="192" t="n">
        <v>8105.71</v>
      </c>
      <c r="G82" s="14">
        <f>ROUND(F82*E82,2)</f>
        <v/>
      </c>
      <c r="H82" s="184">
        <f>G82/$G$93</f>
        <v/>
      </c>
      <c r="I82" s="14">
        <f>ROUND(F82*Прил.10!$D$12,2)</f>
        <v/>
      </c>
      <c r="J82" s="14">
        <f>ROUND(I82*E82,2)</f>
        <v/>
      </c>
    </row>
    <row r="83" outlineLevel="1" ht="13.7" customFormat="1" customHeight="1" s="145">
      <c r="A83" s="174" t="n">
        <v>55</v>
      </c>
      <c r="B83" s="64" t="inlineStr">
        <is>
          <t>01.7.06.07-0001</t>
        </is>
      </c>
      <c r="C83" s="173" t="inlineStr">
        <is>
          <t>Лента К226</t>
        </is>
      </c>
      <c r="D83" s="174" t="inlineStr">
        <is>
          <t>100 м</t>
        </is>
      </c>
      <c r="E83" s="63" t="n">
        <v>0.008402777777777801</v>
      </c>
      <c r="F83" s="192" t="n">
        <v>120</v>
      </c>
      <c r="G83" s="14">
        <f>ROUND(F83*E83,2)</f>
        <v/>
      </c>
      <c r="H83" s="184">
        <f>G83/$G$93</f>
        <v/>
      </c>
      <c r="I83" s="14">
        <f>ROUND(F83*Прил.10!$D$12,2)</f>
        <v/>
      </c>
      <c r="J83" s="14">
        <f>ROUND(I83*E83,2)</f>
        <v/>
      </c>
    </row>
    <row r="84" outlineLevel="1" ht="13.7" customFormat="1" customHeight="1" s="145">
      <c r="A84" s="174" t="n">
        <v>56</v>
      </c>
      <c r="B84" s="64" t="inlineStr">
        <is>
          <t>20.2.02.01-0019</t>
        </is>
      </c>
      <c r="C84" s="173" t="inlineStr">
        <is>
          <t>Втулки изолирующие</t>
        </is>
      </c>
      <c r="D84" s="174" t="inlineStr">
        <is>
          <t>1000 шт</t>
        </is>
      </c>
      <c r="E84" s="63" t="n">
        <v>0.003125</v>
      </c>
      <c r="F84" s="192" t="n">
        <v>270</v>
      </c>
      <c r="G84" s="14">
        <f>ROUND(F84*E84,2)</f>
        <v/>
      </c>
      <c r="H84" s="184">
        <f>G84/$G$93</f>
        <v/>
      </c>
      <c r="I84" s="14">
        <f>ROUND(F84*Прил.10!$D$12,2)</f>
        <v/>
      </c>
      <c r="J84" s="14">
        <f>ROUND(I84*E84,2)</f>
        <v/>
      </c>
    </row>
    <row r="85" outlineLevel="1" ht="13.7" customFormat="1" customHeight="1" s="145">
      <c r="A85" s="174" t="n">
        <v>57</v>
      </c>
      <c r="B85" s="64" t="inlineStr">
        <is>
          <t>24.3.01.01-0002</t>
        </is>
      </c>
      <c r="C85" s="173" t="inlineStr">
        <is>
          <t>Трубка полихлорвиниловая</t>
        </is>
      </c>
      <c r="D85" s="174" t="inlineStr">
        <is>
          <t>кг</t>
        </is>
      </c>
      <c r="E85" s="63" t="n">
        <v>0.010555555555556</v>
      </c>
      <c r="F85" s="192" t="n">
        <v>35.7</v>
      </c>
      <c r="G85" s="14">
        <f>ROUND(F85*E85,2)</f>
        <v/>
      </c>
      <c r="H85" s="184">
        <f>G85/$G$93</f>
        <v/>
      </c>
      <c r="I85" s="14">
        <f>ROUND(F85*Прил.10!$D$12,2)</f>
        <v/>
      </c>
      <c r="J85" s="14">
        <f>ROUND(I85*E85,2)</f>
        <v/>
      </c>
    </row>
    <row r="86" outlineLevel="1" ht="13.7" customFormat="1" customHeight="1" s="145">
      <c r="A86" s="174" t="n">
        <v>58</v>
      </c>
      <c r="B86" s="64" t="inlineStr">
        <is>
          <t>01.3.01.02-0002</t>
        </is>
      </c>
      <c r="C86" s="173" t="inlineStr">
        <is>
          <t>Вазелин технический</t>
        </is>
      </c>
      <c r="D86" s="174" t="inlineStr">
        <is>
          <t>кг</t>
        </is>
      </c>
      <c r="E86" s="63" t="n">
        <v>0.0069444444444444</v>
      </c>
      <c r="F86" s="192" t="n">
        <v>44.97</v>
      </c>
      <c r="G86" s="14">
        <f>ROUND(F86*E86,2)</f>
        <v/>
      </c>
      <c r="H86" s="184">
        <f>G86/$G$93</f>
        <v/>
      </c>
      <c r="I86" s="14">
        <f>ROUND(F86*Прил.10!$D$12,2)</f>
        <v/>
      </c>
      <c r="J86" s="14">
        <f>ROUND(I86*E86,2)</f>
        <v/>
      </c>
    </row>
    <row r="87" outlineLevel="1" ht="25.9" customFormat="1" customHeight="1" s="145">
      <c r="A87" s="174" t="n">
        <v>59</v>
      </c>
      <c r="B87" s="64" t="inlineStr">
        <is>
          <t>01.3.01.07-0009</t>
        </is>
      </c>
      <c r="C87" s="173" t="inlineStr">
        <is>
          <t>Спирт этиловый ректификованный технический, сорт I</t>
        </is>
      </c>
      <c r="D87" s="174" t="inlineStr">
        <is>
          <t>кг</t>
        </is>
      </c>
      <c r="E87" s="63" t="n">
        <v>0.0076388888888889</v>
      </c>
      <c r="F87" s="192" t="n">
        <v>38.89</v>
      </c>
      <c r="G87" s="14">
        <f>ROUND(F87*E87,2)</f>
        <v/>
      </c>
      <c r="H87" s="184">
        <f>G87/$G$93</f>
        <v/>
      </c>
      <c r="I87" s="14">
        <f>ROUND(F87*Прил.10!$D$12,2)</f>
        <v/>
      </c>
      <c r="J87" s="14">
        <f>ROUND(I87*E87,2)</f>
        <v/>
      </c>
    </row>
    <row r="88" outlineLevel="1" ht="13.7" customFormat="1" customHeight="1" s="145">
      <c r="A88" s="174" t="n">
        <v>60</v>
      </c>
      <c r="B88" s="64" t="inlineStr">
        <is>
          <t>14.4.03.17-0011</t>
        </is>
      </c>
      <c r="C88" s="173" t="inlineStr">
        <is>
          <t>Лак электроизоляционный 318</t>
        </is>
      </c>
      <c r="D88" s="174" t="inlineStr">
        <is>
          <t>кг</t>
        </is>
      </c>
      <c r="E88" s="63" t="n">
        <v>0.0069444444444444</v>
      </c>
      <c r="F88" s="192" t="n">
        <v>35.63</v>
      </c>
      <c r="G88" s="14">
        <f>ROUND(F88*E88,2)</f>
        <v/>
      </c>
      <c r="H88" s="184">
        <f>G88/$G$93</f>
        <v/>
      </c>
      <c r="I88" s="14">
        <f>ROUND(F88*Прил.10!$D$12,2)</f>
        <v/>
      </c>
      <c r="J88" s="14">
        <f>ROUND(I88*E88,2)</f>
        <v/>
      </c>
    </row>
    <row r="89" outlineLevel="1" ht="13.7" customFormat="1" customHeight="1" s="145">
      <c r="A89" s="174" t="n">
        <v>61</v>
      </c>
      <c r="B89" s="64" t="inlineStr">
        <is>
          <t>01.3.05.17-0002</t>
        </is>
      </c>
      <c r="C89" s="173" t="inlineStr">
        <is>
          <t>Канифоль сосновая</t>
        </is>
      </c>
      <c r="D89" s="174" t="inlineStr">
        <is>
          <t>кг</t>
        </is>
      </c>
      <c r="E89" s="63" t="n">
        <v>0.005</v>
      </c>
      <c r="F89" s="192" t="n">
        <v>27.74</v>
      </c>
      <c r="G89" s="14">
        <f>ROUND(F89*E89,2)</f>
        <v/>
      </c>
      <c r="H89" s="184">
        <f>G89/$G$93</f>
        <v/>
      </c>
      <c r="I89" s="14">
        <f>ROUND(F89*Прил.10!$D$12,2)</f>
        <v/>
      </c>
      <c r="J89" s="14">
        <f>ROUND(I89*E89,2)</f>
        <v/>
      </c>
    </row>
    <row r="90" outlineLevel="1" ht="13.7" customFormat="1" customHeight="1" s="145">
      <c r="A90" s="174" t="n">
        <v>62</v>
      </c>
      <c r="B90" s="64" t="inlineStr">
        <is>
          <t>01.7.20.04-0005</t>
        </is>
      </c>
      <c r="C90" s="173" t="inlineStr">
        <is>
          <t>Нитки швейные</t>
        </is>
      </c>
      <c r="D90" s="174" t="inlineStr">
        <is>
          <t>кг</t>
        </is>
      </c>
      <c r="E90" s="63" t="n">
        <v>0.00069444444444444</v>
      </c>
      <c r="F90" s="192" t="n">
        <v>133.05</v>
      </c>
      <c r="G90" s="14">
        <f>ROUND(F90*E90,2)</f>
        <v/>
      </c>
      <c r="H90" s="184">
        <f>G90/$G$93</f>
        <v/>
      </c>
      <c r="I90" s="14">
        <f>ROUND(F90*Прил.10!$D$12,2)</f>
        <v/>
      </c>
      <c r="J90" s="14">
        <f>ROUND(I90*E90,2)</f>
        <v/>
      </c>
    </row>
    <row r="91" outlineLevel="1" ht="13.7" customFormat="1" customHeight="1" s="145">
      <c r="A91" s="174" t="n">
        <v>63</v>
      </c>
      <c r="B91" s="64" t="inlineStr">
        <is>
          <t>01.7.02.09-0002</t>
        </is>
      </c>
      <c r="C91" s="173" t="inlineStr">
        <is>
          <t>Шпагат бумажный</t>
        </is>
      </c>
      <c r="D91" s="174" t="inlineStr">
        <is>
          <t>кг</t>
        </is>
      </c>
      <c r="E91" s="63" t="n">
        <v>0.0013888888888889</v>
      </c>
      <c r="F91" s="192" t="n">
        <v>11.5</v>
      </c>
      <c r="G91" s="14">
        <f>ROUND(F91*E91,2)</f>
        <v/>
      </c>
      <c r="H91" s="184">
        <f>G91/$G$93</f>
        <v/>
      </c>
      <c r="I91" s="14">
        <f>ROUND(F91*Прил.10!$D$12,2)</f>
        <v/>
      </c>
      <c r="J91" s="14">
        <f>ROUND(I91*E91,2)</f>
        <v/>
      </c>
    </row>
    <row r="92" ht="13.7" customFormat="1" customHeight="1" s="145">
      <c r="A92" s="174" t="n"/>
      <c r="B92" s="174" t="n"/>
      <c r="C92" s="173" t="inlineStr">
        <is>
          <t>Итого прочие материалы</t>
        </is>
      </c>
      <c r="D92" s="174" t="n"/>
      <c r="E92" s="175" t="n"/>
      <c r="F92" s="176" t="n"/>
      <c r="G92" s="14">
        <f>SUM(G54:G91)</f>
        <v/>
      </c>
      <c r="H92" s="184">
        <f>G92/G93</f>
        <v/>
      </c>
      <c r="I92" s="14" t="n"/>
      <c r="J92" s="14">
        <f>SUM(J54:J91)</f>
        <v/>
      </c>
      <c r="L92" s="112" t="n"/>
    </row>
    <row r="93" ht="13.7" customFormat="1" customHeight="1" s="145">
      <c r="A93" s="174" t="n"/>
      <c r="B93" s="174" t="n"/>
      <c r="C93" s="167" t="inlineStr">
        <is>
          <t>Итого по разделу «Материалы»</t>
        </is>
      </c>
      <c r="D93" s="174" t="n"/>
      <c r="E93" s="175" t="n"/>
      <c r="F93" s="176" t="n"/>
      <c r="G93" s="14">
        <f>G53+G92</f>
        <v/>
      </c>
      <c r="H93" s="184" t="n">
        <v>1</v>
      </c>
      <c r="I93" s="176" t="n"/>
      <c r="J93" s="14">
        <f>J53+J92</f>
        <v/>
      </c>
      <c r="K93" s="62" t="n"/>
    </row>
    <row r="94" ht="13.7" customFormat="1" customHeight="1" s="145">
      <c r="A94" s="174" t="n"/>
      <c r="B94" s="174" t="n"/>
      <c r="C94" s="173" t="inlineStr">
        <is>
          <t>ИТОГО ПО РМ</t>
        </is>
      </c>
      <c r="D94" s="174" t="n"/>
      <c r="E94" s="175" t="n"/>
      <c r="F94" s="176" t="n"/>
      <c r="G94" s="14">
        <f>G14+G29+G93</f>
        <v/>
      </c>
      <c r="H94" s="184" t="n"/>
      <c r="I94" s="176" t="n"/>
      <c r="J94" s="14">
        <f>J14+J29+J93</f>
        <v/>
      </c>
    </row>
    <row r="95" ht="13.7" customFormat="1" customHeight="1" s="145">
      <c r="A95" s="174" t="n"/>
      <c r="B95" s="174" t="n"/>
      <c r="C95" s="173" t="inlineStr">
        <is>
          <t>Накладные расходы</t>
        </is>
      </c>
      <c r="D95" s="174" t="inlineStr">
        <is>
          <t>%</t>
        </is>
      </c>
      <c r="E95" s="73" t="n">
        <v>0.95</v>
      </c>
      <c r="F95" s="176" t="n"/>
      <c r="G95" s="14">
        <f>ROUND(E95*(G14+G16),2)</f>
        <v/>
      </c>
      <c r="H95" s="184" t="n"/>
      <c r="I95" s="176" t="n"/>
      <c r="J95" s="14">
        <f>ROUND(E95*(J14+J16),2)</f>
        <v/>
      </c>
      <c r="K95" s="74" t="n"/>
    </row>
    <row r="96" ht="13.7" customFormat="1" customHeight="1" s="145">
      <c r="A96" s="174" t="n"/>
      <c r="B96" s="174" t="n"/>
      <c r="C96" s="173" t="inlineStr">
        <is>
          <t>Сметная прибыль</t>
        </is>
      </c>
      <c r="D96" s="174" t="inlineStr">
        <is>
          <t>%</t>
        </is>
      </c>
      <c r="E96" s="73" t="n">
        <v>0.65</v>
      </c>
      <c r="F96" s="176" t="n"/>
      <c r="G96" s="14">
        <f>ROUND(E96*(G14+G16),2)</f>
        <v/>
      </c>
      <c r="H96" s="184" t="n"/>
      <c r="I96" s="176" t="n"/>
      <c r="J96" s="14">
        <f>ROUND(E96*(J14+J16),2)</f>
        <v/>
      </c>
      <c r="K96" s="74" t="n"/>
    </row>
    <row r="97" ht="13.7" customFormat="1" customHeight="1" s="145">
      <c r="A97" s="174" t="n"/>
      <c r="B97" s="174" t="n"/>
      <c r="C97" s="173" t="inlineStr">
        <is>
          <t>Итого СМР (с НР и СП)</t>
        </is>
      </c>
      <c r="D97" s="174" t="n"/>
      <c r="E97" s="175" t="n"/>
      <c r="F97" s="176" t="n"/>
      <c r="G97" s="14">
        <f>G14+G29+G93+G95+G96</f>
        <v/>
      </c>
      <c r="H97" s="184" t="n"/>
      <c r="I97" s="176" t="n"/>
      <c r="J97" s="14">
        <f>J14+J29+J93+J95+J96</f>
        <v/>
      </c>
      <c r="L97" s="75" t="n"/>
    </row>
    <row r="98" ht="13.7" customFormat="1" customHeight="1" s="145">
      <c r="A98" s="174" t="n"/>
      <c r="B98" s="174" t="n"/>
      <c r="C98" s="173" t="inlineStr">
        <is>
          <t>ВСЕГО СМР + ОБОРУДОВАНИЕ</t>
        </is>
      </c>
      <c r="D98" s="174" t="n"/>
      <c r="E98" s="175" t="n"/>
      <c r="F98" s="176" t="n"/>
      <c r="G98" s="14">
        <f>G97+G46</f>
        <v/>
      </c>
      <c r="H98" s="184" t="n"/>
      <c r="I98" s="176" t="n"/>
      <c r="J98" s="14">
        <f>J97+J46</f>
        <v/>
      </c>
      <c r="L98" s="74" t="n"/>
    </row>
    <row r="99" ht="13.7" customFormat="1" customHeight="1" s="145">
      <c r="A99" s="174" t="n"/>
      <c r="B99" s="174" t="n"/>
      <c r="C99" s="173" t="inlineStr">
        <is>
          <t>ИТОГО ПОКАЗАТЕЛЬ НА ЕД. ИЗМ.</t>
        </is>
      </c>
      <c r="D99" s="174" t="inlineStr">
        <is>
          <t>ед.</t>
        </is>
      </c>
      <c r="E99" s="76">
        <f>'Прил.1 Сравнит табл'!D14</f>
        <v/>
      </c>
      <c r="F99" s="176" t="n"/>
      <c r="G99" s="14">
        <f>G98/E99</f>
        <v/>
      </c>
      <c r="H99" s="184" t="n"/>
      <c r="I99" s="176" t="n"/>
      <c r="J99" s="14">
        <f>J98/E99</f>
        <v/>
      </c>
      <c r="L99" s="112" t="n"/>
    </row>
    <row r="101" ht="13.7" customFormat="1" customHeight="1" s="145">
      <c r="A101" s="143" t="n"/>
    </row>
    <row r="102" ht="13.7" customFormat="1" customHeight="1" s="145">
      <c r="A102" s="134" t="inlineStr">
        <is>
          <t>Составил ______________________        Е.А. Князева</t>
        </is>
      </c>
    </row>
    <row r="103" ht="13.7" customFormat="1" customHeight="1" s="145">
      <c r="A103" s="146" t="inlineStr">
        <is>
          <t xml:space="preserve">                         (подпись, инициалы, фамилия)</t>
        </is>
      </c>
    </row>
    <row r="104" ht="13.7" customFormat="1" customHeight="1" s="145">
      <c r="A104" s="134" t="n"/>
    </row>
    <row r="105" ht="13.7" customFormat="1" customHeight="1" s="145">
      <c r="A105" s="134" t="inlineStr">
        <is>
          <t>Проверил ______________________        А.В. Костянецкая</t>
        </is>
      </c>
    </row>
    <row r="106" ht="13.7" customFormat="1" customHeight="1" s="145">
      <c r="A106" s="146" t="inlineStr">
        <is>
          <t xml:space="preserve">                        (подпись, инициалы, фамилия)</t>
        </is>
      </c>
    </row>
  </sheetData>
  <mergeCells count="18">
    <mergeCell ref="A4:H4"/>
    <mergeCell ref="B9:B10"/>
    <mergeCell ref="C9:C10"/>
    <mergeCell ref="D9:D10"/>
    <mergeCell ref="E9:E10"/>
    <mergeCell ref="H9:H10"/>
    <mergeCell ref="B17:H17"/>
    <mergeCell ref="B18:H18"/>
    <mergeCell ref="A9:A10"/>
    <mergeCell ref="B49:H49"/>
    <mergeCell ref="F9:G9"/>
    <mergeCell ref="B12:H12"/>
    <mergeCell ref="D6:J6"/>
    <mergeCell ref="B31:J31"/>
    <mergeCell ref="B15:H15"/>
    <mergeCell ref="I9:J9"/>
    <mergeCell ref="B30:J30"/>
    <mergeCell ref="B48:J48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  <rowBreaks count="1" manualBreakCount="1">
    <brk id="125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33"/>
  <sheetViews>
    <sheetView view="pageBreakPreview" topLeftCell="A18" workbookViewId="0">
      <selection activeCell="D25" sqref="D25"/>
    </sheetView>
  </sheetViews>
  <sheetFormatPr baseColWidth="8" defaultRowHeight="15"/>
  <cols>
    <col width="5.7109375" customWidth="1" style="133" min="1" max="1"/>
    <col width="14.85546875" customWidth="1" style="133" min="2" max="2"/>
    <col width="39.140625" customWidth="1" style="133" min="3" max="3"/>
    <col width="8.28515625" customWidth="1" style="133" min="4" max="4"/>
    <col width="13.5703125" customWidth="1" style="133" min="5" max="5"/>
    <col width="12.42578125" customWidth="1" style="133" min="6" max="6"/>
    <col width="14.140625" customWidth="1" style="133" min="7" max="7"/>
  </cols>
  <sheetData>
    <row r="1">
      <c r="A1" s="193" t="inlineStr">
        <is>
          <t>Приложение №6</t>
        </is>
      </c>
    </row>
    <row r="2" hidden="1" s="133">
      <c r="A2" s="193" t="n"/>
      <c r="B2" s="193" t="n"/>
      <c r="C2" s="193" t="n"/>
      <c r="D2" s="193" t="n"/>
      <c r="E2" s="193" t="n"/>
      <c r="F2" s="193" t="n"/>
      <c r="G2" s="193" t="n"/>
    </row>
    <row r="3" hidden="1" s="133">
      <c r="A3" s="193" t="n"/>
      <c r="B3" s="193" t="n"/>
      <c r="C3" s="193" t="n"/>
      <c r="D3" s="193" t="n"/>
      <c r="E3" s="193" t="n"/>
      <c r="F3" s="193" t="n"/>
      <c r="G3" s="193" t="n"/>
    </row>
    <row r="4">
      <c r="A4" s="193" t="n"/>
      <c r="B4" s="193" t="n"/>
      <c r="C4" s="193" t="n"/>
      <c r="D4" s="193" t="n"/>
      <c r="E4" s="193" t="n"/>
      <c r="F4" s="193" t="n"/>
      <c r="G4" s="193" t="n"/>
    </row>
    <row r="5">
      <c r="A5" s="171" t="inlineStr">
        <is>
          <t>Расчет стоимости оборудования</t>
        </is>
      </c>
    </row>
    <row r="6" ht="64.5" customHeight="1" s="133">
      <c r="B6" s="102">
        <f>'Прил.1 Сравнит табл'!B6</f>
        <v/>
      </c>
      <c r="C6" s="115" t="n"/>
      <c r="D6" s="195">
        <f>'Прил.1 Сравнит табл'!D6</f>
        <v/>
      </c>
    </row>
    <row r="7">
      <c r="A7" s="134" t="n"/>
      <c r="B7" s="134" t="n"/>
      <c r="C7" s="134" t="n"/>
      <c r="D7" s="134" t="n"/>
      <c r="E7" s="134" t="n"/>
      <c r="F7" s="134" t="n"/>
      <c r="G7" s="134" t="n"/>
    </row>
    <row r="8" ht="30.2" customHeight="1" s="133">
      <c r="A8" s="194" t="inlineStr">
        <is>
          <t>№ пп.</t>
        </is>
      </c>
      <c r="B8" s="194" t="inlineStr">
        <is>
          <t>Код ресурса</t>
        </is>
      </c>
      <c r="C8" s="194" t="inlineStr">
        <is>
          <t>Наименование</t>
        </is>
      </c>
      <c r="D8" s="194" t="inlineStr">
        <is>
          <t>Ед. изм.</t>
        </is>
      </c>
      <c r="E8" s="174" t="inlineStr">
        <is>
          <t>Кол-во единиц по проектным данным</t>
        </is>
      </c>
      <c r="F8" s="194" t="inlineStr">
        <is>
          <t>Сметная стоимость в ценах на 01.01.2000 (руб.)</t>
        </is>
      </c>
      <c r="G8" s="203" t="n"/>
    </row>
    <row r="9">
      <c r="A9" s="205" t="n"/>
      <c r="B9" s="205" t="n"/>
      <c r="C9" s="205" t="n"/>
      <c r="D9" s="205" t="n"/>
      <c r="E9" s="205" t="n"/>
      <c r="F9" s="174" t="inlineStr">
        <is>
          <t>на ед. изм.</t>
        </is>
      </c>
      <c r="G9" s="174" t="inlineStr">
        <is>
          <t>общая</t>
        </is>
      </c>
    </row>
    <row r="10">
      <c r="A10" s="174" t="n">
        <v>1</v>
      </c>
      <c r="B10" s="174" t="n">
        <v>2</v>
      </c>
      <c r="C10" s="174" t="n">
        <v>3</v>
      </c>
      <c r="D10" s="174" t="n">
        <v>4</v>
      </c>
      <c r="E10" s="174" t="n">
        <v>5</v>
      </c>
      <c r="F10" s="174" t="n">
        <v>6</v>
      </c>
      <c r="G10" s="174" t="n">
        <v>7</v>
      </c>
    </row>
    <row r="11" ht="15" customHeight="1" s="133">
      <c r="A11" s="7" t="n"/>
      <c r="B11" s="173" t="inlineStr">
        <is>
          <t>ИНЖЕНЕРНОЕ ОБОРУДОВАНИЕ</t>
        </is>
      </c>
      <c r="C11" s="202" t="n"/>
      <c r="D11" s="202" t="n"/>
      <c r="E11" s="202" t="n"/>
      <c r="F11" s="202" t="n"/>
      <c r="G11" s="203" t="n"/>
    </row>
    <row r="12" ht="27" customHeight="1" s="133">
      <c r="A12" s="174" t="n"/>
      <c r="B12" s="167" t="n"/>
      <c r="C12" s="173" t="inlineStr">
        <is>
          <t>ИТОГО ИНЖЕНЕРНОЕ ОБОРУДОВАНИЕ</t>
        </is>
      </c>
      <c r="D12" s="167" t="n"/>
      <c r="E12" s="8" t="n"/>
      <c r="F12" s="176" t="n"/>
      <c r="G12" s="176" t="n">
        <v>0</v>
      </c>
    </row>
    <row r="13">
      <c r="A13" s="174" t="n"/>
      <c r="B13" s="173" t="inlineStr">
        <is>
          <t>ТЕХНОЛОГИЧЕСКОЕ ОБОРУДОВАНИЕ</t>
        </is>
      </c>
      <c r="C13" s="202" t="n"/>
      <c r="D13" s="202" t="n"/>
      <c r="E13" s="202" t="n"/>
      <c r="F13" s="202" t="n"/>
      <c r="G13" s="203" t="n"/>
    </row>
    <row r="14" ht="25.9" customHeight="1" s="133">
      <c r="A14" s="174" t="n">
        <v>1</v>
      </c>
      <c r="B14" s="123">
        <f>'Прил.5 Расчет СМР и ОБ'!B32</f>
        <v/>
      </c>
      <c r="C14" s="123">
        <f>'Прил.5 Расчет СМР и ОБ'!C32</f>
        <v/>
      </c>
      <c r="D14" s="64">
        <f>'Прил.5 Расчет СМР и ОБ'!D32</f>
        <v/>
      </c>
      <c r="E14" s="64">
        <f>'Прил.5 Расчет СМР и ОБ'!E32</f>
        <v/>
      </c>
      <c r="F14" s="176">
        <f>'Прил.5 Расчет СМР и ОБ'!F32</f>
        <v/>
      </c>
      <c r="G14" s="14">
        <f>ROUND(E14*F14,2)</f>
        <v/>
      </c>
    </row>
    <row r="15" ht="51" customHeight="1" s="133">
      <c r="A15" s="174">
        <f>A14+1</f>
        <v/>
      </c>
      <c r="B15" s="123">
        <f>'Прил.5 Расчет СМР и ОБ'!B33</f>
        <v/>
      </c>
      <c r="C15" s="123">
        <f>'Прил.5 Расчет СМР и ОБ'!C33</f>
        <v/>
      </c>
      <c r="D15" s="64">
        <f>'Прил.5 Расчет СМР и ОБ'!D33</f>
        <v/>
      </c>
      <c r="E15" s="64">
        <f>'Прил.5 Расчет СМР и ОБ'!E33</f>
        <v/>
      </c>
      <c r="F15" s="176">
        <f>'Прил.5 Расчет СМР и ОБ'!F33</f>
        <v/>
      </c>
      <c r="G15" s="14">
        <f>ROUND(E15*F15,2)</f>
        <v/>
      </c>
    </row>
    <row r="16" ht="25.9" customHeight="1" s="133">
      <c r="A16" s="174">
        <f>A15+1</f>
        <v/>
      </c>
      <c r="B16" s="123">
        <f>'Прил.5 Расчет СМР и ОБ'!B34</f>
        <v/>
      </c>
      <c r="C16" s="123">
        <f>'Прил.5 Расчет СМР и ОБ'!C34</f>
        <v/>
      </c>
      <c r="D16" s="64">
        <f>'Прил.5 Расчет СМР и ОБ'!D34</f>
        <v/>
      </c>
      <c r="E16" s="64">
        <f>'Прил.5 Расчет СМР и ОБ'!E34</f>
        <v/>
      </c>
      <c r="F16" s="176">
        <f>'Прил.5 Расчет СМР и ОБ'!F34</f>
        <v/>
      </c>
      <c r="G16" s="14">
        <f>ROUND(E16*F16,2)</f>
        <v/>
      </c>
    </row>
    <row r="17" ht="25.9" customHeight="1" s="133">
      <c r="A17" s="174">
        <f>A16+1</f>
        <v/>
      </c>
      <c r="B17" s="123">
        <f>'Прил.5 Расчет СМР и ОБ'!B35</f>
        <v/>
      </c>
      <c r="C17" s="123">
        <f>'Прил.5 Расчет СМР и ОБ'!C35</f>
        <v/>
      </c>
      <c r="D17" s="64">
        <f>'Прил.5 Расчет СМР и ОБ'!D35</f>
        <v/>
      </c>
      <c r="E17" s="64">
        <f>'Прил.5 Расчет СМР и ОБ'!E35</f>
        <v/>
      </c>
      <c r="F17" s="176">
        <f>'Прил.5 Расчет СМР и ОБ'!F35</f>
        <v/>
      </c>
      <c r="G17" s="14">
        <f>ROUND(E17*F17,2)</f>
        <v/>
      </c>
    </row>
    <row r="18" ht="25.9" customHeight="1" s="133">
      <c r="A18" s="174">
        <f>A17+1</f>
        <v/>
      </c>
      <c r="B18" s="123">
        <f>'Прил.5 Расчет СМР и ОБ'!B36</f>
        <v/>
      </c>
      <c r="C18" s="123">
        <f>'Прил.5 Расчет СМР и ОБ'!C36</f>
        <v/>
      </c>
      <c r="D18" s="64">
        <f>'Прил.5 Расчет СМР и ОБ'!D36</f>
        <v/>
      </c>
      <c r="E18" s="64">
        <f>'Прил.5 Расчет СМР и ОБ'!E36</f>
        <v/>
      </c>
      <c r="F18" s="176">
        <f>'Прил.5 Расчет СМР и ОБ'!F36</f>
        <v/>
      </c>
      <c r="G18" s="14">
        <f>ROUND(E18*F18,2)</f>
        <v/>
      </c>
    </row>
    <row r="19" ht="38.85" customHeight="1" s="133">
      <c r="A19" s="174">
        <f>A18+1</f>
        <v/>
      </c>
      <c r="B19" s="123">
        <f>'Прил.5 Расчет СМР и ОБ'!B37</f>
        <v/>
      </c>
      <c r="C19" s="123">
        <f>'Прил.5 Расчет СМР и ОБ'!C37</f>
        <v/>
      </c>
      <c r="D19" s="64">
        <f>'Прил.5 Расчет СМР и ОБ'!D37</f>
        <v/>
      </c>
      <c r="E19" s="64">
        <f>'Прил.5 Расчет СМР и ОБ'!E37</f>
        <v/>
      </c>
      <c r="F19" s="176">
        <f>'Прил.5 Расчет СМР и ОБ'!F37</f>
        <v/>
      </c>
      <c r="G19" s="14">
        <f>ROUND(E19*F19,2)</f>
        <v/>
      </c>
    </row>
    <row r="20" ht="25.9" customHeight="1" s="133">
      <c r="A20" s="174">
        <f>A19+1</f>
        <v/>
      </c>
      <c r="B20" s="123">
        <f>'Прил.5 Расчет СМР и ОБ'!B38</f>
        <v/>
      </c>
      <c r="C20" s="123">
        <f>'Прил.5 Расчет СМР и ОБ'!C38</f>
        <v/>
      </c>
      <c r="D20" s="64">
        <f>'Прил.5 Расчет СМР и ОБ'!D38</f>
        <v/>
      </c>
      <c r="E20" s="64">
        <f>'Прил.5 Расчет СМР и ОБ'!E38</f>
        <v/>
      </c>
      <c r="F20" s="176">
        <f>'Прил.5 Расчет СМР и ОБ'!F38</f>
        <v/>
      </c>
      <c r="G20" s="14">
        <f>ROUND(E20*F20,2)</f>
        <v/>
      </c>
    </row>
    <row r="21" ht="25.9" customHeight="1" s="133">
      <c r="A21" s="174">
        <f>A20+1</f>
        <v/>
      </c>
      <c r="B21" s="123">
        <f>'Прил.5 Расчет СМР и ОБ'!B39</f>
        <v/>
      </c>
      <c r="C21" s="123">
        <f>'Прил.5 Расчет СМР и ОБ'!C39</f>
        <v/>
      </c>
      <c r="D21" s="64">
        <f>'Прил.5 Расчет СМР и ОБ'!D39</f>
        <v/>
      </c>
      <c r="E21" s="64">
        <f>'Прил.5 Расчет СМР и ОБ'!E39</f>
        <v/>
      </c>
      <c r="F21" s="176">
        <f>'Прил.5 Расчет СМР и ОБ'!F39</f>
        <v/>
      </c>
      <c r="G21" s="14">
        <f>ROUND(E21*F21,2)</f>
        <v/>
      </c>
    </row>
    <row r="22" ht="25.9" customHeight="1" s="133">
      <c r="A22" s="174">
        <f>A21+1</f>
        <v/>
      </c>
      <c r="B22" s="123">
        <f>'Прил.5 Расчет СМР и ОБ'!B41</f>
        <v/>
      </c>
      <c r="C22" s="123">
        <f>'Прил.5 Расчет СМР и ОБ'!C41</f>
        <v/>
      </c>
      <c r="D22" s="64">
        <f>'Прил.5 Расчет СМР и ОБ'!D41</f>
        <v/>
      </c>
      <c r="E22" s="64">
        <f>'Прил.5 Расчет СМР и ОБ'!E41</f>
        <v/>
      </c>
      <c r="F22" s="176">
        <f>'Прил.5 Расчет СМР и ОБ'!F41</f>
        <v/>
      </c>
      <c r="G22" s="14">
        <f>ROUND(E22*F22,2)</f>
        <v/>
      </c>
    </row>
    <row r="23" ht="25.9" customHeight="1" s="133">
      <c r="A23" s="174">
        <f>A22+1</f>
        <v/>
      </c>
      <c r="B23" s="123">
        <f>'Прил.5 Расчет СМР и ОБ'!B42</f>
        <v/>
      </c>
      <c r="C23" s="123">
        <f>'Прил.5 Расчет СМР и ОБ'!C42</f>
        <v/>
      </c>
      <c r="D23" s="64">
        <f>'Прил.5 Расчет СМР и ОБ'!D42</f>
        <v/>
      </c>
      <c r="E23" s="64">
        <f>'Прил.5 Расчет СМР и ОБ'!E42</f>
        <v/>
      </c>
      <c r="F23" s="176">
        <f>'Прил.5 Расчет СМР и ОБ'!F42</f>
        <v/>
      </c>
      <c r="G23" s="14">
        <f>ROUND(E23*F23,2)</f>
        <v/>
      </c>
    </row>
    <row r="24" ht="25.9" customHeight="1" s="133">
      <c r="A24" s="174">
        <f>A23+1</f>
        <v/>
      </c>
      <c r="B24" s="123">
        <f>'Прил.5 Расчет СМР и ОБ'!B43</f>
        <v/>
      </c>
      <c r="C24" s="123">
        <f>'Прил.5 Расчет СМР и ОБ'!C43</f>
        <v/>
      </c>
      <c r="D24" s="64">
        <f>'Прил.5 Расчет СМР и ОБ'!D43</f>
        <v/>
      </c>
      <c r="E24" s="64">
        <f>'Прил.5 Расчет СМР и ОБ'!E43</f>
        <v/>
      </c>
      <c r="F24" s="176">
        <f>'Прил.5 Расчет СМР и ОБ'!F43</f>
        <v/>
      </c>
      <c r="G24" s="14">
        <f>ROUND(E24*F24,2)</f>
        <v/>
      </c>
    </row>
    <row r="25" ht="25.9" customHeight="1" s="133">
      <c r="A25" s="174">
        <f>A24+1</f>
        <v/>
      </c>
      <c r="B25" s="123">
        <f>'Прил.5 Расчет СМР и ОБ'!B44</f>
        <v/>
      </c>
      <c r="C25" s="123">
        <f>'Прил.5 Расчет СМР и ОБ'!C44</f>
        <v/>
      </c>
      <c r="D25" s="64">
        <f>'Прил.5 Расчет СМР и ОБ'!D44</f>
        <v/>
      </c>
      <c r="E25" s="64">
        <f>'Прил.5 Расчет СМР и ОБ'!E44</f>
        <v/>
      </c>
      <c r="F25" s="176">
        <f>'Прил.5 Расчет СМР и ОБ'!F44</f>
        <v/>
      </c>
      <c r="G25" s="14">
        <f>ROUND(E25*F25,2)</f>
        <v/>
      </c>
    </row>
    <row r="26" ht="25.5" customHeight="1" s="133">
      <c r="A26" s="174" t="n"/>
      <c r="B26" s="12" t="n"/>
      <c r="C26" s="12" t="inlineStr">
        <is>
          <t>ИТОГО ТЕХНОЛОГИЧЕСКОЕ ОБОРУДОВАНИЕ</t>
        </is>
      </c>
      <c r="D26" s="12" t="n"/>
      <c r="E26" s="13" t="n"/>
      <c r="F26" s="176" t="n"/>
      <c r="G26" s="14">
        <f>SUM(G14:G25)</f>
        <v/>
      </c>
    </row>
    <row r="27" ht="19.5" customHeight="1" s="133">
      <c r="A27" s="174" t="n"/>
      <c r="B27" s="173" t="n"/>
      <c r="C27" s="173" t="inlineStr">
        <is>
          <t>Всего по разделу «Оборудование»</t>
        </is>
      </c>
      <c r="D27" s="173" t="n"/>
      <c r="E27" s="192" t="n"/>
      <c r="F27" s="176" t="n"/>
      <c r="G27" s="14">
        <f>G12+G26</f>
        <v/>
      </c>
    </row>
    <row r="28">
      <c r="A28" s="143" t="n"/>
      <c r="B28" s="144" t="n"/>
      <c r="C28" s="143" t="n"/>
      <c r="D28" s="143" t="n"/>
      <c r="E28" s="143" t="n"/>
      <c r="F28" s="143" t="n"/>
      <c r="G28" s="143" t="n"/>
    </row>
    <row r="29">
      <c r="A29" s="134" t="inlineStr">
        <is>
          <t>Составил ______________________        Е.А. Князева</t>
        </is>
      </c>
      <c r="B29" s="145" t="n"/>
      <c r="C29" s="145" t="n"/>
      <c r="D29" s="143" t="n"/>
      <c r="E29" s="143" t="n"/>
      <c r="F29" s="143" t="n"/>
      <c r="G29" s="143" t="n"/>
    </row>
    <row r="30">
      <c r="A30" s="146" t="inlineStr">
        <is>
          <t xml:space="preserve">                         (подпись, инициалы, фамилия)</t>
        </is>
      </c>
      <c r="B30" s="145" t="n"/>
      <c r="C30" s="145" t="n"/>
      <c r="D30" s="143" t="n"/>
      <c r="E30" s="143" t="n"/>
      <c r="F30" s="143" t="n"/>
      <c r="G30" s="143" t="n"/>
    </row>
    <row r="31">
      <c r="A31" s="134" t="n"/>
      <c r="B31" s="145" t="n"/>
      <c r="C31" s="145" t="n"/>
      <c r="D31" s="143" t="n"/>
      <c r="E31" s="143" t="n"/>
      <c r="F31" s="143" t="n"/>
      <c r="G31" s="143" t="n"/>
    </row>
    <row r="32">
      <c r="A32" s="134" t="inlineStr">
        <is>
          <t>Проверил ______________________        А.В. Костянецкая</t>
        </is>
      </c>
      <c r="B32" s="145" t="n"/>
      <c r="C32" s="145" t="n"/>
      <c r="D32" s="143" t="n"/>
      <c r="E32" s="143" t="n"/>
      <c r="F32" s="143" t="n"/>
      <c r="G32" s="143" t="n"/>
    </row>
    <row r="33">
      <c r="A33" s="146" t="inlineStr">
        <is>
          <t xml:space="preserve">                        (подпись, инициалы, фамилия)</t>
        </is>
      </c>
      <c r="B33" s="145" t="n"/>
      <c r="C33" s="145" t="n"/>
      <c r="D33" s="143" t="n"/>
      <c r="E33" s="143" t="n"/>
      <c r="F33" s="143" t="n"/>
      <c r="G33" s="143" t="n"/>
    </row>
  </sheetData>
  <mergeCells count="11">
    <mergeCell ref="A8:A9"/>
    <mergeCell ref="A1:G1"/>
    <mergeCell ref="E8:E9"/>
    <mergeCell ref="C8:C9"/>
    <mergeCell ref="B11:G11"/>
    <mergeCell ref="D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1.85546875" customWidth="1" style="133" min="1" max="1"/>
    <col width="29.7109375" customWidth="1" style="133" min="2" max="2"/>
    <col width="35" customWidth="1" style="133" min="3" max="3"/>
    <col width="27.5703125" customWidth="1" style="133" min="4" max="4"/>
    <col width="24.85546875" customWidth="1" style="133" min="5" max="5"/>
    <col width="8.85546875" customWidth="1" style="133" min="6" max="6"/>
  </cols>
  <sheetData>
    <row r="1">
      <c r="B1" s="134" t="n"/>
      <c r="C1" s="134" t="n"/>
      <c r="D1" s="193" t="inlineStr">
        <is>
          <t>Приложение №7</t>
        </is>
      </c>
    </row>
    <row r="2">
      <c r="A2" s="193" t="n"/>
      <c r="B2" s="193" t="n"/>
      <c r="C2" s="193" t="n"/>
      <c r="D2" s="193" t="n"/>
    </row>
    <row r="3" ht="24.75" customHeight="1" s="133">
      <c r="A3" s="171" t="inlineStr">
        <is>
          <t>Расчет показателя УНЦ</t>
        </is>
      </c>
    </row>
    <row r="4" ht="24.75" customHeight="1" s="133">
      <c r="A4" s="171" t="n"/>
      <c r="B4" s="171" t="n"/>
      <c r="C4" s="171" t="n"/>
      <c r="D4" s="171" t="n"/>
    </row>
    <row r="5" ht="36" customHeight="1" s="133">
      <c r="A5" s="196" t="inlineStr">
        <is>
          <t xml:space="preserve">Наименование разрабатываемого показателя УНЦ - </t>
        </is>
      </c>
      <c r="D5" s="196">
        <f>'Прил.5 Расчет СМР и ОБ'!D6</f>
        <v/>
      </c>
    </row>
    <row r="6" ht="19.9" customHeight="1" s="133">
      <c r="A6" s="196" t="inlineStr">
        <is>
          <t>Единица измерения  — 1 ячейка</t>
        </is>
      </c>
      <c r="D6" s="196" t="n"/>
    </row>
    <row r="7">
      <c r="A7" s="134" t="n"/>
      <c r="B7" s="134" t="n"/>
      <c r="C7" s="134" t="n"/>
      <c r="D7" s="134" t="n"/>
    </row>
    <row r="8" ht="14.45" customHeight="1" s="133">
      <c r="A8" s="166" t="inlineStr">
        <is>
          <t>Код показателя</t>
        </is>
      </c>
      <c r="B8" s="166" t="inlineStr">
        <is>
          <t>Наименование показателя</t>
        </is>
      </c>
      <c r="C8" s="166" t="inlineStr">
        <is>
          <t>Наименование РМ, входящих в состав показателя</t>
        </is>
      </c>
      <c r="D8" s="166" t="inlineStr">
        <is>
          <t>Норматив цены на 01.01.2023, тыс.руб.</t>
        </is>
      </c>
    </row>
    <row r="9" ht="15" customHeight="1" s="133">
      <c r="A9" s="205" t="n"/>
      <c r="B9" s="205" t="n"/>
      <c r="C9" s="205" t="n"/>
      <c r="D9" s="205" t="n"/>
    </row>
    <row r="10">
      <c r="A10" s="174" t="n">
        <v>1</v>
      </c>
      <c r="B10" s="174" t="n">
        <v>2</v>
      </c>
      <c r="C10" s="174" t="n">
        <v>3</v>
      </c>
      <c r="D10" s="174" t="n">
        <v>4</v>
      </c>
    </row>
    <row r="11" ht="41.45" customHeight="1" s="133">
      <c r="A11" s="174" t="inlineStr">
        <is>
          <t>В2 РМ 35 кВ РЗА</t>
        </is>
      </c>
      <c r="B11" s="174" t="inlineStr">
        <is>
          <t>УНЦ ячейки выключателя</t>
        </is>
      </c>
      <c r="C11" s="140">
        <f>D5</f>
        <v/>
      </c>
      <c r="D11" s="141">
        <f>'Прил.4 РМ'!C41/1000</f>
        <v/>
      </c>
      <c r="E11" s="142" t="n"/>
    </row>
    <row r="12">
      <c r="A12" s="143" t="n"/>
      <c r="B12" s="144" t="n"/>
      <c r="C12" s="143" t="n"/>
      <c r="D12" s="143" t="n"/>
    </row>
    <row r="13">
      <c r="A13" s="134" t="inlineStr">
        <is>
          <t>Составил ______________________        Е.А. Князева</t>
        </is>
      </c>
      <c r="B13" s="145" t="n"/>
      <c r="C13" s="145" t="n"/>
      <c r="D13" s="143" t="n"/>
    </row>
    <row r="14">
      <c r="A14" s="146" t="inlineStr">
        <is>
          <t xml:space="preserve">                         (подпись, инициалы, фамилия)</t>
        </is>
      </c>
      <c r="B14" s="145" t="n"/>
      <c r="C14" s="145" t="n"/>
      <c r="D14" s="143" t="n"/>
    </row>
    <row r="15">
      <c r="A15" s="134" t="n"/>
      <c r="B15" s="145" t="n"/>
      <c r="C15" s="145" t="n"/>
      <c r="D15" s="143" t="n"/>
    </row>
    <row r="16">
      <c r="A16" s="134" t="inlineStr">
        <is>
          <t>Проверил ______________________        А.В. Костянецкая</t>
        </is>
      </c>
      <c r="B16" s="145" t="n"/>
      <c r="C16" s="145" t="n"/>
      <c r="D16" s="143" t="n"/>
    </row>
    <row r="17">
      <c r="A17" s="146" t="inlineStr">
        <is>
          <t xml:space="preserve">                        (подпись, инициалы, фамилия)</t>
        </is>
      </c>
      <c r="B17" s="145" t="n"/>
      <c r="C17" s="145" t="n"/>
      <c r="D17" s="14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tabSelected="1" view="pageBreakPreview" topLeftCell="A4" zoomScale="60" zoomScaleNormal="100" workbookViewId="0">
      <selection activeCell="C24" sqref="C24"/>
    </sheetView>
  </sheetViews>
  <sheetFormatPr baseColWidth="8" defaultRowHeight="15"/>
  <cols>
    <col width="40.7109375" customWidth="1" style="133" min="2" max="2"/>
    <col width="37" customWidth="1" style="133" min="3" max="3"/>
    <col width="32" customWidth="1" style="133" min="4" max="4"/>
  </cols>
  <sheetData>
    <row r="4" ht="15.75" customHeight="1" s="133">
      <c r="B4" s="159" t="inlineStr">
        <is>
          <t>Приложение № 10</t>
        </is>
      </c>
    </row>
    <row r="5" ht="18.75" customHeight="1" s="133">
      <c r="B5" s="35" t="n"/>
    </row>
    <row r="6" ht="15.75" customHeight="1" s="133">
      <c r="B6" s="163" t="inlineStr">
        <is>
          <t>Используемые индексы изменений сметной стоимости и нормы сопутствующих затрат</t>
        </is>
      </c>
    </row>
    <row r="7" ht="18.75" customHeight="1" s="133">
      <c r="B7" s="36" t="n"/>
    </row>
    <row r="8" ht="47.25" customHeight="1" s="133">
      <c r="B8" s="166" t="inlineStr">
        <is>
          <t>Наименование индекса / норм сопутствующих затрат</t>
        </is>
      </c>
      <c r="C8" s="166" t="inlineStr">
        <is>
          <t>Дата применения и обоснование индекса / норм сопутствующих затрат</t>
        </is>
      </c>
      <c r="D8" s="166" t="inlineStr">
        <is>
          <t>Размер индекса / норма сопутствующих затрат</t>
        </is>
      </c>
    </row>
    <row r="9" ht="15.75" customHeight="1" s="133">
      <c r="B9" s="166" t="n">
        <v>1</v>
      </c>
      <c r="C9" s="166" t="n">
        <v>2</v>
      </c>
      <c r="D9" s="166" t="n">
        <v>3</v>
      </c>
    </row>
    <row r="10" ht="45" customHeight="1" s="133">
      <c r="B10" s="166" t="inlineStr">
        <is>
          <t xml:space="preserve">Индекс изменения сметной стоимости на 1 квартал 2023 года. ОЗП </t>
        </is>
      </c>
      <c r="C10" s="166" t="inlineStr">
        <is>
          <t>Письмо Минстроя России от 30.03.2023г. №17106-ИФ/09  прил.1</t>
        </is>
      </c>
      <c r="D10" s="166" t="n">
        <v>44.29</v>
      </c>
    </row>
    <row r="11" ht="29.25" customHeight="1" s="133">
      <c r="B11" s="166" t="inlineStr">
        <is>
          <t>Индекс изменения сметной стоимости на 1 квартал 2023 года. ЭМ</t>
        </is>
      </c>
      <c r="C11" s="166" t="inlineStr">
        <is>
          <t>Письмо Минстроя России от 30.03.2023г. №17106-ИФ/09  прил.1</t>
        </is>
      </c>
      <c r="D11" s="166" t="n">
        <v>13.47</v>
      </c>
    </row>
    <row r="12" ht="29.25" customHeight="1" s="133">
      <c r="B12" s="166" t="inlineStr">
        <is>
          <t>Индекс изменения сметной стоимости на 1 квартал 2023 года. МАТ</t>
        </is>
      </c>
      <c r="C12" s="166" t="inlineStr">
        <is>
          <t>Письмо Минстроя России от 30.03.2023г. №17106-ИФ/09  прил.1</t>
        </is>
      </c>
      <c r="D12" s="166" t="n">
        <v>8.039999999999999</v>
      </c>
    </row>
    <row r="13" ht="30.75" customHeight="1" s="133">
      <c r="B13" s="166" t="inlineStr">
        <is>
          <t>Индекс изменения сметной стоимости на 1 квартал 2023 года. ОБ</t>
        </is>
      </c>
      <c r="C13" s="38" t="inlineStr">
        <is>
          <t>Письмо Минстроя России от 23.02.2023г. №9791-ИФ/09 прил.6</t>
        </is>
      </c>
      <c r="D13" s="166" t="n">
        <v>6.26</v>
      </c>
    </row>
    <row r="14" ht="89.45" customHeight="1" s="133">
      <c r="B14" s="166" t="inlineStr">
        <is>
          <t>Временные здания и сооружения</t>
        </is>
      </c>
      <c r="C14" s="166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42" t="n">
        <v>0.039</v>
      </c>
    </row>
    <row r="15" ht="78.75" customHeight="1" s="133">
      <c r="B15" s="166" t="inlineStr">
        <is>
          <t>Дополнительные затраты при производстве строительно-монтажных работ в зимнее время</t>
        </is>
      </c>
      <c r="C15" s="16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42" t="n">
        <v>0.021</v>
      </c>
    </row>
    <row r="16" ht="15.6" customHeight="1" s="133">
      <c r="B16" s="166" t="inlineStr">
        <is>
          <t>Пусконаладочные работы</t>
        </is>
      </c>
      <c r="C16" s="166" t="n"/>
      <c r="D16" s="166" t="inlineStr">
        <is>
          <t>Расчет</t>
        </is>
      </c>
    </row>
    <row r="17" ht="31.7" customHeight="1" s="133">
      <c r="B17" s="166" t="inlineStr">
        <is>
          <t>Строительный контроль</t>
        </is>
      </c>
      <c r="C17" s="166" t="inlineStr">
        <is>
          <t>Постановление Правительства РФ от 21.06.10 г. № 468</t>
        </is>
      </c>
      <c r="D17" s="42" t="n">
        <v>0.0214</v>
      </c>
    </row>
    <row r="18" ht="31.7" customHeight="1" s="133">
      <c r="B18" s="166" t="inlineStr">
        <is>
          <t>Авторский надзор - 0,2%</t>
        </is>
      </c>
      <c r="C18" s="166" t="inlineStr">
        <is>
          <t>Приказ от 4.08.2020 № 421/пр п.173</t>
        </is>
      </c>
      <c r="D18" s="42" t="n">
        <v>0.002</v>
      </c>
    </row>
    <row r="19" ht="24" customHeight="1" s="133">
      <c r="B19" s="166" t="inlineStr">
        <is>
          <t>Непредвиденные расходы</t>
        </is>
      </c>
      <c r="C19" s="166" t="inlineStr">
        <is>
          <t>Приказ от 4.08.2020 № 421/пр п.179</t>
        </is>
      </c>
      <c r="D19" s="42" t="n">
        <v>0.03</v>
      </c>
    </row>
    <row r="20" ht="18.75" customHeight="1" s="133">
      <c r="B20" s="36" t="n"/>
    </row>
    <row r="21" ht="18.75" customHeight="1" s="133">
      <c r="B21" s="36" t="n"/>
    </row>
    <row r="22" ht="18.75" customHeight="1" s="133">
      <c r="B22" s="36" t="n"/>
    </row>
    <row r="23" ht="18.75" customHeight="1" s="133">
      <c r="B23" s="36" t="n"/>
    </row>
    <row r="26">
      <c r="B26" s="134" t="inlineStr">
        <is>
          <t>Составил ______________________        Е.А. Князева</t>
        </is>
      </c>
      <c r="C26" s="145" t="n"/>
    </row>
    <row r="27">
      <c r="B27" s="146" t="inlineStr">
        <is>
          <t xml:space="preserve">                         (подпись, инициалы, фамилия)</t>
        </is>
      </c>
      <c r="C27" s="145" t="n"/>
    </row>
    <row r="28">
      <c r="B28" s="134" t="n"/>
      <c r="C28" s="145" t="n"/>
    </row>
    <row r="29">
      <c r="B29" s="134" t="inlineStr">
        <is>
          <t>Проверил ______________________        А.В. Костянецкая</t>
        </is>
      </c>
      <c r="C29" s="145" t="n"/>
    </row>
    <row r="30">
      <c r="B30" s="146" t="inlineStr">
        <is>
          <t xml:space="preserve">                        (подпись, инициалы, фамилия)</t>
        </is>
      </c>
      <c r="C30" s="145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topLeftCell="A16" workbookViewId="0">
      <selection activeCell="H15" sqref="H15"/>
    </sheetView>
  </sheetViews>
  <sheetFormatPr baseColWidth="8" defaultRowHeight="15"/>
  <cols>
    <col width="9.140625" customWidth="1" style="133" min="1" max="1"/>
    <col width="44.85546875" customWidth="1" style="133" min="2" max="2"/>
    <col width="13" customWidth="1" style="133" min="3" max="3"/>
    <col width="22.85546875" customWidth="1" style="133" min="4" max="4"/>
    <col width="21.5703125" customWidth="1" style="133" min="5" max="5"/>
    <col width="43.85546875" customWidth="1" style="133" min="6" max="6"/>
    <col width="9.140625" customWidth="1" style="133" min="7" max="7"/>
  </cols>
  <sheetData>
    <row r="2" ht="18" customHeight="1" s="133">
      <c r="A2" s="197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33">
      <c r="A4" s="20" t="inlineStr">
        <is>
          <t>Составлен в уровне цен на 01.01.2023 г.</t>
        </is>
      </c>
    </row>
    <row r="5">
      <c r="A5" s="21" t="inlineStr">
        <is>
          <t>№ пп.</t>
        </is>
      </c>
      <c r="B5" s="21" t="inlineStr">
        <is>
          <t>Наименование элемента</t>
        </is>
      </c>
      <c r="C5" s="21" t="inlineStr">
        <is>
          <t>Обозначение</t>
        </is>
      </c>
      <c r="D5" s="21" t="inlineStr">
        <is>
          <t>Формула</t>
        </is>
      </c>
      <c r="E5" s="21" t="inlineStr">
        <is>
          <t>Величина элемента</t>
        </is>
      </c>
      <c r="F5" s="21" t="inlineStr">
        <is>
          <t>Наименования обосновывающих документов</t>
        </is>
      </c>
    </row>
    <row r="6">
      <c r="A6" s="21" t="n">
        <v>1</v>
      </c>
      <c r="B6" s="21" t="n">
        <v>2</v>
      </c>
      <c r="C6" s="21" t="n">
        <v>3</v>
      </c>
      <c r="D6" s="21" t="n">
        <v>4</v>
      </c>
      <c r="E6" s="21" t="n">
        <v>5</v>
      </c>
      <c r="F6" s="21" t="n">
        <v>6</v>
      </c>
    </row>
    <row r="7" ht="105" customHeight="1" s="133">
      <c r="A7" s="22" t="inlineStr">
        <is>
          <t>1.1</t>
        </is>
      </c>
      <c r="B7" s="2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" t="inlineStr">
        <is>
          <t>С1ср</t>
        </is>
      </c>
      <c r="D7" s="23" t="inlineStr">
        <is>
          <t>-</t>
        </is>
      </c>
      <c r="E7" s="25" t="n">
        <v>47872.94</v>
      </c>
      <c r="F7" s="2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.2" customHeight="1" s="133">
      <c r="A8" s="22" t="inlineStr">
        <is>
          <t>1.2</t>
        </is>
      </c>
      <c r="B8" s="24" t="inlineStr">
        <is>
          <t>Среднегодовое нормативное число часов работы одного рабочего в месяц, часы (ч.)</t>
        </is>
      </c>
      <c r="C8" s="23" t="inlineStr">
        <is>
          <t>tср</t>
        </is>
      </c>
      <c r="D8" s="23" t="inlineStr">
        <is>
          <t>1973ч/12мес.</t>
        </is>
      </c>
      <c r="E8" s="25">
        <f>1973/12</f>
        <v/>
      </c>
      <c r="F8" s="24" t="inlineStr">
        <is>
          <t>Производственный календарь 2023 год
(40-часов.неделя)</t>
        </is>
      </c>
      <c r="G8" s="26" t="n"/>
    </row>
    <row r="9">
      <c r="A9" s="22" t="inlineStr">
        <is>
          <t>1.3</t>
        </is>
      </c>
      <c r="B9" s="24" t="inlineStr">
        <is>
          <t>Коэффициент увеличения</t>
        </is>
      </c>
      <c r="C9" s="23" t="inlineStr">
        <is>
          <t>Кув</t>
        </is>
      </c>
      <c r="D9" s="23" t="inlineStr">
        <is>
          <t>-</t>
        </is>
      </c>
      <c r="E9" s="25" t="n">
        <v>1</v>
      </c>
      <c r="F9" s="24" t="n"/>
      <c r="G9" s="27" t="n"/>
    </row>
    <row r="10">
      <c r="A10" s="22" t="inlineStr">
        <is>
          <t>1.4</t>
        </is>
      </c>
      <c r="B10" s="24" t="inlineStr">
        <is>
          <t>Средний разряд работ</t>
        </is>
      </c>
      <c r="C10" s="23" t="n"/>
      <c r="D10" s="23" t="n"/>
      <c r="E10" s="28" t="n">
        <v>3.9</v>
      </c>
      <c r="F10" s="24" t="inlineStr">
        <is>
          <t>РТМ</t>
        </is>
      </c>
      <c r="G10" s="27" t="n"/>
    </row>
    <row r="11" ht="75.2" customHeight="1" s="133">
      <c r="A11" s="22" t="inlineStr">
        <is>
          <t>1.5</t>
        </is>
      </c>
      <c r="B11" s="24" t="inlineStr">
        <is>
          <t>Тарифный коэффициент среднего разряда работ</t>
        </is>
      </c>
      <c r="C11" s="23" t="inlineStr">
        <is>
          <t>КТ</t>
        </is>
      </c>
      <c r="D11" s="23" t="inlineStr">
        <is>
          <t>-</t>
        </is>
      </c>
      <c r="E11" s="29" t="n">
        <v>1.324</v>
      </c>
      <c r="F11" s="2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.2" customHeight="1" s="133">
      <c r="A12" s="22" t="inlineStr">
        <is>
          <t>1.6</t>
        </is>
      </c>
      <c r="B12" s="30" t="inlineStr">
        <is>
          <t>Коэффициент инфляции, определяемый поквартально</t>
        </is>
      </c>
      <c r="C12" s="23" t="inlineStr">
        <is>
          <t>Кинф</t>
        </is>
      </c>
      <c r="D12" s="23" t="inlineStr">
        <is>
          <t>-</t>
        </is>
      </c>
      <c r="E12" s="31" t="n">
        <v>1.139</v>
      </c>
      <c r="F12" s="3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7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133">
      <c r="A13" s="22" t="inlineStr">
        <is>
          <t>1.7</t>
        </is>
      </c>
      <c r="B13" s="33" t="inlineStr">
        <is>
          <t>Размер средств на оплату труда рабочих-строителей в текущем уровне цен (ФОТр.тек.), руб/чел.-ч</t>
        </is>
      </c>
      <c r="C13" s="23" t="inlineStr">
        <is>
          <t>ФОТр.тек.</t>
        </is>
      </c>
      <c r="D13" s="23" t="inlineStr">
        <is>
          <t>(С1ср/tср*КТ*Т*Кув)*Кинф</t>
        </is>
      </c>
      <c r="E13" s="34">
        <f>((E7*E9/E8)*E11)*E12</f>
        <v/>
      </c>
      <c r="F13" s="2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2025-01-24T11:54:32Z</dcterms:modified>
  <cp:lastModifiedBy>Danil</cp:lastModifiedBy>
  <cp:lastPrinted>2023-11-24T07:23:08Z</cp:lastPrinted>
</cp:coreProperties>
</file>