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'Прил.3'!$A$1:$H$143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ОБ'!$A$1:$J$169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#,##0.00000"/>
    <numFmt numFmtId="170" formatCode="_-* #,##0.0\ _₽_-;\-* #,##0.0\ _₽_-;_-* &quot;-&quot;??\ _₽_-;_-@_-"/>
    <numFmt numFmtId="171" formatCode="0.0_ ;\-0.0\ "/>
    <numFmt numFmtId="172" formatCode="#,##0.00_ ;\-#,##0.00\ 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Arial"/>
      <i val="1"/>
      <color rgb="FF000000"/>
      <sz val="10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Times New Roman"/>
      <b val="1"/>
      <color rgb="FF000000"/>
      <sz val="14"/>
    </font>
    <font>
      <name val="Calibri"/>
      <color rgb="FF000000"/>
      <sz val="14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46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70" fontId="12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71" fontId="13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4" fillId="0" borderId="0" applyAlignment="1" pivotButton="0" quotePrefix="0" xfId="0">
      <alignment vertical="center"/>
    </xf>
    <xf numFmtId="172" fontId="15" fillId="0" borderId="0" pivotButton="0" quotePrefix="0" xfId="0"/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0" fontId="2" fillId="0" borderId="1" applyAlignment="1" pivotButton="0" quotePrefix="0" xfId="0">
      <alignment horizontal="left" vertical="top" wrapText="1"/>
    </xf>
    <xf numFmtId="168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wrapText="1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4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173" fontId="2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0" borderId="22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19" zoomScale="60" zoomScaleNormal="85" workbookViewId="0">
      <selection activeCell="C30" sqref="C30"/>
    </sheetView>
  </sheetViews>
  <sheetFormatPr baseColWidth="8" defaultRowHeight="15"/>
  <cols>
    <col width="36.85546875" customWidth="1" style="158" min="3" max="3"/>
    <col width="39.42578125" customWidth="1" style="158" min="4" max="4"/>
    <col width="47.7109375" customWidth="1" style="158" min="7" max="7"/>
    <col width="15" customWidth="1" style="158" min="10" max="10"/>
  </cols>
  <sheetData>
    <row r="3" ht="15.75" customHeight="1" s="158">
      <c r="B3" s="195" t="inlineStr">
        <is>
          <t>Приложение № 1</t>
        </is>
      </c>
    </row>
    <row r="4" ht="18.75" customHeight="1" s="158">
      <c r="B4" s="196" t="inlineStr">
        <is>
          <t>Сравнительная таблица отбора объекта-представителя</t>
        </is>
      </c>
    </row>
    <row r="5" ht="84" customHeight="1" s="158">
      <c r="B5" s="19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58">
      <c r="B6" s="134" t="n"/>
      <c r="C6" s="134" t="n"/>
      <c r="D6" s="134" t="n"/>
    </row>
    <row r="7" ht="64.5" customHeight="1" s="158">
      <c r="B7" s="194" t="inlineStr">
        <is>
          <t>Наименование разрабатываемого показателя УНЦ -Ячейка выключателя НУ 6-15кВ, ном.ток 2500А, ном.ток отключения 25кА</t>
        </is>
      </c>
    </row>
    <row r="8" ht="31.5" customHeight="1" s="158">
      <c r="B8" s="194" t="inlineStr">
        <is>
          <t>Сопоставимый уровень цен: 4 квартал 2016 г.</t>
        </is>
      </c>
    </row>
    <row r="9" ht="15.75" customHeight="1" s="158">
      <c r="B9" s="194" t="inlineStr">
        <is>
          <t>Единица измерения  — 1 ячейка</t>
        </is>
      </c>
    </row>
    <row r="10" ht="18.75" customHeight="1" s="158">
      <c r="B10" s="108" t="n"/>
    </row>
    <row r="11" ht="15.75" customHeight="1" s="158">
      <c r="B11" s="201" t="inlineStr">
        <is>
          <t>№ п/п</t>
        </is>
      </c>
      <c r="C11" s="201" t="inlineStr">
        <is>
          <t>Параметр</t>
        </is>
      </c>
      <c r="D11" s="201" t="inlineStr">
        <is>
          <t xml:space="preserve">Объект-представитель </t>
        </is>
      </c>
    </row>
    <row r="12" ht="31.5" customHeight="1" s="158">
      <c r="B12" s="201" t="n">
        <v>1</v>
      </c>
      <c r="C12" s="138" t="inlineStr">
        <is>
          <t>Наименование объекта-представителя</t>
        </is>
      </c>
      <c r="D12" s="201" t="inlineStr">
        <is>
          <t>Установка АТ 500/110 кВ на ПС 500 кВ Луч</t>
        </is>
      </c>
    </row>
    <row r="13" ht="31.5" customHeight="1" s="158">
      <c r="B13" s="201" t="n">
        <v>2</v>
      </c>
      <c r="C13" s="138" t="inlineStr">
        <is>
          <t>Наименование субъекта Российской Федерации</t>
        </is>
      </c>
      <c r="D13" s="201" t="inlineStr">
        <is>
          <t>Нижегородская область</t>
        </is>
      </c>
    </row>
    <row r="14" ht="15.75" customHeight="1" s="158">
      <c r="B14" s="201" t="n">
        <v>3</v>
      </c>
      <c r="C14" s="138" t="inlineStr">
        <is>
          <t>Климатический район и подрайон</t>
        </is>
      </c>
      <c r="D14" s="201" t="inlineStr">
        <is>
          <t>IIВ</t>
        </is>
      </c>
    </row>
    <row r="15" ht="15.75" customHeight="1" s="158">
      <c r="B15" s="201" t="n">
        <v>4</v>
      </c>
      <c r="C15" s="138" t="inlineStr">
        <is>
          <t>Мощность объекта</t>
        </is>
      </c>
      <c r="D15" s="201" t="n">
        <v>12</v>
      </c>
    </row>
    <row r="16" ht="94.5" customHeight="1" s="158">
      <c r="B16" s="201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1" t="inlineStr">
        <is>
          <t>Выключатель 6 кВ</t>
        </is>
      </c>
      <c r="G16" s="153" t="n"/>
    </row>
    <row r="17" ht="78.75" customHeight="1" s="158">
      <c r="B17" s="201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1">
        <f>SUM(D18:D21)</f>
        <v/>
      </c>
    </row>
    <row r="18" ht="15.75" customHeight="1" s="158">
      <c r="B18" s="135" t="inlineStr">
        <is>
          <t>6.1</t>
        </is>
      </c>
      <c r="C18" s="138" t="inlineStr">
        <is>
          <t>строительно-монтажные работы</t>
        </is>
      </c>
      <c r="D18" s="187" t="n">
        <v>211.49</v>
      </c>
    </row>
    <row r="19" ht="15.75" customHeight="1" s="158">
      <c r="B19" s="135" t="inlineStr">
        <is>
          <t>6.2</t>
        </is>
      </c>
      <c r="C19" s="138" t="inlineStr">
        <is>
          <t>оборудование и инвентарь</t>
        </is>
      </c>
      <c r="D19" s="187" t="n">
        <v>1542.58</v>
      </c>
    </row>
    <row r="20" ht="15.75" customHeight="1" s="158">
      <c r="B20" s="135" t="inlineStr">
        <is>
          <t>6.3</t>
        </is>
      </c>
      <c r="C20" s="138" t="inlineStr">
        <is>
          <t>пусконаладочные работы</t>
        </is>
      </c>
      <c r="D20" s="187" t="n">
        <v>0</v>
      </c>
    </row>
    <row r="21" ht="15.75" customHeight="1" s="158">
      <c r="B21" s="135" t="inlineStr">
        <is>
          <t>6.4</t>
        </is>
      </c>
      <c r="C21" s="138" t="inlineStr">
        <is>
          <t>прочие и лимитированные затраты</t>
        </is>
      </c>
      <c r="D21" s="187" t="n">
        <v>356.81</v>
      </c>
    </row>
    <row r="22" ht="15.75" customHeight="1" s="158">
      <c r="B22" s="201" t="n">
        <v>7</v>
      </c>
      <c r="C22" s="138" t="inlineStr">
        <is>
          <t>Сопоставимый уровень цен</t>
        </is>
      </c>
      <c r="D22" s="201" t="inlineStr">
        <is>
          <t>4 квартал 2016 г.</t>
        </is>
      </c>
      <c r="G22" s="148" t="n"/>
    </row>
    <row r="23" ht="110.25" customHeight="1" s="158">
      <c r="B23" s="201" t="n">
        <v>8</v>
      </c>
      <c r="C23" s="11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1">
        <f>D17</f>
        <v/>
      </c>
    </row>
    <row r="24" ht="47.25" customHeight="1" s="158">
      <c r="B24" s="201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187">
        <f>D23/D15</f>
        <v/>
      </c>
      <c r="G24" s="148" t="n"/>
    </row>
    <row r="25" hidden="1" ht="110.25" customHeight="1" s="158">
      <c r="B25" s="201" t="n">
        <v>10</v>
      </c>
      <c r="C25" s="138" t="inlineStr">
        <is>
          <t>Примечание</t>
        </is>
      </c>
      <c r="D25" s="138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58">
      <c r="B26" s="139" t="n"/>
      <c r="C26" s="140" t="n"/>
      <c r="D26" s="140" t="n"/>
    </row>
    <row r="27">
      <c r="B27" s="172" t="inlineStr">
        <is>
          <t>Составил ______________________        Е.А. Князева</t>
        </is>
      </c>
      <c r="C27" s="175" t="n"/>
    </row>
    <row r="28">
      <c r="B28" s="174" t="inlineStr">
        <is>
          <t xml:space="preserve">                         (подпись, инициалы, фамилия)</t>
        </is>
      </c>
      <c r="C28" s="175" t="n"/>
    </row>
    <row r="29">
      <c r="B29" s="172" t="n"/>
      <c r="C29" s="175" t="n"/>
    </row>
    <row r="30">
      <c r="B30" s="172" t="inlineStr">
        <is>
          <t>Проверил ______________________        А.В. Костянецкая</t>
        </is>
      </c>
      <c r="C30" s="175" t="n"/>
    </row>
    <row r="31">
      <c r="B31" s="174" t="inlineStr">
        <is>
          <t xml:space="preserve">                        (подпись, инициалы, фамилия)</t>
        </is>
      </c>
      <c r="C31" s="175" t="n"/>
    </row>
    <row r="32" ht="15.75" customHeight="1" s="158">
      <c r="B32" s="140" t="n"/>
      <c r="C32" s="140" t="n"/>
      <c r="D32" s="140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E17" sqref="E17"/>
    </sheetView>
  </sheetViews>
  <sheetFormatPr baseColWidth="8" defaultRowHeight="15"/>
  <cols>
    <col width="5.5703125" customWidth="1" style="158" min="1" max="1"/>
    <col width="35.28515625" customWidth="1" style="158" min="3" max="3"/>
    <col width="13.85546875" customWidth="1" style="158" min="4" max="4"/>
    <col width="17.42578125" customWidth="1" style="158" min="5" max="5"/>
    <col width="12.7109375" customWidth="1" style="158" min="6" max="6"/>
    <col width="14.85546875" customWidth="1" style="158" min="7" max="7"/>
    <col width="16.7109375" customWidth="1" style="158" min="8" max="8"/>
    <col width="13" customWidth="1" style="158" min="9" max="10"/>
    <col width="18" customWidth="1" style="158" min="11" max="11"/>
  </cols>
  <sheetData>
    <row r="3" ht="15.75" customHeight="1" s="158">
      <c r="B3" s="195" t="inlineStr">
        <is>
          <t>Приложение № 2</t>
        </is>
      </c>
    </row>
    <row r="4" ht="15.75" customHeight="1" s="158">
      <c r="B4" s="200" t="inlineStr">
        <is>
          <t>Расчет стоимости основных видов работ для выбора объекта-представителя</t>
        </is>
      </c>
    </row>
    <row r="5" ht="15.75" customHeight="1" s="158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58">
      <c r="B6" s="194">
        <f>'Прил.1 Сравнит табл'!B7</f>
        <v/>
      </c>
    </row>
    <row r="7" ht="15.75" customHeight="1" s="158">
      <c r="B7" s="194">
        <f>'Прил.1 Сравнит табл'!B9</f>
        <v/>
      </c>
    </row>
    <row r="8" ht="18.75" customHeight="1" s="158">
      <c r="B8" s="108" t="n"/>
    </row>
    <row r="9" ht="15.75" customHeight="1" s="158">
      <c r="B9" s="201" t="inlineStr">
        <is>
          <t>№ п/п</t>
        </is>
      </c>
      <c r="C9" s="20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1" t="inlineStr">
        <is>
          <t>Объект-представитель 1</t>
        </is>
      </c>
      <c r="E9" s="238" t="n"/>
      <c r="F9" s="238" t="n"/>
      <c r="G9" s="238" t="n"/>
      <c r="H9" s="238" t="n"/>
      <c r="I9" s="238" t="n"/>
      <c r="J9" s="239" t="n"/>
    </row>
    <row r="10" ht="15.75" customHeight="1" s="158">
      <c r="B10" s="240" t="n"/>
      <c r="C10" s="240" t="n"/>
      <c r="D10" s="201" t="inlineStr">
        <is>
          <t>Номер сметы</t>
        </is>
      </c>
      <c r="E10" s="201" t="inlineStr">
        <is>
          <t>Наименование сметы</t>
        </is>
      </c>
      <c r="F10" s="201" t="inlineStr">
        <is>
          <t>Сметная стоимость в уровне цен 4 кв. 2016 г., тыс. руб.</t>
        </is>
      </c>
      <c r="G10" s="238" t="n"/>
      <c r="H10" s="238" t="n"/>
      <c r="I10" s="238" t="n"/>
      <c r="J10" s="239" t="n"/>
    </row>
    <row r="11" ht="31.5" customHeight="1" s="158">
      <c r="B11" s="241" t="n"/>
      <c r="C11" s="241" t="n"/>
      <c r="D11" s="241" t="n"/>
      <c r="E11" s="241" t="n"/>
      <c r="F11" s="201" t="inlineStr">
        <is>
          <t>Строительные работы</t>
        </is>
      </c>
      <c r="G11" s="201" t="inlineStr">
        <is>
          <t>Монтажные работы</t>
        </is>
      </c>
      <c r="H11" s="201" t="inlineStr">
        <is>
          <t>Оборудование</t>
        </is>
      </c>
      <c r="I11" s="201" t="inlineStr">
        <is>
          <t>Прочее</t>
        </is>
      </c>
      <c r="J11" s="201" t="inlineStr">
        <is>
          <t>Всего</t>
        </is>
      </c>
    </row>
    <row r="12" ht="157.5" customHeight="1" s="158">
      <c r="B12" s="201" t="n">
        <v>1</v>
      </c>
      <c r="C12" s="201" t="inlineStr">
        <is>
          <t>Выключатель 6 кВ</t>
        </is>
      </c>
      <c r="D12" s="201" t="inlineStr">
        <is>
          <t>02-04-01
02-05-06</t>
        </is>
      </c>
      <c r="E12" s="201" t="inlineStr">
        <is>
          <t>Приобретение и монтаж оборудования КРУН -10 кВ; Приобретение и монтаж оборудования для вторичных устройств КРУН 10кВ</t>
        </is>
      </c>
      <c r="F12" s="187">
        <f>32092*6.59/1000</f>
        <v/>
      </c>
      <c r="G12" s="187" t="n"/>
      <c r="H12" s="187">
        <f>360416*4.28/1000</f>
        <v/>
      </c>
      <c r="I12" s="187">
        <f>42377*8.42/1000</f>
        <v/>
      </c>
      <c r="J12" s="187">
        <f>SUM(F12:I12)</f>
        <v/>
      </c>
    </row>
    <row r="13" ht="15" customHeight="1" s="158">
      <c r="B13" s="198" t="inlineStr">
        <is>
          <t>Всего по объекту:</t>
        </is>
      </c>
      <c r="C13" s="242" t="n"/>
      <c r="D13" s="242" t="n"/>
      <c r="E13" s="243" t="n"/>
      <c r="F13" s="184">
        <f>SUM(F12)</f>
        <v/>
      </c>
      <c r="G13" s="184" t="n"/>
      <c r="H13" s="184">
        <f>SUM(H12)</f>
        <v/>
      </c>
      <c r="I13" s="186">
        <f>I12</f>
        <v/>
      </c>
      <c r="J13" s="184">
        <f>SUM(J12)</f>
        <v/>
      </c>
    </row>
    <row r="14" ht="15.75" customHeight="1" s="158">
      <c r="B14" s="199" t="inlineStr">
        <is>
          <t>Всего по объекту в сопоставимом уровне цен 4 кв. 2016 г:</t>
        </is>
      </c>
      <c r="C14" s="238" t="n"/>
      <c r="D14" s="238" t="n"/>
      <c r="E14" s="239" t="n"/>
      <c r="F14" s="186">
        <f>SUM(F13)</f>
        <v/>
      </c>
      <c r="G14" s="186" t="n"/>
      <c r="H14" s="186">
        <f>SUM(H13)</f>
        <v/>
      </c>
      <c r="I14" s="186">
        <f>SUM(I13)</f>
        <v/>
      </c>
      <c r="J14" s="186">
        <f>SUM(J13)</f>
        <v/>
      </c>
    </row>
    <row r="18">
      <c r="C18" s="172" t="inlineStr">
        <is>
          <t>Составил ______________________        Е.А. Князева</t>
        </is>
      </c>
      <c r="D18" s="175" t="n"/>
    </row>
    <row r="19">
      <c r="C19" s="174" t="inlineStr">
        <is>
          <t xml:space="preserve">                         (подпись, инициалы, фамилия)</t>
        </is>
      </c>
      <c r="D19" s="175" t="n"/>
    </row>
    <row r="20">
      <c r="C20" s="172" t="n"/>
      <c r="D20" s="175" t="n"/>
    </row>
    <row r="21">
      <c r="C21" s="172" t="inlineStr">
        <is>
          <t>Проверил ______________________        А.В. Костянецкая</t>
        </is>
      </c>
      <c r="D21" s="175" t="n"/>
    </row>
    <row r="22">
      <c r="C22" s="174" t="inlineStr">
        <is>
          <t xml:space="preserve">                        (подпись, инициалы, фамилия)</t>
        </is>
      </c>
      <c r="D22" s="175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30"/>
  <sheetViews>
    <sheetView view="pageBreakPreview" topLeftCell="A116" zoomScale="85" workbookViewId="0">
      <selection activeCell="D182" sqref="D182"/>
    </sheetView>
  </sheetViews>
  <sheetFormatPr baseColWidth="8" defaultRowHeight="15"/>
  <cols>
    <col width="12.5703125" customWidth="1" style="158" min="2" max="2"/>
    <col width="17" customWidth="1" style="158" min="3" max="3"/>
    <col width="49.7109375" customWidth="1" style="158" min="4" max="4"/>
    <col width="16.28515625" customWidth="1" style="158" min="5" max="5"/>
    <col width="20.7109375" customWidth="1" style="158" min="6" max="6"/>
    <col width="16.140625" customWidth="1" style="158" min="7" max="7"/>
    <col width="16.7109375" customWidth="1" style="158" min="8" max="8"/>
    <col width="4.5703125" customWidth="1" style="158" min="9" max="9"/>
    <col width="5.140625" customWidth="1" style="158" min="10" max="10"/>
    <col width="13" customWidth="1" style="158" min="11" max="11"/>
    <col width="9.140625" customWidth="1" style="158" min="12" max="12"/>
  </cols>
  <sheetData>
    <row r="2" ht="15.75" customHeight="1" s="158">
      <c r="A2" s="195" t="inlineStr">
        <is>
          <t xml:space="preserve">Приложение № 3 </t>
        </is>
      </c>
    </row>
    <row r="3" ht="18.75" customHeight="1" s="158">
      <c r="A3" s="196" t="inlineStr">
        <is>
          <t>Объектная ресурсная ведомость</t>
        </is>
      </c>
    </row>
    <row r="4">
      <c r="B4" s="146" t="n"/>
    </row>
    <row r="5" ht="18.75" customHeight="1" s="158">
      <c r="A5" s="196" t="n"/>
      <c r="B5" s="196" t="n"/>
      <c r="C5" s="204" t="n"/>
    </row>
    <row r="6" ht="18.75" customHeight="1" s="158">
      <c r="A6" s="108" t="n"/>
    </row>
    <row r="7" ht="32.25" customHeight="1" s="158">
      <c r="A7" s="207">
        <f>'Прил.1 Сравнит табл'!B7</f>
        <v/>
      </c>
    </row>
    <row r="8" ht="15.75" customHeight="1" s="158">
      <c r="A8" s="45" t="n"/>
      <c r="B8" s="45" t="n"/>
      <c r="C8" s="45" t="n"/>
      <c r="D8" s="45" t="n"/>
      <c r="E8" s="45" t="n"/>
      <c r="F8" s="45" t="n"/>
      <c r="G8" s="45" t="n"/>
      <c r="H8" s="106" t="n"/>
    </row>
    <row r="9" ht="38.25" customHeight="1" s="158">
      <c r="A9" s="201" t="inlineStr">
        <is>
          <t>п/п</t>
        </is>
      </c>
      <c r="B9" s="201" t="inlineStr">
        <is>
          <t>№ЛСР</t>
        </is>
      </c>
      <c r="C9" s="201" t="inlineStr">
        <is>
          <t>Код ресурса</t>
        </is>
      </c>
      <c r="D9" s="201" t="inlineStr">
        <is>
          <t>Наименование ресурса</t>
        </is>
      </c>
      <c r="E9" s="201" t="inlineStr">
        <is>
          <t>Ед. изм.</t>
        </is>
      </c>
      <c r="F9" s="201" t="inlineStr">
        <is>
          <t>Кол-во единиц по данным объекта-представителя</t>
        </is>
      </c>
      <c r="G9" s="201" t="inlineStr">
        <is>
          <t>Сметная стоимость в ценах на 01.01.2000 (руб.)</t>
        </is>
      </c>
      <c r="H9" s="239" t="n"/>
    </row>
    <row r="10" ht="40.5" customHeight="1" s="158">
      <c r="A10" s="241" t="n"/>
      <c r="B10" s="241" t="n"/>
      <c r="C10" s="241" t="n"/>
      <c r="D10" s="241" t="n"/>
      <c r="E10" s="241" t="n"/>
      <c r="F10" s="241" t="n"/>
      <c r="G10" s="201" t="inlineStr">
        <is>
          <t>на ед.изм.</t>
        </is>
      </c>
      <c r="H10" s="201" t="inlineStr">
        <is>
          <t>общая</t>
        </is>
      </c>
    </row>
    <row r="11" ht="15.75" customHeight="1" s="158">
      <c r="A11" s="201" t="n">
        <v>1</v>
      </c>
      <c r="B11" s="54" t="n"/>
      <c r="C11" s="201" t="n">
        <v>2</v>
      </c>
      <c r="D11" s="201" t="inlineStr">
        <is>
          <t>З</t>
        </is>
      </c>
      <c r="E11" s="201" t="n">
        <v>4</v>
      </c>
      <c r="F11" s="201" t="n">
        <v>5</v>
      </c>
      <c r="G11" s="54" t="n">
        <v>6</v>
      </c>
      <c r="H11" s="54" t="n">
        <v>7</v>
      </c>
    </row>
    <row r="12" ht="15" customHeight="1" s="158">
      <c r="A12" s="202" t="inlineStr">
        <is>
          <t>Затраты труда рабочих</t>
        </is>
      </c>
      <c r="B12" s="238" t="n"/>
      <c r="C12" s="238" t="n"/>
      <c r="D12" s="238" t="n"/>
      <c r="E12" s="238" t="n"/>
      <c r="F12" s="55">
        <f>SUM(F13:F20)</f>
        <v/>
      </c>
      <c r="G12" s="56" t="n"/>
      <c r="H12" s="55">
        <f>SUM(H13:H20)</f>
        <v/>
      </c>
      <c r="J12" s="112" t="n"/>
      <c r="K12" s="149" t="n"/>
    </row>
    <row r="13">
      <c r="A13" s="80" t="n">
        <v>1</v>
      </c>
      <c r="B13" s="24" t="n"/>
      <c r="C13" s="80" t="inlineStr">
        <is>
          <t>1-4-2</t>
        </is>
      </c>
      <c r="D13" s="211" t="inlineStr">
        <is>
          <t>Затраты труда рабочих (средний разряд работы 4,2)</t>
        </is>
      </c>
      <c r="E13" s="212" t="inlineStr">
        <is>
          <t>чел.-ч</t>
        </is>
      </c>
      <c r="F13" s="188" t="n">
        <v>6487.44</v>
      </c>
      <c r="G13" s="152" t="n">
        <v>9.92</v>
      </c>
      <c r="H13" s="152">
        <f>ROUND(F13*G13,2)</f>
        <v/>
      </c>
    </row>
    <row r="14">
      <c r="A14" s="189">
        <f>A13+1</f>
        <v/>
      </c>
      <c r="B14" s="24" t="n"/>
      <c r="C14" s="80" t="inlineStr">
        <is>
          <t>1-4-0</t>
        </is>
      </c>
      <c r="D14" s="211" t="inlineStr">
        <is>
          <t>Затраты труда рабочих (средний разряд работы 4,0)</t>
        </is>
      </c>
      <c r="E14" s="212" t="inlineStr">
        <is>
          <t>чел.-ч</t>
        </is>
      </c>
      <c r="F14" s="188" t="n">
        <v>2957.74</v>
      </c>
      <c r="G14" s="152" t="n">
        <v>9.619999999999999</v>
      </c>
      <c r="H14" s="152">
        <f>ROUND(F14*G14,2)</f>
        <v/>
      </c>
    </row>
    <row r="15">
      <c r="A15" s="189">
        <f>A14+1</f>
        <v/>
      </c>
      <c r="B15" s="24" t="n"/>
      <c r="C15" s="80" t="inlineStr">
        <is>
          <t>1-3-8</t>
        </is>
      </c>
      <c r="D15" s="211" t="inlineStr">
        <is>
          <t>Затраты труда рабочих (средний разряд работы 3,8)</t>
        </is>
      </c>
      <c r="E15" s="212" t="inlineStr">
        <is>
          <t>чел.-ч</t>
        </is>
      </c>
      <c r="F15" s="188" t="n">
        <v>35.96</v>
      </c>
      <c r="G15" s="152" t="n">
        <v>9.4</v>
      </c>
      <c r="H15" s="152">
        <f>ROUND(F15*G15,2)</f>
        <v/>
      </c>
    </row>
    <row r="16">
      <c r="A16" s="189">
        <f>A15+1</f>
        <v/>
      </c>
      <c r="B16" s="24" t="n"/>
      <c r="C16" s="80" t="inlineStr">
        <is>
          <t>1-3-3</t>
        </is>
      </c>
      <c r="D16" s="211" t="inlineStr">
        <is>
          <t>Затраты труда рабочих (средний разряд работы 3,3)</t>
        </is>
      </c>
      <c r="E16" s="212" t="inlineStr">
        <is>
          <t>чел.-ч</t>
        </is>
      </c>
      <c r="F16" s="188" t="n">
        <v>31.44</v>
      </c>
      <c r="G16" s="152" t="n">
        <v>8.859999999999999</v>
      </c>
      <c r="H16" s="152">
        <f>ROUND(F16*G16,2)</f>
        <v/>
      </c>
    </row>
    <row r="17">
      <c r="A17" s="189">
        <f>A16+1</f>
        <v/>
      </c>
      <c r="B17" s="24" t="n"/>
      <c r="C17" s="80" t="inlineStr">
        <is>
          <t>1-3-1</t>
        </is>
      </c>
      <c r="D17" s="211" t="inlineStr">
        <is>
          <t>Затраты труда рабочих (средний разряд работы 3,1)</t>
        </is>
      </c>
      <c r="E17" s="212" t="inlineStr">
        <is>
          <t>чел.-ч</t>
        </is>
      </c>
      <c r="F17" s="188" t="n">
        <v>6.82</v>
      </c>
      <c r="G17" s="152" t="n">
        <v>8.640000000000001</v>
      </c>
      <c r="H17" s="152">
        <f>ROUND(F17*G17,2)</f>
        <v/>
      </c>
    </row>
    <row r="18">
      <c r="A18" s="189">
        <f>A17+1</f>
        <v/>
      </c>
      <c r="B18" s="24" t="n"/>
      <c r="C18" s="80" t="inlineStr">
        <is>
          <t>1-4-9</t>
        </is>
      </c>
      <c r="D18" s="211" t="inlineStr">
        <is>
          <t>Затраты труда рабочих (средний разряд работы 4,9)</t>
        </is>
      </c>
      <c r="E18" s="212" t="inlineStr">
        <is>
          <t>чел.-ч</t>
        </is>
      </c>
      <c r="F18" s="188" t="n">
        <v>2.78</v>
      </c>
      <c r="G18" s="152" t="n">
        <v>10.94</v>
      </c>
      <c r="H18" s="152">
        <f>ROUND(F18*G18,2)</f>
        <v/>
      </c>
    </row>
    <row r="19">
      <c r="A19" s="189">
        <f>A18+1</f>
        <v/>
      </c>
      <c r="B19" s="24" t="n"/>
      <c r="C19" s="80" t="inlineStr">
        <is>
          <t>1-4-1</t>
        </is>
      </c>
      <c r="D19" s="211" t="inlineStr">
        <is>
          <t>Затраты труда рабочих (средний разряд работы 4,1)</t>
        </is>
      </c>
      <c r="E19" s="212" t="inlineStr">
        <is>
          <t>чел.-ч</t>
        </is>
      </c>
      <c r="F19" s="188" t="n">
        <v>1.44</v>
      </c>
      <c r="G19" s="152" t="n">
        <v>9.76</v>
      </c>
      <c r="H19" s="152">
        <f>ROUND(F19*G19,2)</f>
        <v/>
      </c>
      <c r="L19" s="48" t="n"/>
    </row>
    <row r="20">
      <c r="A20" s="189">
        <f>A19+1</f>
        <v/>
      </c>
      <c r="B20" s="24" t="n"/>
      <c r="C20" s="80" t="inlineStr">
        <is>
          <t>1-3-5</t>
        </is>
      </c>
      <c r="D20" s="211" t="inlineStr">
        <is>
          <t>Затраты труда рабочих (средний разряд работы 3,5)</t>
        </is>
      </c>
      <c r="E20" s="212" t="inlineStr">
        <is>
          <t>чел.-ч</t>
        </is>
      </c>
      <c r="F20" s="188" t="n">
        <v>0.01</v>
      </c>
      <c r="G20" s="152" t="n">
        <v>9.07</v>
      </c>
      <c r="H20" s="152">
        <f>ROUND(F20*G20,2)</f>
        <v/>
      </c>
    </row>
    <row r="21" ht="15" customHeight="1" s="158">
      <c r="A21" s="206" t="inlineStr">
        <is>
          <t>Затраты труда машинистов</t>
        </is>
      </c>
      <c r="B21" s="238" t="n"/>
      <c r="C21" s="238" t="n"/>
      <c r="D21" s="238" t="n"/>
      <c r="E21" s="239" t="n"/>
      <c r="F21" s="56" t="n"/>
      <c r="G21" s="56" t="n"/>
      <c r="H21" s="55">
        <f>H22</f>
        <v/>
      </c>
    </row>
    <row r="22">
      <c r="A22" s="189">
        <f>A20+1</f>
        <v/>
      </c>
      <c r="B22" s="24" t="n"/>
      <c r="C22" s="80" t="n">
        <v>2</v>
      </c>
      <c r="D22" s="211" t="inlineStr">
        <is>
          <t>Затраты труда машинистов</t>
        </is>
      </c>
      <c r="E22" s="212" t="inlineStr">
        <is>
          <t>чел.-ч</t>
        </is>
      </c>
      <c r="F22" s="212">
        <f>'Прил.5 Расчет СМР и ОБ'!E16</f>
        <v/>
      </c>
      <c r="G22" s="152" t="n"/>
      <c r="H22" s="190">
        <f>'Прил.5 Расчет СМР и ОБ'!G16</f>
        <v/>
      </c>
      <c r="L22" s="48" t="n"/>
    </row>
    <row r="23" ht="15" customHeight="1" s="158">
      <c r="A23" s="206" t="inlineStr">
        <is>
          <t>Машины и механизмы</t>
        </is>
      </c>
      <c r="B23" s="238" t="n"/>
      <c r="C23" s="238" t="n"/>
      <c r="D23" s="238" t="n"/>
      <c r="E23" s="239" t="n"/>
      <c r="F23" s="56" t="n"/>
      <c r="G23" s="56" t="n"/>
      <c r="H23" s="55">
        <f>SUM(H24:H40)</f>
        <v/>
      </c>
      <c r="K23" s="149" t="n"/>
    </row>
    <row r="24" ht="25.5" customHeight="1" s="158">
      <c r="A24" s="80">
        <f>A22+1</f>
        <v/>
      </c>
      <c r="B24" s="24" t="n"/>
      <c r="C24" s="80" t="inlineStr">
        <is>
          <t>91.06.03-058</t>
        </is>
      </c>
      <c r="D24" s="211" t="inlineStr">
        <is>
          <t>Лебедки электрические тяговым усилием 156,96 кН (16 т)</t>
        </is>
      </c>
      <c r="E24" s="212" t="inlineStr">
        <is>
          <t>маш.-ч</t>
        </is>
      </c>
      <c r="F24" s="212" t="n">
        <v>216.66</v>
      </c>
      <c r="G24" s="229" t="n">
        <v>131.44</v>
      </c>
      <c r="H24" s="152">
        <f>ROUND(F24*G24,2)</f>
        <v/>
      </c>
    </row>
    <row r="25" ht="25.5" customHeight="1" s="158">
      <c r="A25" s="80">
        <f>A24+1</f>
        <v/>
      </c>
      <c r="B25" s="24" t="n"/>
      <c r="C25" s="80" t="inlineStr">
        <is>
          <t>91.05.05-014</t>
        </is>
      </c>
      <c r="D25" s="211" t="inlineStr">
        <is>
          <t>Краны на автомобильном ходу, грузоподъемность 10 т</t>
        </is>
      </c>
      <c r="E25" s="212" t="inlineStr">
        <is>
          <t>маш.-ч</t>
        </is>
      </c>
      <c r="F25" s="213" t="n">
        <v>98.65000000000001</v>
      </c>
      <c r="G25" s="229" t="n">
        <v>111.99</v>
      </c>
      <c r="H25" s="152">
        <f>ROUND(F25*G25,2)</f>
        <v/>
      </c>
    </row>
    <row r="26">
      <c r="A26" s="80">
        <f>A25+1</f>
        <v/>
      </c>
      <c r="B26" s="24" t="n"/>
      <c r="C26" s="80" t="inlineStr">
        <is>
          <t>91.14.02-001</t>
        </is>
      </c>
      <c r="D26" s="211" t="inlineStr">
        <is>
          <t>Автомобили бортовые, грузоподъемность до 5 т</t>
        </is>
      </c>
      <c r="E26" s="212" t="inlineStr">
        <is>
          <t>маш.-ч</t>
        </is>
      </c>
      <c r="F26" s="212" t="n">
        <v>96.15000000000001</v>
      </c>
      <c r="G26" s="229" t="n">
        <v>65.70999999999999</v>
      </c>
      <c r="H26" s="152">
        <f>ROUND(F26*G26,2)</f>
        <v/>
      </c>
    </row>
    <row r="27">
      <c r="A27" s="80">
        <f>A26+1</f>
        <v/>
      </c>
      <c r="B27" s="24" t="n"/>
      <c r="C27" s="80" t="inlineStr">
        <is>
          <t>91.06.05-011</t>
        </is>
      </c>
      <c r="D27" s="211" t="inlineStr">
        <is>
          <t>Погрузчик, грузоподъемность 5 т</t>
        </is>
      </c>
      <c r="E27" s="212" t="inlineStr">
        <is>
          <t>маш.час</t>
        </is>
      </c>
      <c r="F27" s="212" t="n">
        <v>41.19</v>
      </c>
      <c r="G27" s="229" t="n">
        <v>89.98999999999999</v>
      </c>
      <c r="H27" s="152">
        <f>ROUND(F27*G27,2)</f>
        <v/>
      </c>
    </row>
    <row r="28">
      <c r="A28" s="80">
        <f>A27+1</f>
        <v/>
      </c>
      <c r="B28" s="24" t="n"/>
      <c r="C28" s="80" t="inlineStr">
        <is>
          <t>91.10.01-002</t>
        </is>
      </c>
      <c r="D28" s="211" t="inlineStr">
        <is>
          <t>Агрегаты наполнительно-опрессовочные: до 300 м3/ч</t>
        </is>
      </c>
      <c r="E28" s="212" t="inlineStr">
        <is>
          <t>маш.час</t>
        </is>
      </c>
      <c r="F28" s="212" t="n">
        <v>3.69</v>
      </c>
      <c r="G28" s="229" t="n">
        <v>287.99</v>
      </c>
      <c r="H28" s="152">
        <f>ROUND(F28*G28,2)</f>
        <v/>
      </c>
    </row>
    <row r="29">
      <c r="A29" s="80">
        <f>A28+1</f>
        <v/>
      </c>
      <c r="B29" s="24" t="n"/>
      <c r="C29" s="80" t="inlineStr">
        <is>
          <t>91.05.06-012</t>
        </is>
      </c>
      <c r="D29" s="211" t="inlineStr">
        <is>
          <t>Краны на гусеничном ходу, грузоподъемность до 16 т</t>
        </is>
      </c>
      <c r="E29" s="212" t="inlineStr">
        <is>
          <t>маш.час</t>
        </is>
      </c>
      <c r="F29" s="212" t="n">
        <v>4.23</v>
      </c>
      <c r="G29" s="229" t="n">
        <v>96.89</v>
      </c>
      <c r="H29" s="152">
        <f>ROUND(F29*G29,2)</f>
        <v/>
      </c>
    </row>
    <row r="30">
      <c r="A30" s="80">
        <f>A29+1</f>
        <v/>
      </c>
      <c r="B30" s="24" t="n"/>
      <c r="C30" s="80" t="inlineStr">
        <is>
          <t>91.06.06-042</t>
        </is>
      </c>
      <c r="D30" s="211" t="inlineStr">
        <is>
          <t>Подъемники гидравлические высотой подъема: 10 м</t>
        </is>
      </c>
      <c r="E30" s="212" t="inlineStr">
        <is>
          <t>маш.час</t>
        </is>
      </c>
      <c r="F30" s="212" t="n">
        <v>11</v>
      </c>
      <c r="G30" s="229" t="n">
        <v>29.6</v>
      </c>
      <c r="H30" s="152">
        <f>ROUND(F30*G30,2)</f>
        <v/>
      </c>
    </row>
    <row r="31">
      <c r="A31" s="80">
        <f>A30+1</f>
        <v/>
      </c>
      <c r="B31" s="24" t="n"/>
      <c r="C31" s="80" t="inlineStr">
        <is>
          <t>91.14.04-002</t>
        </is>
      </c>
      <c r="D31" s="211" t="inlineStr">
        <is>
          <t>Тягачи седельные, грузоподъемность: 15 т</t>
        </is>
      </c>
      <c r="E31" s="212" t="inlineStr">
        <is>
          <t>маш.час</t>
        </is>
      </c>
      <c r="F31" s="212" t="n">
        <v>1.3</v>
      </c>
      <c r="G31" s="229" t="n">
        <v>94.38</v>
      </c>
      <c r="H31" s="152">
        <f>ROUND(F31*G31,2)</f>
        <v/>
      </c>
    </row>
    <row r="32">
      <c r="A32" s="80">
        <f>A31+1</f>
        <v/>
      </c>
      <c r="B32" s="24" t="n"/>
      <c r="C32" s="80" t="inlineStr">
        <is>
          <t>91.21.22-447</t>
        </is>
      </c>
      <c r="D32" s="211" t="inlineStr">
        <is>
          <t>Установки электрометаллизационные</t>
        </is>
      </c>
      <c r="E32" s="212" t="inlineStr">
        <is>
          <t>маш.час</t>
        </is>
      </c>
      <c r="F32" s="212" t="n">
        <v>0.93</v>
      </c>
      <c r="G32" s="229" t="n">
        <v>74.23999999999999</v>
      </c>
      <c r="H32" s="152">
        <f>ROUND(F32*G32,2)</f>
        <v/>
      </c>
    </row>
    <row r="33" ht="38.25" customHeight="1" s="158">
      <c r="A33" s="80">
        <f>A32+1</f>
        <v/>
      </c>
      <c r="B33" s="24" t="n"/>
      <c r="C33" s="80" t="inlineStr">
        <is>
          <t>91.18.01-007</t>
        </is>
      </c>
      <c r="D33" s="21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3" s="212" t="inlineStr">
        <is>
          <t>маш.час</t>
        </is>
      </c>
      <c r="F33" s="212" t="n">
        <v>0.44</v>
      </c>
      <c r="G33" s="229" t="n">
        <v>90</v>
      </c>
      <c r="H33" s="152">
        <f>ROUND(F33*G33,2)</f>
        <v/>
      </c>
    </row>
    <row r="34">
      <c r="A34" s="80">
        <f>A33+1</f>
        <v/>
      </c>
      <c r="B34" s="24" t="n"/>
      <c r="C34" s="80" t="inlineStr">
        <is>
          <t>91.14.05-002</t>
        </is>
      </c>
      <c r="D34" s="211" t="inlineStr">
        <is>
          <t>Полуприцепы-тяжеловозы, грузоподъемность: 40 т</t>
        </is>
      </c>
      <c r="E34" s="212" t="inlineStr">
        <is>
          <t>маш.час</t>
        </is>
      </c>
      <c r="F34" s="212" t="n">
        <v>1.3</v>
      </c>
      <c r="G34" s="229" t="n">
        <v>28.65</v>
      </c>
      <c r="H34" s="152">
        <f>ROUND(F34*G34,2)</f>
        <v/>
      </c>
    </row>
    <row r="35" ht="25.5" customHeight="1" s="158">
      <c r="A35" s="80">
        <f>A34+1</f>
        <v/>
      </c>
      <c r="B35" s="24" t="n"/>
      <c r="C35" s="80" t="inlineStr">
        <is>
          <t>91.17.04-233</t>
        </is>
      </c>
      <c r="D35" s="211" t="inlineStr">
        <is>
          <t>Установки для сварки: ручной дуговой (постоянного тока)</t>
        </is>
      </c>
      <c r="E35" s="212" t="inlineStr">
        <is>
          <t>маш.час</t>
        </is>
      </c>
      <c r="F35" s="212" t="n">
        <v>4.49</v>
      </c>
      <c r="G35" s="229" t="n">
        <v>8.1</v>
      </c>
      <c r="H35" s="152">
        <f>ROUND(F35*G35,2)</f>
        <v/>
      </c>
    </row>
    <row r="36">
      <c r="A36" s="80">
        <f>A35+1</f>
        <v/>
      </c>
      <c r="B36" s="24" t="n"/>
      <c r="C36" s="80" t="inlineStr">
        <is>
          <t>91.21.19-031</t>
        </is>
      </c>
      <c r="D36" s="211" t="inlineStr">
        <is>
          <t>Станок: сверлильный</t>
        </is>
      </c>
      <c r="E36" s="212" t="inlineStr">
        <is>
          <t>маш.час</t>
        </is>
      </c>
      <c r="F36" s="212" t="n">
        <v>4.28</v>
      </c>
      <c r="G36" s="229" t="n">
        <v>2.36</v>
      </c>
      <c r="H36" s="152">
        <f>ROUND(F36*G36,2)</f>
        <v/>
      </c>
    </row>
    <row r="37">
      <c r="A37" s="80">
        <f>A36+1</f>
        <v/>
      </c>
      <c r="B37" s="24" t="n"/>
      <c r="C37" s="80" t="inlineStr">
        <is>
          <t>91.06.01-003</t>
        </is>
      </c>
      <c r="D37" s="211" t="inlineStr">
        <is>
          <t>Домкраты гидравлические, грузоподъемность 63-100 т</t>
        </is>
      </c>
      <c r="E37" s="212" t="inlineStr">
        <is>
          <t>маш.час</t>
        </is>
      </c>
      <c r="F37" s="212" t="n">
        <v>9.050000000000001</v>
      </c>
      <c r="G37" s="229" t="n">
        <v>0.9</v>
      </c>
      <c r="H37" s="152">
        <f>ROUND(F37*G37,2)</f>
        <v/>
      </c>
    </row>
    <row r="38" ht="25.5" customHeight="1" s="158">
      <c r="A38" s="80">
        <f>A37+1</f>
        <v/>
      </c>
      <c r="B38" s="24" t="n"/>
      <c r="C38" s="80" t="inlineStr">
        <is>
          <t>91.17.04-036</t>
        </is>
      </c>
      <c r="D38" s="211" t="inlineStr">
        <is>
          <t>Агрегаты сварочные передвижные номинальным сварочным током 250-400 А: с дизельным двигателем</t>
        </is>
      </c>
      <c r="E38" s="212" t="inlineStr">
        <is>
          <t>маш.час</t>
        </is>
      </c>
      <c r="F38" s="212" t="n">
        <v>0.35</v>
      </c>
      <c r="G38" s="229" t="n">
        <v>14</v>
      </c>
      <c r="H38" s="152">
        <f>ROUND(F38*G38,2)</f>
        <v/>
      </c>
    </row>
    <row r="39" ht="25.5" customHeight="1" s="158">
      <c r="A39" s="80">
        <f>A38+1</f>
        <v/>
      </c>
      <c r="B39" s="24" t="n"/>
      <c r="C39" s="80" t="inlineStr">
        <is>
          <t>91.08.09-023</t>
        </is>
      </c>
      <c r="D39" s="211" t="inlineStr">
        <is>
          <t>Трамбовки пневматические при работе от: передвижных компрессорных станций</t>
        </is>
      </c>
      <c r="E39" s="212" t="inlineStr">
        <is>
          <t>маш.час</t>
        </is>
      </c>
      <c r="F39" s="212" t="n">
        <v>0.88</v>
      </c>
      <c r="G39" s="229" t="n">
        <v>0.55</v>
      </c>
      <c r="H39" s="152">
        <f>ROUND(F39*G39,2)</f>
        <v/>
      </c>
    </row>
    <row r="40">
      <c r="A40" s="80">
        <f>A39+1</f>
        <v/>
      </c>
      <c r="B40" s="24" t="n"/>
      <c r="C40" s="80" t="inlineStr">
        <is>
          <t>91.07.04-001</t>
        </is>
      </c>
      <c r="D40" s="211" t="inlineStr">
        <is>
          <t>Вибратор глубинный</t>
        </is>
      </c>
      <c r="E40" s="212" t="inlineStr">
        <is>
          <t>маш.час</t>
        </is>
      </c>
      <c r="F40" s="212" t="n">
        <v>0.14</v>
      </c>
      <c r="G40" s="229" t="n">
        <v>1.9</v>
      </c>
      <c r="H40" s="152">
        <f>ROUND(F40*G40,2)</f>
        <v/>
      </c>
    </row>
    <row r="41" ht="15" customHeight="1" s="158">
      <c r="A41" s="206" t="inlineStr">
        <is>
          <t>Оборудование</t>
        </is>
      </c>
      <c r="B41" s="238" t="n"/>
      <c r="C41" s="238" t="n"/>
      <c r="D41" s="238" t="n"/>
      <c r="E41" s="239" t="n"/>
      <c r="F41" s="56" t="n"/>
      <c r="G41" s="56" t="n"/>
      <c r="H41" s="55">
        <f>SUM(H42:H69)</f>
        <v/>
      </c>
    </row>
    <row r="42" ht="25.5" customHeight="1" s="158">
      <c r="A42" s="189">
        <f>A40+1</f>
        <v/>
      </c>
      <c r="B42" s="206" t="n"/>
      <c r="C42" s="80" t="inlineStr">
        <is>
          <t>Прайс из СД ОП</t>
        </is>
      </c>
      <c r="D42" s="154" t="inlineStr">
        <is>
          <t>Ячейка выключателя 10 кВ, 2500А, 25кА</t>
        </is>
      </c>
      <c r="E42" s="80" t="inlineStr">
        <is>
          <t>шт</t>
        </is>
      </c>
      <c r="F42" s="80" t="n">
        <v>12</v>
      </c>
      <c r="G42" s="152" t="n">
        <v>656996.8100000001</v>
      </c>
      <c r="H42" s="152">
        <f>ROUND(F42*G42,2)</f>
        <v/>
      </c>
    </row>
    <row r="43" ht="25.5" customHeight="1" s="158">
      <c r="A43" s="189">
        <f>A42+1</f>
        <v/>
      </c>
      <c r="B43" s="206" t="n"/>
      <c r="C43" s="80" t="inlineStr">
        <is>
          <t>Прайс из СД ОП</t>
        </is>
      </c>
      <c r="D43" s="154" t="inlineStr">
        <is>
          <t>Шкаф устройства дуговой защиты ОВОД-МД ориентировочно</t>
        </is>
      </c>
      <c r="E43" s="80" t="inlineStr">
        <is>
          <t>шт</t>
        </is>
      </c>
      <c r="F43" s="80" t="n">
        <v>4</v>
      </c>
      <c r="G43" s="152" t="n">
        <v>23154</v>
      </c>
      <c r="H43" s="152">
        <f>ROUND(F43*G43,2)</f>
        <v/>
      </c>
    </row>
    <row r="44">
      <c r="A44" s="189">
        <f>A43+1</f>
        <v/>
      </c>
      <c r="B44" s="206" t="n"/>
      <c r="C44" s="80" t="inlineStr">
        <is>
          <t>Прайс из СД ОП</t>
        </is>
      </c>
      <c r="D44" s="154" t="inlineStr">
        <is>
          <t>Реле промежуточные: двухпозиционные РП-11 УХЛ4</t>
        </is>
      </c>
      <c r="E44" s="80" t="inlineStr">
        <is>
          <t>шт</t>
        </is>
      </c>
      <c r="F44" s="80" t="n">
        <v>62</v>
      </c>
      <c r="G44" s="152" t="n">
        <v>565.21</v>
      </c>
      <c r="H44" s="152">
        <f>ROUND(F44*G44,2)</f>
        <v/>
      </c>
    </row>
    <row r="45">
      <c r="A45" s="189">
        <f>A44+1</f>
        <v/>
      </c>
      <c r="B45" s="206" t="n"/>
      <c r="C45" s="80" t="inlineStr">
        <is>
          <t>Прайс из СД ОП</t>
        </is>
      </c>
      <c r="D45" s="154" t="inlineStr">
        <is>
          <t xml:space="preserve">Реле промежуточное УХЛ4,РП252         </t>
        </is>
      </c>
      <c r="E45" s="80" t="inlineStr">
        <is>
          <t>шт</t>
        </is>
      </c>
      <c r="F45" s="80" t="n">
        <v>71</v>
      </c>
      <c r="G45" s="152" t="n">
        <v>316.9</v>
      </c>
      <c r="H45" s="152">
        <f>ROUND(F45*G45,2)</f>
        <v/>
      </c>
    </row>
    <row r="46">
      <c r="A46" s="189">
        <f>A45+1</f>
        <v/>
      </c>
      <c r="B46" s="206" t="n"/>
      <c r="C46" s="80" t="inlineStr">
        <is>
          <t>Прайс из СД ОП</t>
        </is>
      </c>
      <c r="D46" s="154" t="inlineStr">
        <is>
          <t xml:space="preserve">Выключатель автоматический С60Н-DG </t>
        </is>
      </c>
      <c r="E46" s="80" t="inlineStr">
        <is>
          <t>шт</t>
        </is>
      </c>
      <c r="F46" s="80" t="n">
        <v>7</v>
      </c>
      <c r="G46" s="152" t="n">
        <v>2943</v>
      </c>
      <c r="H46" s="152">
        <f>ROUND(F46*G46,2)</f>
        <v/>
      </c>
    </row>
    <row r="47">
      <c r="A47" s="189">
        <f>A46+1</f>
        <v/>
      </c>
      <c r="B47" s="206" t="n"/>
      <c r="C47" s="80" t="inlineStr">
        <is>
          <t>Прайс из СД ОП</t>
        </is>
      </c>
      <c r="D47" s="154" t="inlineStr">
        <is>
          <t xml:space="preserve">Реле указательное РУ21-1/220       </t>
        </is>
      </c>
      <c r="E47" s="80" t="inlineStr">
        <is>
          <t>шт</t>
        </is>
      </c>
      <c r="F47" s="80" t="n">
        <v>68</v>
      </c>
      <c r="G47" s="152" t="n">
        <v>199.87</v>
      </c>
      <c r="H47" s="152">
        <f>ROUND(F47*G47,2)</f>
        <v/>
      </c>
    </row>
    <row r="48">
      <c r="A48" s="189">
        <f>A47+1</f>
        <v/>
      </c>
      <c r="B48" s="206" t="n"/>
      <c r="C48" s="80" t="inlineStr">
        <is>
          <t>Прайс из СД ОП</t>
        </is>
      </c>
      <c r="D48" s="154" t="inlineStr">
        <is>
          <t xml:space="preserve">Переключатель кулачковый 4G10-92-U-R014 </t>
        </is>
      </c>
      <c r="E48" s="80" t="inlineStr">
        <is>
          <t>шт</t>
        </is>
      </c>
      <c r="F48" s="80" t="n">
        <v>100</v>
      </c>
      <c r="G48" s="152" t="n">
        <v>134.3</v>
      </c>
      <c r="H48" s="152">
        <f>ROUND(F48*G48,2)</f>
        <v/>
      </c>
    </row>
    <row r="49">
      <c r="A49" s="189">
        <f>A48+1</f>
        <v/>
      </c>
      <c r="B49" s="206" t="n"/>
      <c r="C49" s="80" t="inlineStr">
        <is>
          <t>Прайс из СД ОП</t>
        </is>
      </c>
      <c r="D49" s="154" t="inlineStr">
        <is>
          <t xml:space="preserve">Реле промежуточное УХЛ4,РП23       </t>
        </is>
      </c>
      <c r="E49" s="80" t="inlineStr">
        <is>
          <t>шт</t>
        </is>
      </c>
      <c r="F49" s="80" t="n">
        <v>78</v>
      </c>
      <c r="G49" s="152" t="n">
        <v>159.5</v>
      </c>
      <c r="H49" s="152">
        <f>ROUND(F49*G49,2)</f>
        <v/>
      </c>
    </row>
    <row r="50">
      <c r="A50" s="189">
        <f>A49+1</f>
        <v/>
      </c>
      <c r="B50" s="206" t="n"/>
      <c r="C50" s="80" t="inlineStr">
        <is>
          <t>Прайс из СД ОП</t>
        </is>
      </c>
      <c r="D50" s="154" t="inlineStr">
        <is>
          <t xml:space="preserve">Реле указательное РУ21-1/0,006       </t>
        </is>
      </c>
      <c r="E50" s="80" t="inlineStr">
        <is>
          <t>шт</t>
        </is>
      </c>
      <c r="F50" s="80" t="n">
        <v>70</v>
      </c>
      <c r="G50" s="152" t="n">
        <v>164.45</v>
      </c>
      <c r="H50" s="152">
        <f>ROUND(F50*G50,2)</f>
        <v/>
      </c>
    </row>
    <row r="51">
      <c r="A51" s="189">
        <f>A50+1</f>
        <v/>
      </c>
      <c r="B51" s="206" t="n"/>
      <c r="C51" s="80" t="inlineStr">
        <is>
          <t>Прайс из СД ОП</t>
        </is>
      </c>
      <c r="D51" s="154" t="inlineStr">
        <is>
          <t xml:space="preserve">Реле времени статическое РСВ18-13-21-13-1-УХЛ4, </t>
        </is>
      </c>
      <c r="E51" s="80" t="inlineStr">
        <is>
          <t>шт</t>
        </is>
      </c>
      <c r="F51" s="80" t="n">
        <v>34</v>
      </c>
      <c r="G51" s="152" t="n">
        <v>324</v>
      </c>
      <c r="H51" s="152">
        <f>ROUND(F51*G51,2)</f>
        <v/>
      </c>
    </row>
    <row r="52">
      <c r="A52" s="189">
        <f>A51+1</f>
        <v/>
      </c>
      <c r="B52" s="206" t="n"/>
      <c r="C52" s="80" t="inlineStr">
        <is>
          <t>Прайс из СД ОП</t>
        </is>
      </c>
      <c r="D52" s="154" t="inlineStr">
        <is>
          <t xml:space="preserve">Реле времени 0.1-1 с, 220 В, УХЛ4,ПП ,РСВ15-2, </t>
        </is>
      </c>
      <c r="E52" s="80" t="inlineStr">
        <is>
          <t>шт</t>
        </is>
      </c>
      <c r="F52" s="80" t="n">
        <v>36</v>
      </c>
      <c r="G52" s="152" t="n">
        <v>302</v>
      </c>
      <c r="H52" s="152">
        <f>ROUND(F52*G52,2)</f>
        <v/>
      </c>
    </row>
    <row r="53">
      <c r="A53" s="189">
        <f>A52+1</f>
        <v/>
      </c>
      <c r="B53" s="206" t="n"/>
      <c r="C53" s="80" t="inlineStr">
        <is>
          <t>Прайс из СД ОП</t>
        </is>
      </c>
      <c r="D53" s="154" t="inlineStr">
        <is>
          <t xml:space="preserve">Реле времени статическое РСВ01-1       </t>
        </is>
      </c>
      <c r="E53" s="80" t="inlineStr">
        <is>
          <t>шт</t>
        </is>
      </c>
      <c r="F53" s="80" t="n">
        <v>30</v>
      </c>
      <c r="G53" s="152" t="n">
        <v>344.6</v>
      </c>
      <c r="H53" s="152">
        <f>ROUND(F53*G53,2)</f>
        <v/>
      </c>
    </row>
    <row r="54">
      <c r="A54" s="189">
        <f>A53+1</f>
        <v/>
      </c>
      <c r="B54" s="206" t="n"/>
      <c r="C54" s="80" t="inlineStr">
        <is>
          <t>Прайс из СД ОП</t>
        </is>
      </c>
      <c r="D54" s="154" t="inlineStr">
        <is>
          <t xml:space="preserve">Реле промежуточное Финдер       </t>
        </is>
      </c>
      <c r="E54" s="80" t="inlineStr">
        <is>
          <t>шт</t>
        </is>
      </c>
      <c r="F54" s="80" t="n">
        <v>46</v>
      </c>
      <c r="G54" s="152" t="n">
        <v>158.9</v>
      </c>
      <c r="H54" s="152">
        <f>ROUND(F54*G54,2)</f>
        <v/>
      </c>
    </row>
    <row r="55">
      <c r="A55" s="189">
        <f>A54+1</f>
        <v/>
      </c>
      <c r="B55" s="206" t="n"/>
      <c r="C55" s="80" t="inlineStr">
        <is>
          <t>Прайс из СД ОП</t>
        </is>
      </c>
      <c r="D55" s="154" t="inlineStr">
        <is>
          <t xml:space="preserve">Переключатель кулачковый 4G10-55-U-R014 </t>
        </is>
      </c>
      <c r="E55" s="80" t="inlineStr">
        <is>
          <t>шт</t>
        </is>
      </c>
      <c r="F55" s="80" t="n">
        <v>37</v>
      </c>
      <c r="G55" s="152" t="n">
        <v>97.2</v>
      </c>
      <c r="H55" s="152">
        <f>ROUND(F55*G55,2)</f>
        <v/>
      </c>
    </row>
    <row r="56">
      <c r="A56" s="189">
        <f>A55+1</f>
        <v/>
      </c>
      <c r="B56" s="206" t="n"/>
      <c r="C56" s="80" t="inlineStr">
        <is>
          <t>Прайс из СД ОП</t>
        </is>
      </c>
      <c r="D56" s="154" t="inlineStr">
        <is>
          <t xml:space="preserve">Переключатель кулачковый 4G10-90-u-r014 </t>
        </is>
      </c>
      <c r="E56" s="80" t="inlineStr">
        <is>
          <t>шт</t>
        </is>
      </c>
      <c r="F56" s="80" t="n">
        <v>37</v>
      </c>
      <c r="G56" s="152" t="n">
        <v>83.12</v>
      </c>
      <c r="H56" s="152">
        <f>ROUND(F56*G56,2)</f>
        <v/>
      </c>
    </row>
    <row r="57">
      <c r="A57" s="189">
        <f>A56+1</f>
        <v/>
      </c>
      <c r="B57" s="206" t="n"/>
      <c r="C57" s="80" t="inlineStr">
        <is>
          <t>Прайс из СД ОП</t>
        </is>
      </c>
      <c r="D57" s="154" t="inlineStr">
        <is>
          <t xml:space="preserve">Блок-контакт состояния OF </t>
        </is>
      </c>
      <c r="E57" s="80" t="inlineStr">
        <is>
          <t>шт</t>
        </is>
      </c>
      <c r="F57" s="80" t="n">
        <v>9</v>
      </c>
      <c r="G57" s="152" t="n">
        <v>205.9</v>
      </c>
      <c r="H57" s="152">
        <f>ROUND(F57*G57,2)</f>
        <v/>
      </c>
    </row>
    <row r="58" ht="25.5" customHeight="1" s="158">
      <c r="A58" s="189">
        <f>A57+1</f>
        <v/>
      </c>
      <c r="B58" s="206" t="n"/>
      <c r="C58" s="80" t="inlineStr">
        <is>
          <t>Прайс из СД ОП</t>
        </is>
      </c>
      <c r="D58" s="154" t="inlineStr">
        <is>
          <t xml:space="preserve">Переключатель комутационный с защитным кожухом ПМОФ90-111111/1 </t>
        </is>
      </c>
      <c r="E58" s="80" t="inlineStr">
        <is>
          <t>шт</t>
        </is>
      </c>
      <c r="F58" s="80" t="n">
        <v>2</v>
      </c>
      <c r="G58" s="152" t="n">
        <v>926</v>
      </c>
      <c r="H58" s="152">
        <f>ROUND(F58*G58,2)</f>
        <v/>
      </c>
    </row>
    <row r="59">
      <c r="A59" s="189">
        <f>A58+1</f>
        <v/>
      </c>
      <c r="B59" s="206" t="n"/>
      <c r="C59" s="80" t="inlineStr">
        <is>
          <t>Прайс из СД ОП</t>
        </is>
      </c>
      <c r="D59" s="154" t="inlineStr">
        <is>
          <t xml:space="preserve">Выключатель автоматический С60N-3р </t>
        </is>
      </c>
      <c r="E59" s="80" t="inlineStr">
        <is>
          <t>шт</t>
        </is>
      </c>
      <c r="F59" s="80" t="n">
        <v>4</v>
      </c>
      <c r="G59" s="152" t="n">
        <v>339.9</v>
      </c>
      <c r="H59" s="152">
        <f>ROUND(F59*G59,2)</f>
        <v/>
      </c>
    </row>
    <row r="60" ht="25.5" customHeight="1" s="158">
      <c r="A60" s="189">
        <f>A59+1</f>
        <v/>
      </c>
      <c r="B60" s="206" t="n"/>
      <c r="C60" s="80" t="inlineStr">
        <is>
          <t>Прайс из СД ОП</t>
        </is>
      </c>
      <c r="D60" s="154" t="inlineStr">
        <is>
          <t xml:space="preserve">Лампа индикаторная светодиодная СКЛ14А-Л-2-220,СКЛ14А-К-2-220, СКД14А-Ж-2-220 </t>
        </is>
      </c>
      <c r="E60" s="80" t="inlineStr">
        <is>
          <t>шт</t>
        </is>
      </c>
      <c r="F60" s="80" t="n">
        <v>113</v>
      </c>
      <c r="G60" s="152" t="n">
        <v>11.27</v>
      </c>
      <c r="H60" s="152">
        <f>ROUND(F60*G60,2)</f>
        <v/>
      </c>
    </row>
    <row r="61">
      <c r="A61" s="189">
        <f>A60+1</f>
        <v/>
      </c>
      <c r="B61" s="206" t="n"/>
      <c r="C61" s="80" t="inlineStr">
        <is>
          <t>Прайс из СД ОП</t>
        </is>
      </c>
      <c r="D61" s="154" t="inlineStr">
        <is>
          <t xml:space="preserve">Переключатель кулачковый 4G10-62-U-R014 </t>
        </is>
      </c>
      <c r="E61" s="80" t="inlineStr">
        <is>
          <t>шт</t>
        </is>
      </c>
      <c r="F61" s="80" t="n">
        <v>4</v>
      </c>
      <c r="G61" s="152" t="n">
        <v>212.8</v>
      </c>
      <c r="H61" s="152">
        <f>ROUND(F61*G61,2)</f>
        <v/>
      </c>
    </row>
    <row r="62">
      <c r="A62" s="189">
        <f>A61+1</f>
        <v/>
      </c>
      <c r="B62" s="206" t="n"/>
      <c r="C62" s="80" t="inlineStr">
        <is>
          <t>Прайс из СД ОП</t>
        </is>
      </c>
      <c r="D62" s="154" t="inlineStr">
        <is>
          <t xml:space="preserve">Выключатель автоматический С60N-2р </t>
        </is>
      </c>
      <c r="E62" s="80" t="inlineStr">
        <is>
          <t>шт</t>
        </is>
      </c>
      <c r="F62" s="80" t="n">
        <v>2</v>
      </c>
      <c r="G62" s="152" t="n">
        <v>326.2</v>
      </c>
      <c r="H62" s="152">
        <f>ROUND(F62*G62,2)</f>
        <v/>
      </c>
    </row>
    <row r="63">
      <c r="A63" s="189">
        <f>A62+1</f>
        <v/>
      </c>
      <c r="B63" s="206" t="n"/>
      <c r="C63" s="80" t="inlineStr">
        <is>
          <t>Прайс из СД ОП</t>
        </is>
      </c>
      <c r="D63" s="154" t="inlineStr">
        <is>
          <t xml:space="preserve">Реле указательное РУ21-1/0,025       </t>
        </is>
      </c>
      <c r="E63" s="80" t="inlineStr">
        <is>
          <t>шт</t>
        </is>
      </c>
      <c r="F63" s="80" t="n">
        <v>4</v>
      </c>
      <c r="G63" s="152" t="n">
        <v>156.6</v>
      </c>
      <c r="H63" s="152">
        <f>ROUND(F63*G63,2)</f>
        <v/>
      </c>
    </row>
    <row r="64">
      <c r="A64" s="189">
        <f>A63+1</f>
        <v/>
      </c>
      <c r="B64" s="206" t="n"/>
      <c r="C64" s="80" t="inlineStr">
        <is>
          <t>Прайс из СД ОП</t>
        </is>
      </c>
      <c r="D64" s="154" t="inlineStr">
        <is>
          <t xml:space="preserve">Переключатель кулачковый 4G10-10-U-R014 </t>
        </is>
      </c>
      <c r="E64" s="80" t="inlineStr">
        <is>
          <t>шт</t>
        </is>
      </c>
      <c r="F64" s="80" t="n">
        <v>4</v>
      </c>
      <c r="G64" s="152" t="n">
        <v>98.87</v>
      </c>
      <c r="H64" s="152">
        <f>ROUND(F64*G64,2)</f>
        <v/>
      </c>
    </row>
    <row r="65">
      <c r="A65" s="189">
        <f>A64+1</f>
        <v/>
      </c>
      <c r="B65" s="206" t="n"/>
      <c r="C65" s="80" t="inlineStr">
        <is>
          <t>Прайс из СД ОП</t>
        </is>
      </c>
      <c r="D65" s="154" t="inlineStr">
        <is>
          <t xml:space="preserve">Вольтметр 10000/100В </t>
        </is>
      </c>
      <c r="E65" s="80" t="inlineStr">
        <is>
          <t>шт</t>
        </is>
      </c>
      <c r="F65" s="80" t="n">
        <v>2</v>
      </c>
      <c r="G65" s="152" t="n">
        <v>169.39</v>
      </c>
      <c r="H65" s="152">
        <f>ROUND(F65*G65,2)</f>
        <v/>
      </c>
    </row>
    <row r="66">
      <c r="A66" s="189">
        <f>A65+1</f>
        <v/>
      </c>
      <c r="B66" s="206" t="n"/>
      <c r="C66" s="80" t="inlineStr">
        <is>
          <t>Прайс из СД ОП</t>
        </is>
      </c>
      <c r="D66" s="154" t="inlineStr">
        <is>
          <t xml:space="preserve">Переключатель кулачковый 4G10-100-U-R014 </t>
        </is>
      </c>
      <c r="E66" s="80" t="inlineStr">
        <is>
          <t>шт</t>
        </is>
      </c>
      <c r="F66" s="80" t="n">
        <v>2</v>
      </c>
      <c r="G66" s="152" t="n">
        <v>103.9</v>
      </c>
      <c r="H66" s="152">
        <f>ROUND(F66*G66,2)</f>
        <v/>
      </c>
    </row>
    <row r="67">
      <c r="A67" s="189">
        <f>A66+1</f>
        <v/>
      </c>
      <c r="B67" s="206" t="n"/>
      <c r="C67" s="80" t="inlineStr">
        <is>
          <t>Прайс из СД ОП</t>
        </is>
      </c>
      <c r="D67" s="154" t="inlineStr">
        <is>
          <t xml:space="preserve">Колодка монтажная     </t>
        </is>
      </c>
      <c r="E67" s="80" t="inlineStr">
        <is>
          <t>шт</t>
        </is>
      </c>
      <c r="F67" s="80" t="n">
        <v>46</v>
      </c>
      <c r="G67" s="152" t="n">
        <v>3</v>
      </c>
      <c r="H67" s="152">
        <f>ROUND(F67*G67,2)</f>
        <v/>
      </c>
    </row>
    <row r="68">
      <c r="A68" s="189">
        <f>A67+1</f>
        <v/>
      </c>
      <c r="B68" s="206" t="n"/>
      <c r="C68" s="80" t="inlineStr">
        <is>
          <t>Прайс из СД ОП</t>
        </is>
      </c>
      <c r="D68" s="154" t="inlineStr">
        <is>
          <t xml:space="preserve">Диод выпрямительный КД-205А     </t>
        </is>
      </c>
      <c r="E68" s="80" t="inlineStr">
        <is>
          <t>шт</t>
        </is>
      </c>
      <c r="F68" s="80" t="n">
        <v>34</v>
      </c>
      <c r="G68" s="152" t="n">
        <v>2.7</v>
      </c>
      <c r="H68" s="152">
        <f>ROUND(F68*G68,2)</f>
        <v/>
      </c>
    </row>
    <row r="69">
      <c r="A69" s="189">
        <f>A68+1</f>
        <v/>
      </c>
      <c r="B69" s="206" t="n"/>
      <c r="C69" s="80" t="inlineStr">
        <is>
          <t>Прайс из СД ОП</t>
        </is>
      </c>
      <c r="D69" s="154" t="inlineStr">
        <is>
          <t xml:space="preserve">Блок зажимов на 12 клемм  </t>
        </is>
      </c>
      <c r="E69" s="80" t="inlineStr">
        <is>
          <t>шт</t>
        </is>
      </c>
      <c r="F69" s="80" t="n">
        <v>2</v>
      </c>
      <c r="G69" s="152" t="n">
        <v>41.1</v>
      </c>
      <c r="H69" s="152">
        <f>ROUND(F69*G69,2)</f>
        <v/>
      </c>
    </row>
    <row r="70">
      <c r="A70" s="206" t="inlineStr">
        <is>
          <t>Материалы</t>
        </is>
      </c>
      <c r="B70" s="238" t="n"/>
      <c r="C70" s="238" t="n"/>
      <c r="D70" s="238" t="n"/>
      <c r="E70" s="239" t="n"/>
      <c r="F70" s="56" t="n"/>
      <c r="G70" s="56" t="n"/>
      <c r="H70" s="55">
        <f>SUM(H71:H120)</f>
        <v/>
      </c>
      <c r="K70" s="149" t="n"/>
    </row>
    <row r="71">
      <c r="A71" s="189">
        <f>A69+1</f>
        <v/>
      </c>
      <c r="B71" s="24" t="n"/>
      <c r="C71" s="80" t="inlineStr">
        <is>
          <t>20.1.02.04-0002</t>
        </is>
      </c>
      <c r="D71" s="211" t="inlineStr">
        <is>
          <t>Клемма проходная WDU 2,5</t>
        </is>
      </c>
      <c r="E71" s="212" t="inlineStr">
        <is>
          <t>100 шт</t>
        </is>
      </c>
      <c r="F71" s="212" t="inlineStr">
        <is>
          <t>76</t>
        </is>
      </c>
      <c r="G71" s="152" t="n">
        <v>884</v>
      </c>
      <c r="H71" s="152">
        <f>ROUND(F71*G71,2)</f>
        <v/>
      </c>
    </row>
    <row r="72">
      <c r="A72" s="189">
        <f>A71+1</f>
        <v/>
      </c>
      <c r="B72" s="24" t="n"/>
      <c r="C72" s="80" t="inlineStr">
        <is>
          <t>01.7.15.07-0014</t>
        </is>
      </c>
      <c r="D72" s="211" t="inlineStr">
        <is>
          <t>Дюбели распорные полипропиленовые</t>
        </is>
      </c>
      <c r="E72" s="212" t="inlineStr">
        <is>
          <t>100 шт</t>
        </is>
      </c>
      <c r="F72" s="212" t="inlineStr">
        <is>
          <t>212,14</t>
        </is>
      </c>
      <c r="G72" s="152" t="n">
        <v>86</v>
      </c>
      <c r="H72" s="152">
        <f>ROUND(F72*G72,2)</f>
        <v/>
      </c>
    </row>
    <row r="73" ht="25.5" customHeight="1" s="158">
      <c r="A73" s="189">
        <f>A72+1</f>
        <v/>
      </c>
      <c r="B73" s="24" t="n"/>
      <c r="C73" s="80" t="inlineStr">
        <is>
          <t>21.2.03.05-0084</t>
        </is>
      </c>
      <c r="D73" s="211" t="inlineStr">
        <is>
          <t>Провод силовой установочный с медными жилами ППВ 2х1,5-450</t>
        </is>
      </c>
      <c r="E73" s="212" t="inlineStr">
        <is>
          <t>1000 м</t>
        </is>
      </c>
      <c r="F73" s="212" t="inlineStr">
        <is>
          <t>5,814</t>
        </is>
      </c>
      <c r="G73" s="152" t="n">
        <v>2567.03</v>
      </c>
      <c r="H73" s="152">
        <f>ROUND(F73*G73,2)</f>
        <v/>
      </c>
    </row>
    <row r="74" ht="25.5" customHeight="1" s="158">
      <c r="A74" s="189">
        <f>A73+1</f>
        <v/>
      </c>
      <c r="B74" s="24" t="n"/>
      <c r="C74" s="80" t="inlineStr">
        <is>
          <t>05.1.05.01-0021</t>
        </is>
      </c>
      <c r="D74" s="211" t="inlineStr">
        <is>
          <t>Балки фундаментные 2БФ 60-2, бетон B25, объем 0,40 м3, расход арматуры 60,6 кг</t>
        </is>
      </c>
      <c r="E74" s="212" t="inlineStr">
        <is>
          <t>шт</t>
        </is>
      </c>
      <c r="F74" s="212" t="inlineStr">
        <is>
          <t>6</t>
        </is>
      </c>
      <c r="G74" s="152" t="n">
        <v>1028.46</v>
      </c>
      <c r="H74" s="152">
        <f>ROUND(F74*G74,2)</f>
        <v/>
      </c>
    </row>
    <row r="75" ht="51" customHeight="1" s="158">
      <c r="A75" s="189">
        <f>A74+1</f>
        <v/>
      </c>
      <c r="B75" s="24" t="n"/>
      <c r="C75" s="80" t="inlineStr">
        <is>
          <t>21.2.03.05-0086</t>
        </is>
      </c>
      <c r="D75" s="211" t="inlineStr">
        <is>
          <t>Провода силовые для электрических установок на напряжение до 450 В с медными жилами плоские с разделитель-ным основанием марки: ППВ, с числом жил - 2 и сечением 2,5 мм2</t>
        </is>
      </c>
      <c r="E75" s="212" t="inlineStr">
        <is>
          <t>1000 м</t>
        </is>
      </c>
      <c r="F75" s="212" t="n">
        <v>0.765</v>
      </c>
      <c r="G75" s="152" t="n">
        <v>4037.16</v>
      </c>
      <c r="H75" s="152">
        <f>ROUND(F75*G75,2)</f>
        <v/>
      </c>
    </row>
    <row r="76" ht="25.5" customHeight="1" s="158">
      <c r="A76" s="189">
        <f>A75+1</f>
        <v/>
      </c>
      <c r="B76" s="24" t="n"/>
      <c r="C76" s="80" t="inlineStr">
        <is>
          <t>999-9950</t>
        </is>
      </c>
      <c r="D76" s="211" t="inlineStr">
        <is>
          <t>Вспомогательные ненормируемые ресурсы (2% от Оплаты труда рабочих)</t>
        </is>
      </c>
      <c r="E76" s="212" t="inlineStr">
        <is>
          <t>руб.</t>
        </is>
      </c>
      <c r="F76" s="212" t="n">
        <v>1859.7421</v>
      </c>
      <c r="G76" s="152" t="n">
        <v>1</v>
      </c>
      <c r="H76" s="152">
        <f>ROUND(F76*G76,2)</f>
        <v/>
      </c>
    </row>
    <row r="77">
      <c r="A77" s="189">
        <f>A76+1</f>
        <v/>
      </c>
      <c r="B77" s="24" t="n"/>
      <c r="C77" s="80" t="inlineStr">
        <is>
          <t>01.3.01.07-0008</t>
        </is>
      </c>
      <c r="D77" s="211" t="inlineStr">
        <is>
          <t>Спирт этиловый ректификованный технический, сорт I</t>
        </is>
      </c>
      <c r="E77" s="212" t="inlineStr">
        <is>
          <t>т</t>
        </is>
      </c>
      <c r="F77" s="212" t="n">
        <v>0.0288</v>
      </c>
      <c r="G77" s="152" t="n">
        <v>38890</v>
      </c>
      <c r="H77" s="152">
        <f>ROUND(F77*G77,2)</f>
        <v/>
      </c>
    </row>
    <row r="78">
      <c r="A78" s="189">
        <f>A77+1</f>
        <v/>
      </c>
      <c r="B78" s="24" t="n"/>
      <c r="C78" s="80" t="inlineStr">
        <is>
          <t>01.7.15.14-0161</t>
        </is>
      </c>
      <c r="D78" s="211" t="inlineStr">
        <is>
          <t>Шурупы с полукруглой головкой: 2,5х20 мм</t>
        </is>
      </c>
      <c r="E78" s="212" t="inlineStr">
        <is>
          <t>т</t>
        </is>
      </c>
      <c r="F78" s="212" t="n">
        <v>0.0333</v>
      </c>
      <c r="G78" s="152" t="n">
        <v>29800</v>
      </c>
      <c r="H78" s="152">
        <f>ROUND(F78*G78,2)</f>
        <v/>
      </c>
    </row>
    <row r="79" ht="25.5" customHeight="1" s="158">
      <c r="A79" s="189">
        <f>A78+1</f>
        <v/>
      </c>
      <c r="B79" s="24" t="n"/>
      <c r="C79" s="80" t="inlineStr">
        <is>
          <t>07.2.07.04-0007</t>
        </is>
      </c>
      <c r="D79" s="211" t="inlineStr">
        <is>
          <t>Конструкции стальные индивидуальные: решетчатые сварные массой до 0,1 т</t>
        </is>
      </c>
      <c r="E79" s="212" t="inlineStr">
        <is>
          <t>т</t>
        </is>
      </c>
      <c r="F79" s="212" t="n">
        <v>0.0772</v>
      </c>
      <c r="G79" s="152" t="n">
        <v>11500</v>
      </c>
      <c r="H79" s="152">
        <f>ROUND(F79*G79,2)</f>
        <v/>
      </c>
    </row>
    <row r="80">
      <c r="A80" s="189">
        <f>A79+1</f>
        <v/>
      </c>
      <c r="B80" s="24" t="n"/>
      <c r="C80" s="80" t="inlineStr">
        <is>
          <t>20.1.01.02-0067</t>
        </is>
      </c>
      <c r="D80" s="211" t="inlineStr">
        <is>
          <t>Зажим аппаратный прессуемый: А4А-400-2</t>
        </is>
      </c>
      <c r="E80" s="212" t="inlineStr">
        <is>
          <t>100 шт</t>
        </is>
      </c>
      <c r="F80" s="212" t="n">
        <v>0.1339</v>
      </c>
      <c r="G80" s="152" t="n">
        <v>6505</v>
      </c>
      <c r="H80" s="152">
        <f>ROUND(F80*G80,2)</f>
        <v/>
      </c>
    </row>
    <row r="81">
      <c r="A81" s="189">
        <f>A80+1</f>
        <v/>
      </c>
      <c r="B81" s="24" t="n"/>
      <c r="C81" s="80" t="inlineStr">
        <is>
          <t>01.7.15.14-0165</t>
        </is>
      </c>
      <c r="D81" s="211" t="inlineStr">
        <is>
          <t>Шурупы с полукруглой головкой: 4x40 мм</t>
        </is>
      </c>
      <c r="E81" s="212" t="inlineStr">
        <is>
          <t>т</t>
        </is>
      </c>
      <c r="F81" s="212" t="n">
        <v>0.0624</v>
      </c>
      <c r="G81" s="152" t="n">
        <v>12430</v>
      </c>
      <c r="H81" s="152">
        <f>ROUND(F81*G81,2)</f>
        <v/>
      </c>
    </row>
    <row r="82" ht="25.5" customHeight="1" s="158">
      <c r="A82" s="189">
        <f>A81+1</f>
        <v/>
      </c>
      <c r="B82" s="24" t="n"/>
      <c r="C82" s="80" t="inlineStr">
        <is>
          <t>01.7.06.05-0041</t>
        </is>
      </c>
      <c r="D82" s="211" t="inlineStr">
        <is>
          <t>Лента изоляционная прорезиненная односторонняя ширина 20 мм, толщина 0,25-0,35 мм</t>
        </is>
      </c>
      <c r="E82" s="212" t="inlineStr">
        <is>
          <t>кг</t>
        </is>
      </c>
      <c r="F82" s="212" t="n">
        <v>22.88</v>
      </c>
      <c r="G82" s="152" t="n">
        <v>30.4</v>
      </c>
      <c r="H82" s="152">
        <f>ROUND(F82*G82,2)</f>
        <v/>
      </c>
    </row>
    <row r="83">
      <c r="A83" s="189">
        <f>A82+1</f>
        <v/>
      </c>
      <c r="B83" s="24" t="n"/>
      <c r="C83" s="80" t="inlineStr">
        <is>
          <t>20.5.04.05-0002</t>
        </is>
      </c>
      <c r="D83" s="211" t="inlineStr">
        <is>
          <t>Зажим ответвительный: ОА-400-2</t>
        </is>
      </c>
      <c r="E83" s="212" t="inlineStr">
        <is>
          <t>100 шт</t>
        </is>
      </c>
      <c r="F83" s="212" t="n">
        <v>0.0721</v>
      </c>
      <c r="G83" s="152" t="n">
        <v>8920</v>
      </c>
      <c r="H83" s="152">
        <f>ROUND(F83*G83,2)</f>
        <v/>
      </c>
    </row>
    <row r="84">
      <c r="A84" s="189">
        <f>A83+1</f>
        <v/>
      </c>
      <c r="B84" s="24" t="n"/>
      <c r="C84" s="80" t="inlineStr">
        <is>
          <t>20.1.01.07-0003</t>
        </is>
      </c>
      <c r="D84" s="211" t="inlineStr">
        <is>
          <t>Зажим опорный: 2АА-6-3</t>
        </is>
      </c>
      <c r="E84" s="212" t="inlineStr">
        <is>
          <t>шт</t>
        </is>
      </c>
      <c r="F84" s="212" t="n">
        <v>13.39</v>
      </c>
      <c r="G84" s="152" t="n">
        <v>42.77</v>
      </c>
      <c r="H84" s="152">
        <f>ROUND(F84*G84,2)</f>
        <v/>
      </c>
    </row>
    <row r="85">
      <c r="A85" s="189">
        <f>A84+1</f>
        <v/>
      </c>
      <c r="B85" s="24" t="n"/>
      <c r="C85" s="80" t="inlineStr">
        <is>
          <t>01.7.15.03-0042</t>
        </is>
      </c>
      <c r="D85" s="211" t="inlineStr">
        <is>
          <t>Болты с гайками и шайбами строительные</t>
        </is>
      </c>
      <c r="E85" s="212" t="inlineStr">
        <is>
          <t>кг</t>
        </is>
      </c>
      <c r="F85" s="212" t="n">
        <v>62.5424</v>
      </c>
      <c r="G85" s="152" t="n">
        <v>9.039999999999999</v>
      </c>
      <c r="H85" s="152">
        <f>ROUND(F85*G85,2)</f>
        <v/>
      </c>
    </row>
    <row r="86" ht="38.25" customHeight="1" s="158">
      <c r="A86" s="189">
        <f>A85+1</f>
        <v/>
      </c>
      <c r="B86" s="24" t="n"/>
      <c r="C86" s="80" t="inlineStr">
        <is>
          <t>08.3.06.01-0003</t>
        </is>
      </c>
      <c r="D86" s="211" t="inlineStr">
        <is>
          <t>Прокат рифленый ромбического рифления, шириной от 1 до 1,9 м из горячекатаных листов с обрезными кромками сталь С235, толщиной: 4 мм</t>
        </is>
      </c>
      <c r="E86" s="212" t="inlineStr">
        <is>
          <t>т</t>
        </is>
      </c>
      <c r="F86" s="212" t="n">
        <v>0.056</v>
      </c>
      <c r="G86" s="152" t="n">
        <v>6834.81</v>
      </c>
      <c r="H86" s="152">
        <f>ROUND(F86*G86,2)</f>
        <v/>
      </c>
    </row>
    <row r="87">
      <c r="A87" s="189">
        <f>A86+1</f>
        <v/>
      </c>
      <c r="B87" s="24" t="n"/>
      <c r="C87" s="80" t="inlineStr">
        <is>
          <t>08.3.11.01-0049</t>
        </is>
      </c>
      <c r="D87" s="211" t="inlineStr">
        <is>
          <t>Швеллеры: № 10 сталь марки Ст3пс</t>
        </is>
      </c>
      <c r="E87" s="212" t="inlineStr">
        <is>
          <t>т</t>
        </is>
      </c>
      <c r="F87" s="212" t="n">
        <v>0.07216</v>
      </c>
      <c r="G87" s="152" t="n">
        <v>4900</v>
      </c>
      <c r="H87" s="152">
        <f>ROUND(F87*G87,2)</f>
        <v/>
      </c>
    </row>
    <row r="88">
      <c r="A88" s="189">
        <f>A87+1</f>
        <v/>
      </c>
      <c r="B88" s="24" t="n"/>
      <c r="C88" s="80" t="inlineStr">
        <is>
          <t>07.2.07.13-0171</t>
        </is>
      </c>
      <c r="D88" s="211" t="inlineStr">
        <is>
          <t>Подкладки металлические</t>
        </is>
      </c>
      <c r="E88" s="212" t="inlineStr">
        <is>
          <t>кг</t>
        </is>
      </c>
      <c r="F88" s="212" t="n">
        <v>24</v>
      </c>
      <c r="G88" s="152" t="n">
        <v>12.6</v>
      </c>
      <c r="H88" s="152">
        <f>ROUND(F88*G88,2)</f>
        <v/>
      </c>
    </row>
    <row r="89">
      <c r="A89" s="189">
        <f>A88+1</f>
        <v/>
      </c>
      <c r="B89" s="24" t="n"/>
      <c r="C89" s="80" t="inlineStr">
        <is>
          <t>20.1.01.02-0038</t>
        </is>
      </c>
      <c r="D89" s="211" t="inlineStr">
        <is>
          <t>Зажим аппаратный прессуемый: А1А-50-2</t>
        </is>
      </c>
      <c r="E89" s="212" t="inlineStr">
        <is>
          <t>100 шт</t>
        </is>
      </c>
      <c r="F89" s="212" t="n">
        <v>0.1339</v>
      </c>
      <c r="G89" s="152" t="n">
        <v>1614</v>
      </c>
      <c r="H89" s="152">
        <f>ROUND(F89*G89,2)</f>
        <v/>
      </c>
    </row>
    <row r="90">
      <c r="A90" s="189">
        <f>A89+1</f>
        <v/>
      </c>
      <c r="B90" s="24" t="n"/>
      <c r="C90" s="80" t="inlineStr">
        <is>
          <t>01.7.15.03-0038</t>
        </is>
      </c>
      <c r="D90" s="211" t="inlineStr">
        <is>
          <t>Болты с гайками и шайбами оцинкованные</t>
        </is>
      </c>
      <c r="E90" s="212" t="inlineStr">
        <is>
          <t>кг</t>
        </is>
      </c>
      <c r="F90" s="212" t="n">
        <v>8.199999999999999</v>
      </c>
      <c r="G90" s="152" t="n">
        <v>24.57</v>
      </c>
      <c r="H90" s="152">
        <f>ROUND(F90*G90,2)</f>
        <v/>
      </c>
    </row>
    <row r="91">
      <c r="A91" s="189">
        <f>A90+1</f>
        <v/>
      </c>
      <c r="B91" s="24" t="n"/>
      <c r="C91" s="80" t="inlineStr">
        <is>
          <t>02.3.01.02-0015</t>
        </is>
      </c>
      <c r="D91" s="211" t="inlineStr">
        <is>
          <t>Песок природный для строительных: работ средний</t>
        </is>
      </c>
      <c r="E91" s="212" t="inlineStr">
        <is>
          <t>м3</t>
        </is>
      </c>
      <c r="F91" s="212" t="n">
        <v>2.4</v>
      </c>
      <c r="G91" s="152" t="n">
        <v>55.26</v>
      </c>
      <c r="H91" s="152">
        <f>ROUND(F91*G91,2)</f>
        <v/>
      </c>
    </row>
    <row r="92">
      <c r="A92" s="189">
        <f>A91+1</f>
        <v/>
      </c>
      <c r="B92" s="24" t="n"/>
      <c r="C92" s="80" t="inlineStr">
        <is>
          <t>20.1.02.23-0082</t>
        </is>
      </c>
      <c r="D92" s="211" t="inlineStr">
        <is>
          <t>Перемычки гибкие, тип ПГС-50</t>
        </is>
      </c>
      <c r="E92" s="212" t="inlineStr">
        <is>
          <t>10 шт</t>
        </is>
      </c>
      <c r="F92" s="212" t="n">
        <v>2.5996</v>
      </c>
      <c r="G92" s="152" t="n">
        <v>39</v>
      </c>
      <c r="H92" s="152">
        <f>ROUND(F92*G92,2)</f>
        <v/>
      </c>
    </row>
    <row r="93">
      <c r="A93" s="189">
        <f>A92+1</f>
        <v/>
      </c>
      <c r="B93" s="24" t="n"/>
      <c r="C93" s="80" t="inlineStr">
        <is>
          <t>04.1.02.01-0006</t>
        </is>
      </c>
      <c r="D93" s="211" t="inlineStr">
        <is>
          <t>Бетон мелкозернистый, класс: В15 (М200)</t>
        </is>
      </c>
      <c r="E93" s="212" t="inlineStr">
        <is>
          <t>м3</t>
        </is>
      </c>
      <c r="F93" s="212" t="n">
        <v>0.1704</v>
      </c>
      <c r="G93" s="152" t="n">
        <v>490</v>
      </c>
      <c r="H93" s="152">
        <f>ROUND(F93*G93,2)</f>
        <v/>
      </c>
    </row>
    <row r="94" ht="25.5" customHeight="1" s="158">
      <c r="A94" s="189">
        <f>A93+1</f>
        <v/>
      </c>
      <c r="B94" s="24" t="n"/>
      <c r="C94" s="80" t="inlineStr">
        <is>
          <t>08.3.08.02-0052</t>
        </is>
      </c>
      <c r="D94" s="211" t="inlineStr">
        <is>
          <t>Сталь угловая равнополочная, марка стали: ВСт3кп2, размером 50x50x5 мм</t>
        </is>
      </c>
      <c r="E94" s="212" t="inlineStr">
        <is>
          <t>т</t>
        </is>
      </c>
      <c r="F94" s="212" t="n">
        <v>0.0126</v>
      </c>
      <c r="G94" s="152" t="n">
        <v>5763</v>
      </c>
      <c r="H94" s="152">
        <f>ROUND(F94*G94,2)</f>
        <v/>
      </c>
    </row>
    <row r="95" ht="25.5" customHeight="1" s="158">
      <c r="A95" s="189">
        <f>A94+1</f>
        <v/>
      </c>
      <c r="B95" s="24" t="n"/>
      <c r="C95" s="80" t="inlineStr">
        <is>
          <t>01.3.01.06-0050</t>
        </is>
      </c>
      <c r="D95" s="211" t="inlineStr">
        <is>
          <t>Смазка универсальная тугоплавкая УТ (консталин жировой)</t>
        </is>
      </c>
      <c r="E95" s="212" t="inlineStr">
        <is>
          <t>т</t>
        </is>
      </c>
      <c r="F95" s="212" t="n">
        <v>0.0041</v>
      </c>
      <c r="G95" s="152" t="n">
        <v>17500</v>
      </c>
      <c r="H95" s="152">
        <f>ROUND(F95*G95,2)</f>
        <v/>
      </c>
    </row>
    <row r="96">
      <c r="A96" s="189">
        <f>A95+1</f>
        <v/>
      </c>
      <c r="B96" s="24" t="n"/>
      <c r="C96" s="80" t="inlineStr">
        <is>
          <t>14.4.02.09-0001</t>
        </is>
      </c>
      <c r="D96" s="211" t="inlineStr">
        <is>
          <t>Краска</t>
        </is>
      </c>
      <c r="E96" s="212" t="inlineStr">
        <is>
          <t>кг</t>
        </is>
      </c>
      <c r="F96" s="212" t="n">
        <v>2.4</v>
      </c>
      <c r="G96" s="152" t="n">
        <v>28.6</v>
      </c>
      <c r="H96" s="152">
        <f>ROUND(F96*G96,2)</f>
        <v/>
      </c>
    </row>
    <row r="97" ht="25.5" customHeight="1" s="158">
      <c r="A97" s="189">
        <f>A96+1</f>
        <v/>
      </c>
      <c r="B97" s="24" t="n"/>
      <c r="C97" s="80" t="inlineStr">
        <is>
          <t>08.3.07.01-0076</t>
        </is>
      </c>
      <c r="D97" s="211" t="inlineStr">
        <is>
          <t>Сталь полосовая, марка стали: Ст3сп шириной 50-200 мм толщиной 4-5 мм</t>
        </is>
      </c>
      <c r="E97" s="212" t="inlineStr">
        <is>
          <t>т</t>
        </is>
      </c>
      <c r="F97" s="212" t="n">
        <v>0.012</v>
      </c>
      <c r="G97" s="152" t="n">
        <v>5000</v>
      </c>
      <c r="H97" s="152">
        <f>ROUND(F97*G97,2)</f>
        <v/>
      </c>
    </row>
    <row r="98" ht="25.5" customHeight="1" s="158">
      <c r="A98" s="189">
        <f>A97+1</f>
        <v/>
      </c>
      <c r="B98" s="24" t="n"/>
      <c r="C98" s="80" t="inlineStr">
        <is>
          <t>14.4.02.04-0221</t>
        </is>
      </c>
      <c r="D98" s="211" t="inlineStr">
        <is>
          <t>Краски масляные и алкидные, готовые к применению белила цинковые: МА-15</t>
        </is>
      </c>
      <c r="E98" s="212" t="inlineStr">
        <is>
          <t>т</t>
        </is>
      </c>
      <c r="F98" s="212" t="n">
        <v>0.0019</v>
      </c>
      <c r="G98" s="152" t="n">
        <v>26932.42</v>
      </c>
      <c r="H98" s="152">
        <f>ROUND(F98*G98,2)</f>
        <v/>
      </c>
    </row>
    <row r="99">
      <c r="A99" s="189">
        <f>A98+1</f>
        <v/>
      </c>
      <c r="B99" s="24" t="n"/>
      <c r="C99" s="80" t="inlineStr">
        <is>
          <t>08.3.11.01-0057</t>
        </is>
      </c>
      <c r="D99" s="211" t="inlineStr">
        <is>
          <t>Швеллеры: № 16 сталь марки Ст3пс</t>
        </is>
      </c>
      <c r="E99" s="212" t="inlineStr">
        <is>
          <t>т</t>
        </is>
      </c>
      <c r="F99" s="212" t="n">
        <v>0.01023</v>
      </c>
      <c r="G99" s="152" t="n">
        <v>4800</v>
      </c>
      <c r="H99" s="152">
        <f>ROUND(F99*G99,2)</f>
        <v/>
      </c>
    </row>
    <row r="100">
      <c r="A100" s="189">
        <f>A99+1</f>
        <v/>
      </c>
      <c r="B100" s="24" t="n"/>
      <c r="C100" s="80" t="inlineStr">
        <is>
          <t>10.1.02.03-0001</t>
        </is>
      </c>
      <c r="D100" s="211" t="inlineStr">
        <is>
          <t>Проволока алюминиевая (АМЦ) диаметром 1,4-1,8 мм</t>
        </is>
      </c>
      <c r="E100" s="212" t="inlineStr">
        <is>
          <t>т</t>
        </is>
      </c>
      <c r="F100" s="212" t="n">
        <v>0.0015</v>
      </c>
      <c r="G100" s="152" t="n">
        <v>30090</v>
      </c>
      <c r="H100" s="152">
        <f>ROUND(F100*G100,2)</f>
        <v/>
      </c>
    </row>
    <row r="101">
      <c r="A101" s="189">
        <f>A100+1</f>
        <v/>
      </c>
      <c r="B101" s="24" t="n"/>
      <c r="C101" s="80" t="inlineStr">
        <is>
          <t>01.7.06.07-0003</t>
        </is>
      </c>
      <c r="D101" s="211" t="inlineStr">
        <is>
          <t>Лента с запонками ЛМЗ</t>
        </is>
      </c>
      <c r="E101" s="212" t="inlineStr">
        <is>
          <t>100 м</t>
        </is>
      </c>
      <c r="F101" s="212" t="n">
        <v>0.3</v>
      </c>
      <c r="G101" s="152" t="n">
        <v>126</v>
      </c>
      <c r="H101" s="152">
        <f>ROUND(F101*G101,2)</f>
        <v/>
      </c>
    </row>
    <row r="102">
      <c r="A102" s="189">
        <f>A101+1</f>
        <v/>
      </c>
      <c r="B102" s="24" t="n"/>
      <c r="C102" s="80" t="inlineStr">
        <is>
          <t>01.7.20.08-0102</t>
        </is>
      </c>
      <c r="D102" s="211" t="inlineStr">
        <is>
          <t>Миткаль «Т-2» суровый (суровье)</t>
        </is>
      </c>
      <c r="E102" s="212" t="inlineStr">
        <is>
          <t>10 м</t>
        </is>
      </c>
      <c r="F102" s="212" t="n">
        <v>0.36</v>
      </c>
      <c r="G102" s="152" t="n">
        <v>73.65000000000001</v>
      </c>
      <c r="H102" s="152">
        <f>ROUND(F102*G102,2)</f>
        <v/>
      </c>
    </row>
    <row r="103" ht="25.5" customHeight="1" s="158">
      <c r="A103" s="189">
        <f>A102+1</f>
        <v/>
      </c>
      <c r="B103" s="24" t="n"/>
      <c r="C103" s="80" t="inlineStr">
        <is>
          <t>01.7.15.03-0034</t>
        </is>
      </c>
      <c r="D103" s="211" t="inlineStr">
        <is>
          <t>Болты с гайками и шайбами оцинкованные, диаметр: 12 мм</t>
        </is>
      </c>
      <c r="E103" s="212" t="inlineStr">
        <is>
          <t>кг</t>
        </is>
      </c>
      <c r="F103" s="212" t="n">
        <v>0.9512</v>
      </c>
      <c r="G103" s="152" t="n">
        <v>25.76</v>
      </c>
      <c r="H103" s="152">
        <f>ROUND(F103*G103,2)</f>
        <v/>
      </c>
    </row>
    <row r="104">
      <c r="A104" s="189">
        <f>A103+1</f>
        <v/>
      </c>
      <c r="B104" s="24" t="n"/>
      <c r="C104" s="80" t="inlineStr">
        <is>
          <t>11.2.13.04-0011</t>
        </is>
      </c>
      <c r="D104" s="211" t="inlineStr">
        <is>
          <t>Щиты: из досок толщиной 25 мм</t>
        </is>
      </c>
      <c r="E104" s="212" t="inlineStr">
        <is>
          <t>м2</t>
        </is>
      </c>
      <c r="F104" s="212" t="n">
        <v>0.6618000000000001</v>
      </c>
      <c r="G104" s="152" t="n">
        <v>35.53</v>
      </c>
      <c r="H104" s="152">
        <f>ROUND(F104*G104,2)</f>
        <v/>
      </c>
    </row>
    <row r="105">
      <c r="A105" s="80">
        <f>A104+1</f>
        <v/>
      </c>
      <c r="B105" s="24" t="n"/>
      <c r="C105" s="80" t="inlineStr">
        <is>
          <t>14.5.05.02-0001</t>
        </is>
      </c>
      <c r="D105" s="211" t="inlineStr">
        <is>
          <t>Олифа натуральная</t>
        </is>
      </c>
      <c r="E105" s="212" t="inlineStr">
        <is>
          <t>кг</t>
        </is>
      </c>
      <c r="F105" s="212" t="n">
        <v>0.7095</v>
      </c>
      <c r="G105" s="152" t="n">
        <v>32.6</v>
      </c>
      <c r="H105" s="152">
        <f>ROUND(F105*G105,2)</f>
        <v/>
      </c>
    </row>
    <row r="106">
      <c r="A106" s="80">
        <f>A105+1</f>
        <v/>
      </c>
      <c r="B106" s="24" t="n"/>
      <c r="C106" s="80" t="inlineStr">
        <is>
          <t>01.7.11.07-0032</t>
        </is>
      </c>
      <c r="D106" s="211" t="inlineStr">
        <is>
          <t>Электроды диаметром: 4 мм Э42</t>
        </is>
      </c>
      <c r="E106" s="212" t="inlineStr">
        <is>
          <t>т</t>
        </is>
      </c>
      <c r="F106" s="212" t="n">
        <v>0.002</v>
      </c>
      <c r="G106" s="152" t="n">
        <v>10315.01</v>
      </c>
      <c r="H106" s="152">
        <f>ROUND(F106*G106,2)</f>
        <v/>
      </c>
    </row>
    <row r="107">
      <c r="A107" s="80">
        <f>A106+1</f>
        <v/>
      </c>
      <c r="B107" s="24" t="n"/>
      <c r="C107" s="80" t="inlineStr">
        <is>
          <t>04.3.01.09-0012</t>
        </is>
      </c>
      <c r="D107" s="211" t="inlineStr">
        <is>
          <t>Раствор готовый кладочный цементный марки: 50</t>
        </is>
      </c>
      <c r="E107" s="212" t="inlineStr">
        <is>
          <t>м3</t>
        </is>
      </c>
      <c r="F107" s="212" t="n">
        <v>0.0312</v>
      </c>
      <c r="G107" s="152" t="n">
        <v>485.9</v>
      </c>
      <c r="H107" s="152">
        <f>ROUND(F107*G107,2)</f>
        <v/>
      </c>
    </row>
    <row r="108">
      <c r="A108" s="80">
        <f>A107+1</f>
        <v/>
      </c>
      <c r="B108" s="24" t="n"/>
      <c r="C108" s="80" t="inlineStr">
        <is>
          <t>25.2.02.11-0041</t>
        </is>
      </c>
      <c r="D108" s="211" t="inlineStr">
        <is>
          <t>Рамка для надписей 55х15 мм</t>
        </is>
      </c>
      <c r="E108" s="212" t="inlineStr">
        <is>
          <t>шт</t>
        </is>
      </c>
      <c r="F108" s="212" t="n">
        <v>40</v>
      </c>
      <c r="G108" s="152" t="n">
        <v>0.27</v>
      </c>
      <c r="H108" s="152">
        <f>ROUND(F108*G108,2)</f>
        <v/>
      </c>
    </row>
    <row r="109" ht="38.25" customHeight="1" s="158">
      <c r="A109" s="80">
        <f>A108+1</f>
        <v/>
      </c>
      <c r="B109" s="24" t="n"/>
      <c r="C109" s="80" t="inlineStr">
        <is>
          <t>21.2.01.02-0011</t>
        </is>
      </c>
      <c r="D109" s="211" t="inlineStr">
        <is>
          <t>Провода неизолированные для воздушных линий электропередачи алюминиевые марки: А, сечением 16 мм2 (0,043кг*6м=0,258кг)</t>
        </is>
      </c>
      <c r="E109" s="212" t="inlineStr">
        <is>
          <t>т</t>
        </is>
      </c>
      <c r="F109" s="212" t="n">
        <v>0.000265</v>
      </c>
      <c r="G109" s="152" t="n">
        <v>36101.85</v>
      </c>
      <c r="H109" s="152">
        <f>ROUND(F109*G109,2)</f>
        <v/>
      </c>
    </row>
    <row r="110">
      <c r="A110" s="80">
        <f>A109+1</f>
        <v/>
      </c>
      <c r="B110" s="24" t="n"/>
      <c r="C110" s="80" t="inlineStr">
        <is>
          <t>01.7.15.07-0031</t>
        </is>
      </c>
      <c r="D110" s="211" t="inlineStr">
        <is>
          <t>Дюбели распорные с гайкой</t>
        </is>
      </c>
      <c r="E110" s="212" t="inlineStr">
        <is>
          <t>100 шт</t>
        </is>
      </c>
      <c r="F110" s="212" t="n">
        <v>0.0618</v>
      </c>
      <c r="G110" s="152" t="n">
        <v>110</v>
      </c>
      <c r="H110" s="152">
        <f>ROUND(F110*G110,2)</f>
        <v/>
      </c>
    </row>
    <row r="111" ht="25.5" customHeight="1" s="158">
      <c r="A111" s="80">
        <f>A110+1</f>
        <v/>
      </c>
      <c r="B111" s="24" t="n"/>
      <c r="C111" s="80" t="inlineStr">
        <is>
          <t>03.2.01.01-0003</t>
        </is>
      </c>
      <c r="D111" s="211" t="inlineStr">
        <is>
          <t>Портландцемент общестроительного назначения бездобавочный, марки: 500</t>
        </is>
      </c>
      <c r="E111" s="212" t="inlineStr">
        <is>
          <t>т</t>
        </is>
      </c>
      <c r="F111" s="212" t="n">
        <v>0.0139</v>
      </c>
      <c r="G111" s="152" t="n">
        <v>480</v>
      </c>
      <c r="H111" s="152">
        <f>ROUND(F111*G111,2)</f>
        <v/>
      </c>
    </row>
    <row r="112">
      <c r="A112" s="80">
        <f>A111+1</f>
        <v/>
      </c>
      <c r="B112" s="24" t="n"/>
      <c r="C112" s="80" t="inlineStr">
        <is>
          <t>14.4.04.12-0014</t>
        </is>
      </c>
      <c r="D112" s="211" t="inlineStr">
        <is>
          <t>Эмаль эпоксидная: ЭП-1236</t>
        </is>
      </c>
      <c r="E112" s="212" t="inlineStr">
        <is>
          <t>т</t>
        </is>
      </c>
      <c r="F112" s="212" t="n">
        <v>0.0001</v>
      </c>
      <c r="G112" s="152" t="n">
        <v>36000</v>
      </c>
      <c r="H112" s="152">
        <f>ROUND(F112*G112,2)</f>
        <v/>
      </c>
    </row>
    <row r="113">
      <c r="A113" s="80">
        <f>A112+1</f>
        <v/>
      </c>
      <c r="B113" s="24" t="n"/>
      <c r="C113" s="80" t="inlineStr">
        <is>
          <t>01.7.15.06-0111</t>
        </is>
      </c>
      <c r="D113" s="211" t="inlineStr">
        <is>
          <t>Гвозди строительные</t>
        </is>
      </c>
      <c r="E113" s="212" t="inlineStr">
        <is>
          <t>т</t>
        </is>
      </c>
      <c r="F113" s="212" t="n">
        <v>0.0003</v>
      </c>
      <c r="G113" s="152" t="n">
        <v>11978</v>
      </c>
      <c r="H113" s="152">
        <f>ROUND(F113*G113,2)</f>
        <v/>
      </c>
    </row>
    <row r="114">
      <c r="A114" s="80">
        <f>A113+1</f>
        <v/>
      </c>
      <c r="B114" s="24" t="n"/>
      <c r="C114" s="80" t="inlineStr">
        <is>
          <t>01.7.11.07-0034</t>
        </is>
      </c>
      <c r="D114" s="211" t="inlineStr">
        <is>
          <t>Электроды диаметром: 4 мм Э42А</t>
        </is>
      </c>
      <c r="E114" s="212" t="inlineStr">
        <is>
          <t>кг</t>
        </is>
      </c>
      <c r="F114" s="212" t="n">
        <v>0.3242</v>
      </c>
      <c r="G114" s="152" t="n">
        <v>10.57</v>
      </c>
      <c r="H114" s="152">
        <f>ROUND(F114*G114,2)</f>
        <v/>
      </c>
    </row>
    <row r="115">
      <c r="A115" s="80">
        <f>A114+1</f>
        <v/>
      </c>
      <c r="B115" s="24" t="n"/>
      <c r="C115" s="80" t="inlineStr">
        <is>
          <t>14.5.09.11-0101</t>
        </is>
      </c>
      <c r="D115" s="211" t="inlineStr">
        <is>
          <t>Уайт-спирит</t>
        </is>
      </c>
      <c r="E115" s="212" t="inlineStr">
        <is>
          <t>т</t>
        </is>
      </c>
      <c r="F115" s="212" t="n">
        <v>0.0005</v>
      </c>
      <c r="G115" s="152" t="n">
        <v>6667</v>
      </c>
      <c r="H115" s="152">
        <f>ROUND(F115*G115,2)</f>
        <v/>
      </c>
    </row>
    <row r="116" ht="25.5" customHeight="1" s="158">
      <c r="A116" s="80">
        <f>A115+1</f>
        <v/>
      </c>
      <c r="B116" s="24" t="n"/>
      <c r="C116" s="80" t="inlineStr">
        <is>
          <t>11.1.03.06-0096</t>
        </is>
      </c>
      <c r="D116" s="211" t="inlineStr">
        <is>
          <t>Доски обрезные хвойных пород длиной: 4-6,5 м, шириной 75-150 мм, толщиной 44 мм и более, IV сорта</t>
        </is>
      </c>
      <c r="E116" s="212" t="inlineStr">
        <is>
          <t>м3</t>
        </is>
      </c>
      <c r="F116" s="212" t="n">
        <v>0.0039</v>
      </c>
      <c r="G116" s="152" t="n">
        <v>770</v>
      </c>
      <c r="H116" s="152">
        <f>ROUND(F116*G116,2)</f>
        <v/>
      </c>
    </row>
    <row r="117">
      <c r="A117" s="80">
        <f>A116+1</f>
        <v/>
      </c>
      <c r="B117" s="24" t="n"/>
      <c r="C117" s="80" t="inlineStr">
        <is>
          <t>14.4.04.09-0017</t>
        </is>
      </c>
      <c r="D117" s="211" t="inlineStr">
        <is>
          <t>Эмаль ХВ-124 защитная, зеленая</t>
        </is>
      </c>
      <c r="E117" s="212" t="inlineStr">
        <is>
          <t>т</t>
        </is>
      </c>
      <c r="F117" s="212" t="n">
        <v>0.0001</v>
      </c>
      <c r="G117" s="152" t="n">
        <v>28300.4</v>
      </c>
      <c r="H117" s="152">
        <f>ROUND(F117*G117,2)</f>
        <v/>
      </c>
    </row>
    <row r="118">
      <c r="A118" s="80">
        <f>A117+1</f>
        <v/>
      </c>
      <c r="B118" s="24" t="n"/>
      <c r="C118" s="80" t="inlineStr">
        <is>
          <t>01.1.02.08-0031</t>
        </is>
      </c>
      <c r="D118" s="211" t="inlineStr">
        <is>
          <t>Прокладки паронитовые</t>
        </is>
      </c>
      <c r="E118" s="212" t="inlineStr">
        <is>
          <t>кг</t>
        </is>
      </c>
      <c r="F118" s="212" t="n">
        <v>0.08400000000000001</v>
      </c>
      <c r="G118" s="152" t="n">
        <v>26.44</v>
      </c>
      <c r="H118" s="152">
        <f>ROUND(F118*G118,2)</f>
        <v/>
      </c>
    </row>
    <row r="119">
      <c r="A119" s="80">
        <f>A118+1</f>
        <v/>
      </c>
      <c r="B119" s="24" t="n"/>
      <c r="C119" s="80" t="inlineStr">
        <is>
          <t>01.7.03.01-0001</t>
        </is>
      </c>
      <c r="D119" s="211" t="inlineStr">
        <is>
          <t>Вода</t>
        </is>
      </c>
      <c r="E119" s="212" t="inlineStr">
        <is>
          <t>м3</t>
        </is>
      </c>
      <c r="F119" s="212" t="n">
        <v>0.3</v>
      </c>
      <c r="G119" s="152" t="n">
        <v>2.44</v>
      </c>
      <c r="H119" s="152">
        <f>ROUND(F119*G119,2)</f>
        <v/>
      </c>
    </row>
    <row r="120" ht="25.5" customHeight="1" s="158">
      <c r="A120" s="80">
        <f>A119+1</f>
        <v/>
      </c>
      <c r="B120" s="24" t="n"/>
      <c r="C120" s="80" t="inlineStr">
        <is>
          <t>02.3.01.02-0020</t>
        </is>
      </c>
      <c r="D120" s="211" t="inlineStr">
        <is>
          <t>Песок природный для строительных: растворов средний</t>
        </is>
      </c>
      <c r="E120" s="212" t="inlineStr">
        <is>
          <t>м3</t>
        </is>
      </c>
      <c r="F120" s="212" t="n">
        <v>0.0116</v>
      </c>
      <c r="G120" s="152" t="n">
        <v>59.99</v>
      </c>
      <c r="H120" s="152">
        <f>ROUND(F120*G120,2)</f>
        <v/>
      </c>
    </row>
    <row r="121">
      <c r="K121" s="143" t="n"/>
    </row>
    <row r="122" ht="25.5" customHeight="1" s="158">
      <c r="B122" s="146" t="inlineStr">
        <is>
          <t xml:space="preserve">Примечание: </t>
        </is>
      </c>
      <c r="C122" s="205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126">
      <c r="B126" s="172" t="inlineStr">
        <is>
          <t>Составил ______________________        Е.А. Князева</t>
        </is>
      </c>
      <c r="C126" s="175" t="n"/>
    </row>
    <row r="127">
      <c r="B127" s="174" t="inlineStr">
        <is>
          <t xml:space="preserve">                         (подпись, инициалы, фамилия)</t>
        </is>
      </c>
      <c r="C127" s="175" t="n"/>
    </row>
    <row r="128">
      <c r="B128" s="172" t="n"/>
      <c r="C128" s="175" t="n"/>
    </row>
    <row r="129">
      <c r="B129" s="172" t="inlineStr">
        <is>
          <t>Проверил ______________________        А.В. Костянецкая</t>
        </is>
      </c>
      <c r="C129" s="175" t="n"/>
    </row>
    <row r="130">
      <c r="B130" s="174" t="inlineStr">
        <is>
          <t xml:space="preserve">                        (подпись, инициалы, фамилия)</t>
        </is>
      </c>
      <c r="C130" s="175" t="n"/>
    </row>
  </sheetData>
  <mergeCells count="17">
    <mergeCell ref="A21:E21"/>
    <mergeCell ref="C9:C10"/>
    <mergeCell ref="B9:B10"/>
    <mergeCell ref="A3:H3"/>
    <mergeCell ref="E9:E10"/>
    <mergeCell ref="D9:D10"/>
    <mergeCell ref="A12:E12"/>
    <mergeCell ref="F9:F10"/>
    <mergeCell ref="A7:H7"/>
    <mergeCell ref="A9:A10"/>
    <mergeCell ref="C5:H5"/>
    <mergeCell ref="A2:H2"/>
    <mergeCell ref="A41:E41"/>
    <mergeCell ref="C122:H122"/>
    <mergeCell ref="A23:E23"/>
    <mergeCell ref="G9:H9"/>
    <mergeCell ref="A70:E70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D45" sqref="D45"/>
    </sheetView>
  </sheetViews>
  <sheetFormatPr baseColWidth="8" defaultRowHeight="15"/>
  <cols>
    <col width="4.140625" customWidth="1" style="158" min="1" max="1"/>
    <col width="36.28515625" customWidth="1" style="158" min="2" max="2"/>
    <col width="18.85546875" customWidth="1" style="158" min="3" max="3"/>
    <col width="18.28515625" customWidth="1" style="158" min="4" max="4"/>
    <col width="18.85546875" customWidth="1" style="158" min="5" max="5"/>
    <col width="9.140625" customWidth="1" style="158" min="6" max="6"/>
    <col width="12.85546875" customWidth="1" style="158" min="7" max="7"/>
    <col width="9.140625" customWidth="1" style="158" min="8" max="11"/>
    <col width="13.5703125" customWidth="1" style="158" min="12" max="12"/>
    <col width="9.140625" customWidth="1" style="158" min="13" max="13"/>
  </cols>
  <sheetData>
    <row r="1">
      <c r="B1" s="172" t="n"/>
      <c r="C1" s="172" t="n"/>
      <c r="D1" s="172" t="n"/>
      <c r="E1" s="172" t="n"/>
    </row>
    <row r="2">
      <c r="B2" s="172" t="n"/>
      <c r="C2" s="172" t="n"/>
      <c r="D2" s="172" t="n"/>
      <c r="E2" s="231" t="inlineStr">
        <is>
          <t>Приложение № 4</t>
        </is>
      </c>
    </row>
    <row r="3">
      <c r="B3" s="172" t="n"/>
      <c r="C3" s="172" t="n"/>
      <c r="D3" s="172" t="n"/>
      <c r="E3" s="172" t="n"/>
    </row>
    <row r="4">
      <c r="B4" s="172" t="n"/>
      <c r="C4" s="172" t="n"/>
      <c r="D4" s="172" t="n"/>
      <c r="E4" s="172" t="n"/>
    </row>
    <row r="5">
      <c r="B5" s="208" t="inlineStr">
        <is>
          <t>Ресурсная модель</t>
        </is>
      </c>
    </row>
    <row r="6">
      <c r="B6" s="18" t="n"/>
      <c r="C6" s="172" t="n"/>
      <c r="D6" s="172" t="n"/>
      <c r="E6" s="172" t="n"/>
    </row>
    <row r="7" ht="34.5" customHeight="1" s="158">
      <c r="B7" s="209">
        <f>'Прил.1 Сравнит табл'!B7</f>
        <v/>
      </c>
    </row>
    <row r="8">
      <c r="B8" s="210">
        <f>'Прил.1 Сравнит табл'!B9</f>
        <v/>
      </c>
    </row>
    <row r="9">
      <c r="B9" s="18" t="n"/>
      <c r="C9" s="172" t="n"/>
      <c r="D9" s="172" t="n"/>
      <c r="E9" s="172" t="n"/>
    </row>
    <row r="10" ht="51" customHeight="1" s="158">
      <c r="B10" s="212" t="inlineStr">
        <is>
          <t>Наименование</t>
        </is>
      </c>
      <c r="C10" s="212" t="inlineStr">
        <is>
          <t>Сметная стоимость в ценах на 01.01.2023
 (руб.)</t>
        </is>
      </c>
      <c r="D10" s="212" t="inlineStr">
        <is>
          <t>Удельный вес, 
(в СМР)</t>
        </is>
      </c>
      <c r="E10" s="212" t="inlineStr">
        <is>
          <t>Удельный вес, % 
(от всего по РМ)</t>
        </is>
      </c>
    </row>
    <row r="11">
      <c r="B11" s="59" t="inlineStr">
        <is>
          <t>Оплата труда рабочих</t>
        </is>
      </c>
      <c r="C11" s="63">
        <f>'Прил.5 Расчет СМР и ОБ'!J14</f>
        <v/>
      </c>
      <c r="D11" s="61">
        <f>C11/$C$24</f>
        <v/>
      </c>
      <c r="E11" s="61">
        <f>C11/$C$40</f>
        <v/>
      </c>
    </row>
    <row r="12">
      <c r="B12" s="59" t="inlineStr">
        <is>
          <t>Эксплуатация машин основных</t>
        </is>
      </c>
      <c r="C12" s="63">
        <f>'Прил.5 Расчет СМР и ОБ'!J22</f>
        <v/>
      </c>
      <c r="D12" s="61">
        <f>C12/$C$24</f>
        <v/>
      </c>
      <c r="E12" s="61">
        <f>C12/$C$40</f>
        <v/>
      </c>
    </row>
    <row r="13">
      <c r="B13" s="59" t="inlineStr">
        <is>
          <t>Эксплуатация машин прочих</t>
        </is>
      </c>
      <c r="C13" s="63">
        <f>'Прил.5 Расчет СМР и ОБ'!J37</f>
        <v/>
      </c>
      <c r="D13" s="61">
        <f>C13/$C$24</f>
        <v/>
      </c>
      <c r="E13" s="61">
        <f>C13/$C$40</f>
        <v/>
      </c>
    </row>
    <row r="14">
      <c r="B14" s="59" t="inlineStr">
        <is>
          <t>ЭКСПЛУАТАЦИЯ МАШИН, ВСЕГО:</t>
        </is>
      </c>
      <c r="C14" s="63">
        <f>C13+C12</f>
        <v/>
      </c>
      <c r="D14" s="61">
        <f>C14/$C$24</f>
        <v/>
      </c>
      <c r="E14" s="61">
        <f>C14/$C$40</f>
        <v/>
      </c>
    </row>
    <row r="15">
      <c r="B15" s="59" t="inlineStr">
        <is>
          <t>в том числе зарплата машинистов</t>
        </is>
      </c>
      <c r="C15" s="63">
        <f>'Прил.5 Расчет СМР и ОБ'!J16</f>
        <v/>
      </c>
      <c r="D15" s="61">
        <f>C15/$C$24</f>
        <v/>
      </c>
      <c r="E15" s="61">
        <f>C15/$C$40</f>
        <v/>
      </c>
    </row>
    <row r="16">
      <c r="B16" s="59" t="inlineStr">
        <is>
          <t>Материалы основные</t>
        </is>
      </c>
      <c r="C16" s="63">
        <f>'Прил.5 Расчет СМР и ОБ'!J79</f>
        <v/>
      </c>
      <c r="D16" s="61">
        <f>C16/$C$24</f>
        <v/>
      </c>
      <c r="E16" s="61">
        <f>C16/$C$40</f>
        <v/>
      </c>
    </row>
    <row r="17">
      <c r="B17" s="59" t="inlineStr">
        <is>
          <t>Материалы прочие</t>
        </is>
      </c>
      <c r="C17" s="63">
        <f>'Прил.5 Расчет СМР и ОБ'!J126</f>
        <v/>
      </c>
      <c r="D17" s="61">
        <f>C17/$C$24</f>
        <v/>
      </c>
      <c r="E17" s="61">
        <f>C17/$C$40</f>
        <v/>
      </c>
      <c r="G17" s="19" t="n"/>
    </row>
    <row r="18">
      <c r="B18" s="59" t="inlineStr">
        <is>
          <t>МАТЕРИАЛЫ, ВСЕГО:</t>
        </is>
      </c>
      <c r="C18" s="63">
        <f>C17+C16</f>
        <v/>
      </c>
      <c r="D18" s="61">
        <f>C18/$C$24</f>
        <v/>
      </c>
      <c r="E18" s="61">
        <f>C18/$C$40</f>
        <v/>
      </c>
    </row>
    <row r="19">
      <c r="B19" s="59" t="inlineStr">
        <is>
          <t>ИТОГО</t>
        </is>
      </c>
      <c r="C19" s="63">
        <f>C18+C14+C11</f>
        <v/>
      </c>
      <c r="D19" s="61" t="n"/>
      <c r="E19" s="59" t="n"/>
    </row>
    <row r="20">
      <c r="B20" s="59" t="inlineStr">
        <is>
          <t>Сметная прибыль, руб.</t>
        </is>
      </c>
      <c r="C20" s="63">
        <f>ROUND(C21*(C11+C15),2)</f>
        <v/>
      </c>
      <c r="D20" s="61">
        <f>C20/$C$24</f>
        <v/>
      </c>
      <c r="E20" s="61">
        <f>C20/$C$40</f>
        <v/>
      </c>
    </row>
    <row r="21">
      <c r="B21" s="59" t="inlineStr">
        <is>
          <t>Сметная прибыль, %</t>
        </is>
      </c>
      <c r="C21" s="64">
        <f>'Прил.5 Расчет СМР и ОБ'!E130</f>
        <v/>
      </c>
      <c r="D21" s="61" t="n"/>
      <c r="E21" s="59" t="n"/>
    </row>
    <row r="22">
      <c r="B22" s="59" t="inlineStr">
        <is>
          <t>Накладные расходы, руб.</t>
        </is>
      </c>
      <c r="C22" s="63">
        <f>ROUND(C23*(C11+C15),2)</f>
        <v/>
      </c>
      <c r="D22" s="61">
        <f>C22/$C$24</f>
        <v/>
      </c>
      <c r="E22" s="61">
        <f>C22/$C$40</f>
        <v/>
      </c>
    </row>
    <row r="23">
      <c r="B23" s="59" t="inlineStr">
        <is>
          <t>Накладные расходы, %</t>
        </is>
      </c>
      <c r="C23" s="64">
        <f>'Прил.5 Расчет СМР и ОБ'!E129</f>
        <v/>
      </c>
      <c r="D23" s="61" t="n"/>
      <c r="E23" s="59" t="n"/>
    </row>
    <row r="24">
      <c r="B24" s="59" t="inlineStr">
        <is>
          <t>ВСЕГО СМР с НР и СП</t>
        </is>
      </c>
      <c r="C24" s="63">
        <f>C19+C20+C22</f>
        <v/>
      </c>
      <c r="D24" s="61">
        <f>C24/$C$24</f>
        <v/>
      </c>
      <c r="E24" s="61">
        <f>C24/$C$40</f>
        <v/>
      </c>
    </row>
    <row r="25" ht="25.5" customHeight="1" s="158">
      <c r="B25" s="59" t="inlineStr">
        <is>
          <t>ВСЕГО стоимость оборудования, в том числе</t>
        </is>
      </c>
      <c r="C25" s="63">
        <f>'Прил.5 Расчет СМР и ОБ'!J72</f>
        <v/>
      </c>
      <c r="D25" s="61" t="n"/>
      <c r="E25" s="61">
        <f>C25/$C$40</f>
        <v/>
      </c>
    </row>
    <row r="26" ht="25.5" customHeight="1" s="158">
      <c r="B26" s="59" t="inlineStr">
        <is>
          <t>стоимость оборудования технологического</t>
        </is>
      </c>
      <c r="C26" s="63">
        <f>C25</f>
        <v/>
      </c>
      <c r="D26" s="61" t="n"/>
      <c r="E26" s="61">
        <f>C26/$C$40</f>
        <v/>
      </c>
    </row>
    <row r="27">
      <c r="B27" s="59" t="inlineStr">
        <is>
          <t>ИТОГО (СМР + ОБОРУДОВАНИЕ)</t>
        </is>
      </c>
      <c r="C27" s="60">
        <f>C24+C25</f>
        <v/>
      </c>
      <c r="D27" s="61" t="n"/>
      <c r="E27" s="61">
        <f>C27/$C$40</f>
        <v/>
      </c>
    </row>
    <row r="28" ht="33" customHeight="1" s="158">
      <c r="B28" s="59" t="inlineStr">
        <is>
          <t>ПРОЧ. ЗАТР., УЧТЕННЫЕ ПОКАЗАТЕЛЕМ,  в том числе</t>
        </is>
      </c>
      <c r="C28" s="59" t="n"/>
      <c r="D28" s="59" t="n"/>
      <c r="E28" s="59" t="n"/>
    </row>
    <row r="29" ht="25.5" customHeight="1" s="158">
      <c r="B29" s="59" t="inlineStr">
        <is>
          <t>Временные здания и сооружения - 3,9%</t>
        </is>
      </c>
      <c r="C29" s="60">
        <f>ROUND(C24*3.9%,2)</f>
        <v/>
      </c>
      <c r="D29" s="59" t="n"/>
      <c r="E29" s="61">
        <f>C29/$C$40</f>
        <v/>
      </c>
    </row>
    <row r="30" ht="38.25" customHeight="1" s="158">
      <c r="B30" s="59" t="inlineStr">
        <is>
          <t>Дополнительные затраты при производстве строительно-монтажных работ в зимнее время - 2,1%</t>
        </is>
      </c>
      <c r="C30" s="60">
        <f>ROUND((C24+C29)*2.1%,2)</f>
        <v/>
      </c>
      <c r="D30" s="59" t="n"/>
      <c r="E30" s="61">
        <f>C30/$C$40</f>
        <v/>
      </c>
    </row>
    <row r="31">
      <c r="B31" s="59" t="inlineStr">
        <is>
          <t>Пусконаладочные работы</t>
        </is>
      </c>
      <c r="C31" s="60" t="n">
        <v>1968446.04</v>
      </c>
      <c r="D31" s="59" t="n"/>
      <c r="E31" s="61">
        <f>C31/$C$40</f>
        <v/>
      </c>
    </row>
    <row r="32" ht="25.5" customHeight="1" s="158">
      <c r="B32" s="59" t="inlineStr">
        <is>
          <t>Затраты по перевозке работников к месту работы и обратно</t>
        </is>
      </c>
      <c r="C32" s="60">
        <f>ROUND($C$27*0%,2)</f>
        <v/>
      </c>
      <c r="D32" s="59" t="n"/>
      <c r="E32" s="61">
        <f>C32/$C$40</f>
        <v/>
      </c>
    </row>
    <row r="33" ht="25.5" customHeight="1" s="158">
      <c r="B33" s="59" t="inlineStr">
        <is>
          <t>Затраты, связанные с осуществлением работ вахтовым методом</t>
        </is>
      </c>
      <c r="C33" s="60">
        <f>ROUND($C$27*0%,2)</f>
        <v/>
      </c>
      <c r="D33" s="59" t="n"/>
      <c r="E33" s="61">
        <f>C33/$C$40</f>
        <v/>
      </c>
    </row>
    <row r="34" ht="51" customHeight="1" s="158">
      <c r="B34" s="5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0">
        <f>ROUND($C$27*0%,2)</f>
        <v/>
      </c>
      <c r="D34" s="59" t="n"/>
      <c r="E34" s="61">
        <f>C34/$C$40</f>
        <v/>
      </c>
    </row>
    <row r="35" ht="76.5" customHeight="1" s="158">
      <c r="B35" s="5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0">
        <f>ROUND($C$27*0%,2)</f>
        <v/>
      </c>
      <c r="D35" s="59" t="n"/>
      <c r="E35" s="61">
        <f>C35/$C$40</f>
        <v/>
      </c>
    </row>
    <row r="36" ht="25.5" customHeight="1" s="158">
      <c r="B36" s="59" t="inlineStr">
        <is>
          <t>Строительный контроль и содержание службы заказчика - 2,14%</t>
        </is>
      </c>
      <c r="C36" s="155">
        <f>ROUND((C27+C32+C33+C34+C35+C29+C31+C30)*2.14%,2)</f>
        <v/>
      </c>
      <c r="D36" s="59" t="n"/>
      <c r="E36" s="61">
        <f>C36/$C$40</f>
        <v/>
      </c>
      <c r="G36" s="107" t="n"/>
      <c r="L36" s="149" t="n"/>
    </row>
    <row r="37">
      <c r="B37" s="59" t="inlineStr">
        <is>
          <t>Авторский надзор - 0,2%</t>
        </is>
      </c>
      <c r="C37" s="155">
        <f>ROUND((C27+C32+C33+C34+C35+C29+C31+C30)*0.2%,2)</f>
        <v/>
      </c>
      <c r="D37" s="59" t="n"/>
      <c r="E37" s="61">
        <f>C37/$C$40</f>
        <v/>
      </c>
      <c r="G37" s="107" t="n"/>
      <c r="L37" s="149" t="n"/>
    </row>
    <row r="38" ht="38.25" customHeight="1" s="158">
      <c r="B38" s="59" t="inlineStr">
        <is>
          <t>ИТОГО (СМР+ОБОРУДОВАНИЕ+ПРОЧ. ЗАТР., УЧТЕННЫЕ ПОКАЗАТЕЛЕМ)</t>
        </is>
      </c>
      <c r="C38" s="156">
        <f>C27+C32+C33+C34+C35+C29+C31+C30+C36+C37</f>
        <v/>
      </c>
      <c r="D38" s="59" t="n"/>
      <c r="E38" s="61">
        <f>C38/$C$40</f>
        <v/>
      </c>
    </row>
    <row r="39" ht="13.5" customHeight="1" s="158">
      <c r="B39" s="59" t="inlineStr">
        <is>
          <t>Непредвиденные расходы</t>
        </is>
      </c>
      <c r="C39" s="63">
        <f>ROUND(C38*3%,2)</f>
        <v/>
      </c>
      <c r="D39" s="59" t="n"/>
      <c r="E39" s="61">
        <f>C39/$C$38</f>
        <v/>
      </c>
    </row>
    <row r="40">
      <c r="B40" s="59" t="inlineStr">
        <is>
          <t>ВСЕГО:</t>
        </is>
      </c>
      <c r="C40" s="63">
        <f>C39+C38</f>
        <v/>
      </c>
      <c r="D40" s="59" t="n"/>
      <c r="E40" s="61">
        <f>C40/$C$40</f>
        <v/>
      </c>
    </row>
    <row r="41">
      <c r="B41" s="59" t="inlineStr">
        <is>
          <t>ИТОГО ПОКАЗАТЕЛЬ НА ЕД. ИЗМ.</t>
        </is>
      </c>
      <c r="C41" s="63">
        <f>C40/'Прил.5 Расчет СМР и ОБ'!E133</f>
        <v/>
      </c>
      <c r="D41" s="59" t="n"/>
      <c r="E41" s="59" t="n"/>
    </row>
    <row r="42">
      <c r="B42" s="169" t="n"/>
      <c r="C42" s="172" t="n"/>
      <c r="D42" s="172" t="n"/>
      <c r="E42" s="172" t="n"/>
    </row>
    <row r="43">
      <c r="B43" s="172" t="inlineStr">
        <is>
          <t>Составил ______________________        Е.А. Князева</t>
        </is>
      </c>
      <c r="C43" s="175" t="n"/>
      <c r="D43" s="172" t="n"/>
      <c r="E43" s="172" t="n"/>
    </row>
    <row r="44">
      <c r="B44" s="174" t="inlineStr">
        <is>
          <t xml:space="preserve">                         (подпись, инициалы, фамилия)</t>
        </is>
      </c>
      <c r="C44" s="175" t="n"/>
      <c r="D44" s="172" t="n"/>
      <c r="E44" s="172" t="n"/>
    </row>
    <row r="45">
      <c r="B45" s="172" t="n"/>
      <c r="C45" s="175" t="n"/>
      <c r="D45" s="172" t="n"/>
      <c r="E45" s="172" t="n"/>
    </row>
    <row r="46">
      <c r="B46" s="172" t="inlineStr">
        <is>
          <t>Проверил ______________________        А.В. Костянецкая</t>
        </is>
      </c>
      <c r="C46" s="175" t="n"/>
      <c r="D46" s="172" t="n"/>
      <c r="E46" s="172" t="n"/>
    </row>
    <row r="47">
      <c r="B47" s="174" t="inlineStr">
        <is>
          <t xml:space="preserve">                        (подпись, инициалы, фамилия)</t>
        </is>
      </c>
      <c r="C47" s="175" t="n"/>
      <c r="D47" s="172" t="n"/>
      <c r="E47" s="172" t="n"/>
    </row>
    <row r="49">
      <c r="B49" s="172" t="n"/>
      <c r="C49" s="172" t="n"/>
      <c r="D49" s="172" t="n"/>
      <c r="E49" s="172" t="n"/>
    </row>
    <row r="50">
      <c r="B50" s="172" t="n"/>
      <c r="C50" s="172" t="n"/>
      <c r="D50" s="172" t="n"/>
      <c r="E50" s="172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140"/>
  <sheetViews>
    <sheetView view="pageBreakPreview" topLeftCell="A135" zoomScale="85" workbookViewId="0">
      <selection activeCell="B185" sqref="B185"/>
    </sheetView>
  </sheetViews>
  <sheetFormatPr baseColWidth="8" defaultColWidth="9.140625" defaultRowHeight="15" outlineLevelRow="1"/>
  <cols>
    <col width="5.7109375" customWidth="1" style="175" min="1" max="1"/>
    <col width="22.5703125" customWidth="1" style="175" min="2" max="2"/>
    <col width="39.140625" customWidth="1" style="175" min="3" max="3"/>
    <col width="10.7109375" customWidth="1" style="175" min="4" max="4"/>
    <col width="12.7109375" customWidth="1" style="175" min="5" max="5"/>
    <col width="14.5703125" customWidth="1" style="175" min="6" max="6"/>
    <col width="13.42578125" customWidth="1" style="175" min="7" max="7"/>
    <col width="12.7109375" customWidth="1" style="175" min="8" max="8"/>
    <col width="14.5703125" customWidth="1" style="175" min="9" max="9"/>
    <col width="15.140625" customWidth="1" style="175" min="10" max="10"/>
    <col width="20.28515625" customWidth="1" style="175" min="11" max="12"/>
    <col width="9.140625" customWidth="1" style="158" min="13" max="13"/>
  </cols>
  <sheetData>
    <row r="2" ht="15.75" customHeight="1" s="158">
      <c r="I2" s="133" t="n"/>
      <c r="J2" s="113" t="inlineStr">
        <is>
          <t>Приложение №5</t>
        </is>
      </c>
    </row>
    <row r="4" ht="12.75" customFormat="1" customHeight="1" s="172">
      <c r="A4" s="208" t="inlineStr">
        <is>
          <t>Расчет стоимости СМР и оборудования</t>
        </is>
      </c>
      <c r="I4" s="208" t="n"/>
      <c r="J4" s="208" t="n"/>
    </row>
    <row r="5" ht="12.75" customFormat="1" customHeight="1" s="172">
      <c r="A5" s="208" t="n"/>
      <c r="B5" s="208" t="n"/>
      <c r="C5" s="208" t="n"/>
      <c r="D5" s="208" t="n"/>
      <c r="E5" s="208" t="n"/>
      <c r="F5" s="208" t="n"/>
      <c r="G5" s="208" t="n"/>
      <c r="H5" s="208" t="n"/>
      <c r="I5" s="208" t="n"/>
      <c r="J5" s="208" t="n"/>
    </row>
    <row r="6" ht="12.75" customFormat="1" customHeight="1" s="172">
      <c r="A6" s="221" t="inlineStr">
        <is>
          <t>Наименование разрабатываемого показателя УНЦ</t>
        </is>
      </c>
      <c r="D6" s="221" t="inlineStr">
        <is>
          <t>Ячейка выключателя НУ 6-15кВ, ном.ток 2500А, ном.ток отключения 25кА</t>
        </is>
      </c>
    </row>
    <row r="7" ht="12.75" customFormat="1" customHeight="1" s="172">
      <c r="A7" s="221">
        <f>'Прил.1 Сравнит табл'!B9</f>
        <v/>
      </c>
      <c r="I7" s="209" t="n"/>
      <c r="J7" s="209" t="n"/>
    </row>
    <row r="8" ht="12.75" customFormat="1" customHeight="1" s="172"/>
    <row r="9" ht="27" customHeight="1" s="158">
      <c r="A9" s="212" t="inlineStr">
        <is>
          <t>№ пп.</t>
        </is>
      </c>
      <c r="B9" s="212" t="inlineStr">
        <is>
          <t>Код ресурса</t>
        </is>
      </c>
      <c r="C9" s="212" t="inlineStr">
        <is>
          <t>Наименование</t>
        </is>
      </c>
      <c r="D9" s="212" t="inlineStr">
        <is>
          <t>Ед. изм.</t>
        </is>
      </c>
      <c r="E9" s="212" t="inlineStr">
        <is>
          <t>Кол-во единиц по проектным данным</t>
        </is>
      </c>
      <c r="F9" s="212" t="inlineStr">
        <is>
          <t>Сметная стоимость в ценах на 01.01.2000 (руб.)</t>
        </is>
      </c>
      <c r="G9" s="239" t="n"/>
      <c r="H9" s="212" t="inlineStr">
        <is>
          <t>Удельный вес, %</t>
        </is>
      </c>
      <c r="I9" s="212" t="inlineStr">
        <is>
          <t>Сметная стоимость в ценах на 01.01.2023 (руб.)</t>
        </is>
      </c>
      <c r="J9" s="239" t="n"/>
    </row>
    <row r="10" ht="28.5" customHeight="1" s="158">
      <c r="A10" s="241" t="n"/>
      <c r="B10" s="241" t="n"/>
      <c r="C10" s="241" t="n"/>
      <c r="D10" s="241" t="n"/>
      <c r="E10" s="241" t="n"/>
      <c r="F10" s="212" t="inlineStr">
        <is>
          <t>на ед. изм.</t>
        </is>
      </c>
      <c r="G10" s="212" t="inlineStr">
        <is>
          <t>общая</t>
        </is>
      </c>
      <c r="H10" s="241" t="n"/>
      <c r="I10" s="212" t="inlineStr">
        <is>
          <t>на ед. изм.</t>
        </is>
      </c>
      <c r="J10" s="212" t="inlineStr">
        <is>
          <t>общая</t>
        </is>
      </c>
    </row>
    <row r="11">
      <c r="A11" s="212" t="n">
        <v>1</v>
      </c>
      <c r="B11" s="212" t="n">
        <v>2</v>
      </c>
      <c r="C11" s="212" t="n">
        <v>3</v>
      </c>
      <c r="D11" s="212" t="n">
        <v>4</v>
      </c>
      <c r="E11" s="212" t="n">
        <v>5</v>
      </c>
      <c r="F11" s="212" t="n">
        <v>6</v>
      </c>
      <c r="G11" s="212" t="n">
        <v>7</v>
      </c>
      <c r="H11" s="212" t="n">
        <v>8</v>
      </c>
      <c r="I11" s="212" t="n">
        <v>9</v>
      </c>
      <c r="J11" s="212" t="n">
        <v>10</v>
      </c>
    </row>
    <row r="12">
      <c r="A12" s="212" t="n"/>
      <c r="B12" s="206" t="inlineStr">
        <is>
          <t>Затраты труда рабочих-строителей</t>
        </is>
      </c>
      <c r="C12" s="238" t="n"/>
      <c r="D12" s="238" t="n"/>
      <c r="E12" s="238" t="n"/>
      <c r="F12" s="238" t="n"/>
      <c r="G12" s="238" t="n"/>
      <c r="H12" s="239" t="n"/>
      <c r="I12" s="71" t="n"/>
      <c r="J12" s="71" t="n"/>
    </row>
    <row r="13" ht="25.5" customHeight="1" s="158">
      <c r="A13" s="212" t="n">
        <v>1</v>
      </c>
      <c r="B13" s="80" t="inlineStr">
        <is>
          <t>1-4-1</t>
        </is>
      </c>
      <c r="C13" s="150" t="inlineStr">
        <is>
          <t>Затраты труда рабочих (средний разряд работы 4,1)</t>
        </is>
      </c>
      <c r="D13" s="212" t="inlineStr">
        <is>
          <t>чел.-ч.</t>
        </is>
      </c>
      <c r="E13" s="151">
        <f>G13/F13</f>
        <v/>
      </c>
      <c r="F13" s="152" t="n">
        <v>9.76</v>
      </c>
      <c r="G13" s="152">
        <f>Прил.3!H12</f>
        <v/>
      </c>
      <c r="H13" s="216">
        <f>G13/G14</f>
        <v/>
      </c>
      <c r="I13" s="152">
        <f>ФОТр.тек.!E13</f>
        <v/>
      </c>
      <c r="J13" s="152">
        <f>ROUND(I13*E13,2)</f>
        <v/>
      </c>
    </row>
    <row r="14" ht="25.5" customFormat="1" customHeight="1" s="175">
      <c r="A14" s="212" t="n"/>
      <c r="B14" s="212" t="n"/>
      <c r="C14" s="206" t="inlineStr">
        <is>
          <t>Итого по разделу "Затраты труда рабочих-строителей"</t>
        </is>
      </c>
      <c r="D14" s="212" t="inlineStr">
        <is>
          <t>чел.-ч.</t>
        </is>
      </c>
      <c r="E14" s="151">
        <f>SUM(E13:E13)</f>
        <v/>
      </c>
      <c r="F14" s="152" t="n"/>
      <c r="G14" s="152">
        <f>SUM(G13:G13)</f>
        <v/>
      </c>
      <c r="H14" s="216" t="n">
        <v>1</v>
      </c>
      <c r="I14" s="152" t="n"/>
      <c r="J14" s="152">
        <f>SUM(J13:J13)</f>
        <v/>
      </c>
      <c r="L14" s="76" t="n"/>
    </row>
    <row r="15" ht="14.25" customFormat="1" customHeight="1" s="175">
      <c r="A15" s="212" t="n"/>
      <c r="B15" s="211" t="inlineStr">
        <is>
          <t>Затраты труда машинистов</t>
        </is>
      </c>
      <c r="C15" s="238" t="n"/>
      <c r="D15" s="238" t="n"/>
      <c r="E15" s="238" t="n"/>
      <c r="F15" s="238" t="n"/>
      <c r="G15" s="238" t="n"/>
      <c r="H15" s="239" t="n"/>
      <c r="I15" s="71" t="n"/>
      <c r="J15" s="71" t="n"/>
    </row>
    <row r="16" ht="14.25" customFormat="1" customHeight="1" s="175">
      <c r="A16" s="212" t="n">
        <v>2</v>
      </c>
      <c r="B16" s="212" t="n">
        <v>2</v>
      </c>
      <c r="C16" s="211" t="inlineStr">
        <is>
          <t>Затраты труда машинистов</t>
        </is>
      </c>
      <c r="D16" s="212" t="inlineStr">
        <is>
          <t>чел.-ч.</t>
        </is>
      </c>
      <c r="E16" s="151" t="n">
        <v>475.21</v>
      </c>
      <c r="F16" s="152">
        <f>G16/E16</f>
        <v/>
      </c>
      <c r="G16" s="152" t="n">
        <v>5630.64</v>
      </c>
      <c r="H16" s="216" t="n">
        <v>1</v>
      </c>
      <c r="I16" s="152">
        <f>ROUND(F16*Прил.10!D10,2)</f>
        <v/>
      </c>
      <c r="J16" s="152">
        <f>ROUND(I16*E16,2)</f>
        <v/>
      </c>
    </row>
    <row r="17" ht="14.25" customFormat="1" customHeight="1" s="175">
      <c r="A17" s="212" t="n"/>
      <c r="B17" s="206" t="inlineStr">
        <is>
          <t>Машины и механизмы</t>
        </is>
      </c>
      <c r="C17" s="238" t="n"/>
      <c r="D17" s="238" t="n"/>
      <c r="E17" s="238" t="n"/>
      <c r="F17" s="238" t="n"/>
      <c r="G17" s="238" t="n"/>
      <c r="H17" s="239" t="n"/>
      <c r="I17" s="216" t="n"/>
      <c r="J17" s="216" t="n"/>
    </row>
    <row r="18" ht="14.25" customFormat="1" customHeight="1" s="175">
      <c r="A18" s="212" t="n"/>
      <c r="B18" s="211" t="inlineStr">
        <is>
          <t>Основные машины и механизмы</t>
        </is>
      </c>
      <c r="C18" s="238" t="n"/>
      <c r="D18" s="238" t="n"/>
      <c r="E18" s="238" t="n"/>
      <c r="F18" s="238" t="n"/>
      <c r="G18" s="238" t="n"/>
      <c r="H18" s="239" t="n"/>
      <c r="I18" s="71" t="n"/>
      <c r="J18" s="71" t="n"/>
    </row>
    <row r="19" ht="25.5" customFormat="1" customHeight="1" s="175">
      <c r="A19" s="212" t="n">
        <v>3</v>
      </c>
      <c r="B19" s="80" t="inlineStr">
        <is>
          <t>91.06.03-058</t>
        </is>
      </c>
      <c r="C19" s="211" t="inlineStr">
        <is>
          <t>Лебедки электрические тяговым усилием 156,96 кН (16 т)</t>
        </is>
      </c>
      <c r="D19" s="212" t="inlineStr">
        <is>
          <t>маш.час</t>
        </is>
      </c>
      <c r="E19" s="151" t="n">
        <v>216.66</v>
      </c>
      <c r="F19" s="229" t="n">
        <v>131.44</v>
      </c>
      <c r="G19" s="152">
        <f>ROUND(E19*F19,2)</f>
        <v/>
      </c>
      <c r="H19" s="216">
        <f>G19/$G$38</f>
        <v/>
      </c>
      <c r="I19" s="152">
        <f>ROUND(F19*Прил.10!$D$11,2)</f>
        <v/>
      </c>
      <c r="J19" s="152">
        <f>ROUND(I19*E19,2)</f>
        <v/>
      </c>
    </row>
    <row r="20" ht="25.5" customFormat="1" customHeight="1" s="175">
      <c r="A20" s="212" t="n">
        <v>4</v>
      </c>
      <c r="B20" s="80" t="inlineStr">
        <is>
          <t>91.05.05-014</t>
        </is>
      </c>
      <c r="C20" s="211" t="inlineStr">
        <is>
          <t>Краны на автомобильном ходу, грузоподъемность 10 т</t>
        </is>
      </c>
      <c r="D20" s="212" t="inlineStr">
        <is>
          <t>маш.час</t>
        </is>
      </c>
      <c r="E20" s="151" t="n">
        <v>98.65000000000001</v>
      </c>
      <c r="F20" s="229" t="n">
        <v>111.99</v>
      </c>
      <c r="G20" s="152">
        <f>ROUND(E20*F20,2)</f>
        <v/>
      </c>
      <c r="H20" s="216">
        <f>G20/$G$38</f>
        <v/>
      </c>
      <c r="I20" s="152">
        <f>ROUND(F20*Прил.10!$D$11,2)</f>
        <v/>
      </c>
      <c r="J20" s="152">
        <f>ROUND(I20*E20,2)</f>
        <v/>
      </c>
    </row>
    <row r="21" ht="25.5" customFormat="1" customHeight="1" s="175">
      <c r="A21" s="212" t="n">
        <v>5</v>
      </c>
      <c r="B21" s="80" t="inlineStr">
        <is>
          <t>91.14.02-001</t>
        </is>
      </c>
      <c r="C21" s="211" t="inlineStr">
        <is>
          <t>Автомобили бортовые, грузоподъемность до 5 т</t>
        </is>
      </c>
      <c r="D21" s="212" t="inlineStr">
        <is>
          <t>маш.час</t>
        </is>
      </c>
      <c r="E21" s="151" t="n">
        <v>96.15000000000001</v>
      </c>
      <c r="F21" s="229" t="n">
        <v>65.70999999999999</v>
      </c>
      <c r="G21" s="152">
        <f>ROUND(E21*F21,2)</f>
        <v/>
      </c>
      <c r="H21" s="216">
        <f>G21/$G$38</f>
        <v/>
      </c>
      <c r="I21" s="152">
        <f>ROUND(F21*Прил.10!$D$11,2)</f>
        <v/>
      </c>
      <c r="J21" s="152">
        <f>ROUND(I21*E21,2)</f>
        <v/>
      </c>
    </row>
    <row r="22" ht="14.25" customFormat="1" customHeight="1" s="175">
      <c r="A22" s="212" t="n"/>
      <c r="B22" s="212" t="n"/>
      <c r="C22" s="211" t="inlineStr">
        <is>
          <t>Итого основные машины и механизмы</t>
        </is>
      </c>
      <c r="D22" s="212" t="n"/>
      <c r="E22" s="84" t="n"/>
      <c r="F22" s="152" t="n"/>
      <c r="G22" s="152">
        <f>SUM(G19:G21)</f>
        <v/>
      </c>
      <c r="H22" s="216">
        <f>G22/G38</f>
        <v/>
      </c>
      <c r="I22" s="152" t="n"/>
      <c r="J22" s="152">
        <f>SUM(J19:J21)</f>
        <v/>
      </c>
    </row>
    <row r="23" outlineLevel="1" ht="14.25" customFormat="1" customHeight="1" s="175">
      <c r="A23" s="212" t="n">
        <v>6</v>
      </c>
      <c r="B23" s="80" t="inlineStr">
        <is>
          <t>91.06.05-011</t>
        </is>
      </c>
      <c r="C23" s="211" t="inlineStr">
        <is>
          <t>Погрузчик, грузоподъемность 5 т</t>
        </is>
      </c>
      <c r="D23" s="212" t="inlineStr">
        <is>
          <t>маш.час</t>
        </is>
      </c>
      <c r="E23" s="151" t="n">
        <v>41.19</v>
      </c>
      <c r="F23" s="229" t="n">
        <v>89.98999999999999</v>
      </c>
      <c r="G23" s="152">
        <f>ROUND(E23*F23,2)</f>
        <v/>
      </c>
      <c r="H23" s="216">
        <f>G23/$G$38</f>
        <v/>
      </c>
      <c r="I23" s="152">
        <f>ROUND(F23*Прил.10!$D$11,2)</f>
        <v/>
      </c>
      <c r="J23" s="152">
        <f>ROUND(I23*E23,2)</f>
        <v/>
      </c>
    </row>
    <row r="24" outlineLevel="1" ht="25.5" customFormat="1" customHeight="1" s="175">
      <c r="A24" s="212" t="n">
        <v>7</v>
      </c>
      <c r="B24" s="80" t="inlineStr">
        <is>
          <t>91.10.01-002</t>
        </is>
      </c>
      <c r="C24" s="211" t="inlineStr">
        <is>
          <t>Агрегаты наполнительно-опрессовочные: до 300 м3/ч</t>
        </is>
      </c>
      <c r="D24" s="212" t="inlineStr">
        <is>
          <t>маш.час</t>
        </is>
      </c>
      <c r="E24" s="151" t="n">
        <v>3.69</v>
      </c>
      <c r="F24" s="229" t="n">
        <v>287.99</v>
      </c>
      <c r="G24" s="152">
        <f>ROUND(E24*F24,2)</f>
        <v/>
      </c>
      <c r="H24" s="216">
        <f>G24/$G$38</f>
        <v/>
      </c>
      <c r="I24" s="152">
        <f>ROUND(F24*Прил.10!$D$11,2)</f>
        <v/>
      </c>
      <c r="J24" s="152">
        <f>ROUND(I24*E24,2)</f>
        <v/>
      </c>
    </row>
    <row r="25" outlineLevel="1" ht="25.5" customFormat="1" customHeight="1" s="175">
      <c r="A25" s="212" t="n">
        <v>8</v>
      </c>
      <c r="B25" s="80" t="inlineStr">
        <is>
          <t>91.05.06-012</t>
        </is>
      </c>
      <c r="C25" s="211" t="inlineStr">
        <is>
          <t>Краны на гусеничном ходу, грузоподъемность до 16 т</t>
        </is>
      </c>
      <c r="D25" s="212" t="inlineStr">
        <is>
          <t>маш.час</t>
        </is>
      </c>
      <c r="E25" s="151" t="n">
        <v>4.23</v>
      </c>
      <c r="F25" s="229" t="n">
        <v>96.89</v>
      </c>
      <c r="G25" s="152">
        <f>ROUND(E25*F25,2)</f>
        <v/>
      </c>
      <c r="H25" s="216">
        <f>G25/$G$38</f>
        <v/>
      </c>
      <c r="I25" s="152">
        <f>ROUND(F25*Прил.10!$D$11,2)</f>
        <v/>
      </c>
      <c r="J25" s="152">
        <f>ROUND(I25*E25,2)</f>
        <v/>
      </c>
    </row>
    <row r="26" outlineLevel="1" ht="25.5" customFormat="1" customHeight="1" s="175">
      <c r="A26" s="212" t="n">
        <v>9</v>
      </c>
      <c r="B26" s="80" t="inlineStr">
        <is>
          <t>91.06.06-042</t>
        </is>
      </c>
      <c r="C26" s="211" t="inlineStr">
        <is>
          <t>Подъемники гидравлические высотой подъема: 10 м</t>
        </is>
      </c>
      <c r="D26" s="212" t="inlineStr">
        <is>
          <t>маш.час</t>
        </is>
      </c>
      <c r="E26" s="151" t="n">
        <v>11</v>
      </c>
      <c r="F26" s="229" t="n">
        <v>29.6</v>
      </c>
      <c r="G26" s="152">
        <f>ROUND(E26*F26,2)</f>
        <v/>
      </c>
      <c r="H26" s="216">
        <f>G26/$G$38</f>
        <v/>
      </c>
      <c r="I26" s="152">
        <f>ROUND(F26*Прил.10!$D$11,2)</f>
        <v/>
      </c>
      <c r="J26" s="152">
        <f>ROUND(I26*E26,2)</f>
        <v/>
      </c>
    </row>
    <row r="27" outlineLevel="1" ht="14.25" customFormat="1" customHeight="1" s="175">
      <c r="A27" s="212" t="n">
        <v>10</v>
      </c>
      <c r="B27" s="80" t="inlineStr">
        <is>
          <t>91.14.04-002</t>
        </is>
      </c>
      <c r="C27" s="211" t="inlineStr">
        <is>
          <t>Тягачи седельные, грузоподъемность: 15 т</t>
        </is>
      </c>
      <c r="D27" s="212" t="inlineStr">
        <is>
          <t>маш.час</t>
        </is>
      </c>
      <c r="E27" s="151" t="n">
        <v>1.3</v>
      </c>
      <c r="F27" s="229" t="n">
        <v>94.38</v>
      </c>
      <c r="G27" s="152">
        <f>ROUND(E27*F27,2)</f>
        <v/>
      </c>
      <c r="H27" s="216">
        <f>G27/$G$38</f>
        <v/>
      </c>
      <c r="I27" s="152">
        <f>ROUND(F27*Прил.10!$D$11,2)</f>
        <v/>
      </c>
      <c r="J27" s="152">
        <f>ROUND(I27*E27,2)</f>
        <v/>
      </c>
    </row>
    <row r="28" outlineLevel="1" ht="14.25" customFormat="1" customHeight="1" s="175">
      <c r="A28" s="212" t="n">
        <v>11</v>
      </c>
      <c r="B28" s="80" t="inlineStr">
        <is>
          <t>91.21.22-447</t>
        </is>
      </c>
      <c r="C28" s="211" t="inlineStr">
        <is>
          <t>Установки электрометаллизационные</t>
        </is>
      </c>
      <c r="D28" s="212" t="inlineStr">
        <is>
          <t>маш.час</t>
        </is>
      </c>
      <c r="E28" s="151" t="n">
        <v>0.93</v>
      </c>
      <c r="F28" s="229" t="n">
        <v>74.23999999999999</v>
      </c>
      <c r="G28" s="152">
        <f>ROUND(E28*F28,2)</f>
        <v/>
      </c>
      <c r="H28" s="216">
        <f>G28/$G$38</f>
        <v/>
      </c>
      <c r="I28" s="152">
        <f>ROUND(F28*Прил.10!$D$11,2)</f>
        <v/>
      </c>
      <c r="J28" s="152">
        <f>ROUND(I28*E28,2)</f>
        <v/>
      </c>
    </row>
    <row r="29" outlineLevel="1" ht="51" customFormat="1" customHeight="1" s="175">
      <c r="A29" s="212" t="n">
        <v>12</v>
      </c>
      <c r="B29" s="80" t="inlineStr">
        <is>
          <t>91.18.01-007</t>
        </is>
      </c>
      <c r="C29" s="21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9" s="212" t="inlineStr">
        <is>
          <t>маш.час</t>
        </is>
      </c>
      <c r="E29" s="151" t="n">
        <v>0.44</v>
      </c>
      <c r="F29" s="229" t="n">
        <v>90</v>
      </c>
      <c r="G29" s="152">
        <f>ROUND(E29*F29,2)</f>
        <v/>
      </c>
      <c r="H29" s="216">
        <f>G29/$G$38</f>
        <v/>
      </c>
      <c r="I29" s="152">
        <f>ROUND(F29*Прил.10!$D$11,2)</f>
        <v/>
      </c>
      <c r="J29" s="152">
        <f>ROUND(I29*E29,2)</f>
        <v/>
      </c>
    </row>
    <row r="30" outlineLevel="1" ht="25.5" customFormat="1" customHeight="1" s="175">
      <c r="A30" s="212" t="n">
        <v>13</v>
      </c>
      <c r="B30" s="80" t="inlineStr">
        <is>
          <t>91.14.05-002</t>
        </is>
      </c>
      <c r="C30" s="211" t="inlineStr">
        <is>
          <t>Полуприцепы-тяжеловозы, грузоподъемность: 40 т</t>
        </is>
      </c>
      <c r="D30" s="212" t="inlineStr">
        <is>
          <t>маш.час</t>
        </is>
      </c>
      <c r="E30" s="151" t="n">
        <v>1.3</v>
      </c>
      <c r="F30" s="229" t="n">
        <v>28.65</v>
      </c>
      <c r="G30" s="152">
        <f>ROUND(E30*F30,2)</f>
        <v/>
      </c>
      <c r="H30" s="216">
        <f>G30/$G$38</f>
        <v/>
      </c>
      <c r="I30" s="152">
        <f>ROUND(F30*Прил.10!$D$11,2)</f>
        <v/>
      </c>
      <c r="J30" s="152">
        <f>ROUND(I30*E30,2)</f>
        <v/>
      </c>
    </row>
    <row r="31" outlineLevel="1" ht="25.5" customFormat="1" customHeight="1" s="175">
      <c r="A31" s="212" t="n">
        <v>14</v>
      </c>
      <c r="B31" s="80" t="inlineStr">
        <is>
          <t>91.17.04-233</t>
        </is>
      </c>
      <c r="C31" s="211" t="inlineStr">
        <is>
          <t>Установки для сварки: ручной дуговой (постоянного тока)</t>
        </is>
      </c>
      <c r="D31" s="212" t="inlineStr">
        <is>
          <t>маш.час</t>
        </is>
      </c>
      <c r="E31" s="151" t="n">
        <v>4.49</v>
      </c>
      <c r="F31" s="229" t="n">
        <v>8.1</v>
      </c>
      <c r="G31" s="152">
        <f>ROUND(E31*F31,2)</f>
        <v/>
      </c>
      <c r="H31" s="216">
        <f>G31/$G$38</f>
        <v/>
      </c>
      <c r="I31" s="152">
        <f>ROUND(F31*Прил.10!$D$11,2)</f>
        <v/>
      </c>
      <c r="J31" s="152">
        <f>ROUND(I31*E31,2)</f>
        <v/>
      </c>
    </row>
    <row r="32" outlineLevel="1" ht="14.25" customFormat="1" customHeight="1" s="175">
      <c r="A32" s="212" t="n">
        <v>15</v>
      </c>
      <c r="B32" s="80" t="inlineStr">
        <is>
          <t>91.21.19-031</t>
        </is>
      </c>
      <c r="C32" s="211" t="inlineStr">
        <is>
          <t>Станок: сверлильный</t>
        </is>
      </c>
      <c r="D32" s="212" t="inlineStr">
        <is>
          <t>маш.час</t>
        </is>
      </c>
      <c r="E32" s="151" t="n">
        <v>4.28</v>
      </c>
      <c r="F32" s="229" t="n">
        <v>2.36</v>
      </c>
      <c r="G32" s="152">
        <f>ROUND(E32*F32,2)</f>
        <v/>
      </c>
      <c r="H32" s="216">
        <f>G32/$G$38</f>
        <v/>
      </c>
      <c r="I32" s="152">
        <f>ROUND(F32*Прил.10!$D$11,2)</f>
        <v/>
      </c>
      <c r="J32" s="152">
        <f>ROUND(I32*E32,2)</f>
        <v/>
      </c>
    </row>
    <row r="33" outlineLevel="1" ht="25.5" customFormat="1" customHeight="1" s="175">
      <c r="A33" s="212" t="n">
        <v>16</v>
      </c>
      <c r="B33" s="80" t="inlineStr">
        <is>
          <t>91.06.01-003</t>
        </is>
      </c>
      <c r="C33" s="211" t="inlineStr">
        <is>
          <t>Домкраты гидравлические, грузоподъемность 63-100 т</t>
        </is>
      </c>
      <c r="D33" s="212" t="inlineStr">
        <is>
          <t>маш.час</t>
        </is>
      </c>
      <c r="E33" s="151" t="n">
        <v>9.050000000000001</v>
      </c>
      <c r="F33" s="229" t="n">
        <v>0.9</v>
      </c>
      <c r="G33" s="152">
        <f>ROUND(E33*F33,2)</f>
        <v/>
      </c>
      <c r="H33" s="216">
        <f>G33/$G$38</f>
        <v/>
      </c>
      <c r="I33" s="152">
        <f>ROUND(F33*Прил.10!$D$11,2)</f>
        <v/>
      </c>
      <c r="J33" s="152">
        <f>ROUND(I33*E33,2)</f>
        <v/>
      </c>
    </row>
    <row r="34" outlineLevel="1" ht="38.25" customFormat="1" customHeight="1" s="175">
      <c r="A34" s="212" t="n">
        <v>17</v>
      </c>
      <c r="B34" s="80" t="inlineStr">
        <is>
          <t>91.17.04-036</t>
        </is>
      </c>
      <c r="C34" s="211" t="inlineStr">
        <is>
          <t>Агрегаты сварочные передвижные номинальным сварочным током 250-400 А: с дизельным двигателем</t>
        </is>
      </c>
      <c r="D34" s="212" t="inlineStr">
        <is>
          <t>маш.час</t>
        </is>
      </c>
      <c r="E34" s="151" t="n">
        <v>0.35</v>
      </c>
      <c r="F34" s="229" t="n">
        <v>14</v>
      </c>
      <c r="G34" s="152">
        <f>ROUND(E34*F34,2)</f>
        <v/>
      </c>
      <c r="H34" s="216">
        <f>G34/$G$38</f>
        <v/>
      </c>
      <c r="I34" s="152">
        <f>ROUND(F34*Прил.10!$D$11,2)</f>
        <v/>
      </c>
      <c r="J34" s="152">
        <f>ROUND(I34*E34,2)</f>
        <v/>
      </c>
    </row>
    <row r="35" outlineLevel="1" ht="25.5" customFormat="1" customHeight="1" s="175">
      <c r="A35" s="212" t="n">
        <v>18</v>
      </c>
      <c r="B35" s="80" t="inlineStr">
        <is>
          <t>91.08.09-023</t>
        </is>
      </c>
      <c r="C35" s="211" t="inlineStr">
        <is>
          <t>Трамбовки пневматические при работе от: передвижных компрессорных станций</t>
        </is>
      </c>
      <c r="D35" s="212" t="inlineStr">
        <is>
          <t>маш.час</t>
        </is>
      </c>
      <c r="E35" s="151" t="n">
        <v>0.88</v>
      </c>
      <c r="F35" s="229" t="n">
        <v>0.55</v>
      </c>
      <c r="G35" s="152">
        <f>ROUND(E35*F35,2)</f>
        <v/>
      </c>
      <c r="H35" s="216">
        <f>G35/$G$38</f>
        <v/>
      </c>
      <c r="I35" s="152">
        <f>ROUND(F35*Прил.10!$D$11,2)</f>
        <v/>
      </c>
      <c r="J35" s="152">
        <f>ROUND(I35*E35,2)</f>
        <v/>
      </c>
    </row>
    <row r="36" outlineLevel="1" ht="14.25" customFormat="1" customHeight="1" s="175">
      <c r="A36" s="212" t="n">
        <v>19</v>
      </c>
      <c r="B36" s="80" t="inlineStr">
        <is>
          <t>91.07.04-001</t>
        </is>
      </c>
      <c r="C36" s="211" t="inlineStr">
        <is>
          <t>Вибратор глубинный</t>
        </is>
      </c>
      <c r="D36" s="212" t="inlineStr">
        <is>
          <t>маш.час</t>
        </is>
      </c>
      <c r="E36" s="151" t="n">
        <v>0.14</v>
      </c>
      <c r="F36" s="229" t="n">
        <v>1.9</v>
      </c>
      <c r="G36" s="152">
        <f>ROUND(E36*F36,2)</f>
        <v/>
      </c>
      <c r="H36" s="216">
        <f>G36/$G$38</f>
        <v/>
      </c>
      <c r="I36" s="152">
        <f>ROUND(F36*Прил.10!$D$11,2)</f>
        <v/>
      </c>
      <c r="J36" s="152">
        <f>ROUND(I36*E36,2)</f>
        <v/>
      </c>
    </row>
    <row r="37" ht="14.25" customFormat="1" customHeight="1" s="175">
      <c r="A37" s="212" t="n"/>
      <c r="B37" s="212" t="n"/>
      <c r="C37" s="211" t="inlineStr">
        <is>
          <t>Итого прочие машины и механизмы</t>
        </is>
      </c>
      <c r="D37" s="212" t="n"/>
      <c r="E37" s="213" t="n"/>
      <c r="F37" s="152" t="n"/>
      <c r="G37" s="152">
        <f>SUM(G23:G36)</f>
        <v/>
      </c>
      <c r="H37" s="216">
        <f>G37/G38</f>
        <v/>
      </c>
      <c r="I37" s="152" t="n"/>
      <c r="J37" s="152">
        <f>SUM(J23:J36)</f>
        <v/>
      </c>
      <c r="L37" s="76" t="n"/>
    </row>
    <row r="38" ht="25.5" customFormat="1" customHeight="1" s="175">
      <c r="A38" s="212" t="n"/>
      <c r="B38" s="222" t="n"/>
      <c r="C38" s="87" t="inlineStr">
        <is>
          <t>Итого по разделу «Машины и механизмы»</t>
        </is>
      </c>
      <c r="D38" s="222" t="n"/>
      <c r="E38" s="88" t="n"/>
      <c r="F38" s="89" t="n"/>
      <c r="G38" s="89">
        <f>G22+G37</f>
        <v/>
      </c>
      <c r="H38" s="90" t="n">
        <v>1</v>
      </c>
      <c r="I38" s="89" t="n"/>
      <c r="J38" s="89">
        <f>J22+J37</f>
        <v/>
      </c>
    </row>
    <row r="39" s="158">
      <c r="A39" s="224" t="n"/>
      <c r="B39" s="206" t="inlineStr">
        <is>
          <t xml:space="preserve">Оборудование </t>
        </is>
      </c>
      <c r="C39" s="238" t="n"/>
      <c r="D39" s="238" t="n"/>
      <c r="E39" s="238" t="n"/>
      <c r="F39" s="238" t="n"/>
      <c r="G39" s="238" t="n"/>
      <c r="H39" s="238" t="n"/>
      <c r="I39" s="238" t="n"/>
      <c r="J39" s="239" t="n"/>
      <c r="K39" s="175" t="n"/>
      <c r="L39" s="175" t="n"/>
    </row>
    <row r="40" ht="15" customHeight="1" s="158">
      <c r="A40" s="212" t="n"/>
      <c r="B40" s="217" t="inlineStr">
        <is>
          <t>Основное оборудование</t>
        </is>
      </c>
      <c r="K40" s="175" t="n"/>
      <c r="L40" s="175" t="n"/>
    </row>
    <row r="41" ht="25.5" customHeight="1" s="158">
      <c r="A41" s="212" t="n">
        <v>20</v>
      </c>
      <c r="B41" s="157" t="inlineStr">
        <is>
          <t>БЦ.75.1.60</t>
        </is>
      </c>
      <c r="C41" s="211" t="inlineStr">
        <is>
          <t>Ячейка выключателя 10 кВ, 2500А, 25кА</t>
        </is>
      </c>
      <c r="D41" s="212" t="inlineStr">
        <is>
          <t>шт</t>
        </is>
      </c>
      <c r="E41" s="151" t="n">
        <v>12</v>
      </c>
      <c r="F41" s="214">
        <f>ROUND(I41/Прил.10!$D$13,2)</f>
        <v/>
      </c>
      <c r="G41" s="152">
        <f>ROUND(E41*F41,2)</f>
        <v/>
      </c>
      <c r="H41" s="216">
        <f>G41/$G$71</f>
        <v/>
      </c>
      <c r="I41" s="152" t="n">
        <v>4112800</v>
      </c>
      <c r="J41" s="152">
        <f>ROUND(I41*E41,2)</f>
        <v/>
      </c>
      <c r="K41" s="175" t="n"/>
      <c r="L41" s="175" t="n"/>
    </row>
    <row r="42" s="158">
      <c r="A42" s="212" t="n"/>
      <c r="B42" s="212" t="n"/>
      <c r="C42" s="211" t="inlineStr">
        <is>
          <t>Итого основное оборудование</t>
        </is>
      </c>
      <c r="D42" s="212" t="n"/>
      <c r="E42" s="151" t="n"/>
      <c r="F42" s="214" t="n"/>
      <c r="G42" s="152">
        <f>SUM(G41:G41)</f>
        <v/>
      </c>
      <c r="H42" s="216">
        <f>G42/$G$71</f>
        <v/>
      </c>
      <c r="I42" s="152" t="n"/>
      <c r="J42" s="152">
        <f>SUM(J41:J41)</f>
        <v/>
      </c>
      <c r="K42" s="175" t="n"/>
      <c r="L42" s="76" t="n"/>
    </row>
    <row r="43" outlineLevel="1" ht="25.5" customHeight="1" s="158">
      <c r="A43" s="212" t="n">
        <v>21</v>
      </c>
      <c r="B43" s="212" t="inlineStr">
        <is>
          <t>Прайс из СД ОП</t>
        </is>
      </c>
      <c r="C43" s="211" t="inlineStr">
        <is>
          <t>Шкаф устройства дуговой защиты ОВОД-МД ориентировочно</t>
        </is>
      </c>
      <c r="D43" s="212" t="inlineStr">
        <is>
          <t>шт</t>
        </is>
      </c>
      <c r="E43" s="151" t="n">
        <v>4</v>
      </c>
      <c r="F43" s="214">
        <f>ROUND(I43/Прил.10!$D$13,2)</f>
        <v/>
      </c>
      <c r="G43" s="152">
        <f>ROUND(E43*F43,2)</f>
        <v/>
      </c>
      <c r="H43" s="216">
        <f>G43/$G$71</f>
        <v/>
      </c>
      <c r="I43" s="152" t="n">
        <v>144944.04</v>
      </c>
      <c r="J43" s="152">
        <f>ROUND(I43*E43,2)</f>
        <v/>
      </c>
      <c r="K43" s="175" t="n"/>
      <c r="L43" s="76" t="n"/>
    </row>
    <row r="44" outlineLevel="1" ht="25.5" customHeight="1" s="158">
      <c r="A44" s="212" t="n">
        <v>22</v>
      </c>
      <c r="B44" s="212" t="inlineStr">
        <is>
          <t>Прайс из СД ОП</t>
        </is>
      </c>
      <c r="C44" s="211" t="inlineStr">
        <is>
          <t>Реле промежуточные: двухпозиционные РП-11 УХЛ4</t>
        </is>
      </c>
      <c r="D44" s="212" t="inlineStr">
        <is>
          <t>шт</t>
        </is>
      </c>
      <c r="E44" s="151" t="n">
        <v>62</v>
      </c>
      <c r="F44" s="214">
        <f>ROUND(I44/Прил.10!$D$13,2)</f>
        <v/>
      </c>
      <c r="G44" s="152">
        <f>ROUND(E44*F44,2)</f>
        <v/>
      </c>
      <c r="H44" s="216">
        <f>G44/$G$71</f>
        <v/>
      </c>
      <c r="I44" s="152" t="n">
        <v>3538.21</v>
      </c>
      <c r="J44" s="152">
        <f>ROUND(I44*E44,2)</f>
        <v/>
      </c>
      <c r="K44" s="175" t="n"/>
      <c r="L44" s="76" t="n"/>
    </row>
    <row r="45" outlineLevel="1" s="158">
      <c r="A45" s="212" t="n">
        <v>23</v>
      </c>
      <c r="B45" s="212" t="inlineStr">
        <is>
          <t>Прайс из СД ОП</t>
        </is>
      </c>
      <c r="C45" s="211" t="inlineStr">
        <is>
          <t xml:space="preserve">Реле промежуточное УХЛ4,РП252         </t>
        </is>
      </c>
      <c r="D45" s="212" t="inlineStr">
        <is>
          <t>шт</t>
        </is>
      </c>
      <c r="E45" s="151" t="n">
        <v>71</v>
      </c>
      <c r="F45" s="214">
        <f>ROUND(I45/Прил.10!$D$13,2)</f>
        <v/>
      </c>
      <c r="G45" s="152">
        <f>ROUND(E45*F45,2)</f>
        <v/>
      </c>
      <c r="H45" s="216">
        <f>G45/$G$71</f>
        <v/>
      </c>
      <c r="I45" s="152" t="n">
        <v>1983.79</v>
      </c>
      <c r="J45" s="152">
        <f>ROUND(I45*E45,2)</f>
        <v/>
      </c>
      <c r="K45" s="175" t="n"/>
      <c r="L45" s="76" t="n"/>
    </row>
    <row r="46" outlineLevel="1" s="158">
      <c r="A46" s="212" t="n">
        <v>24</v>
      </c>
      <c r="B46" s="212" t="inlineStr">
        <is>
          <t>Прайс из СД ОП</t>
        </is>
      </c>
      <c r="C46" s="211" t="inlineStr">
        <is>
          <t xml:space="preserve">Выключатель автоматический С60Н-DG </t>
        </is>
      </c>
      <c r="D46" s="212" t="inlineStr">
        <is>
          <t>шт</t>
        </is>
      </c>
      <c r="E46" s="151" t="n">
        <v>7</v>
      </c>
      <c r="F46" s="214">
        <f>ROUND(I46/Прил.10!$D$13,2)</f>
        <v/>
      </c>
      <c r="G46" s="152">
        <f>ROUND(E46*F46,2)</f>
        <v/>
      </c>
      <c r="H46" s="216">
        <f>G46/$G$71</f>
        <v/>
      </c>
      <c r="I46" s="152" t="n">
        <v>18423.18</v>
      </c>
      <c r="J46" s="152">
        <f>ROUND(I46*E46,2)</f>
        <v/>
      </c>
      <c r="K46" s="175" t="n"/>
      <c r="L46" s="76" t="n"/>
    </row>
    <row r="47" outlineLevel="1" s="158">
      <c r="A47" s="212" t="n">
        <v>25</v>
      </c>
      <c r="B47" s="212" t="inlineStr">
        <is>
          <t>Прайс из СД ОП</t>
        </is>
      </c>
      <c r="C47" s="211" t="inlineStr">
        <is>
          <t xml:space="preserve">Реле указательное РУ21-1/220       </t>
        </is>
      </c>
      <c r="D47" s="212" t="inlineStr">
        <is>
          <t>шт</t>
        </is>
      </c>
      <c r="E47" s="151" t="n">
        <v>68</v>
      </c>
      <c r="F47" s="214">
        <f>ROUND(I47/Прил.10!$D$13,2)</f>
        <v/>
      </c>
      <c r="G47" s="152">
        <f>ROUND(E47*F47,2)</f>
        <v/>
      </c>
      <c r="H47" s="216">
        <f>G47/$G$71</f>
        <v/>
      </c>
      <c r="I47" s="152" t="n">
        <v>1251.19</v>
      </c>
      <c r="J47" s="152">
        <f>ROUND(I47*E47,2)</f>
        <v/>
      </c>
      <c r="K47" s="175" t="n"/>
      <c r="L47" s="76" t="n"/>
    </row>
    <row r="48" outlineLevel="1" ht="25.5" customHeight="1" s="158">
      <c r="A48" s="212" t="n">
        <v>26</v>
      </c>
      <c r="B48" s="212" t="inlineStr">
        <is>
          <t>Прайс из СД ОП</t>
        </is>
      </c>
      <c r="C48" s="211" t="inlineStr">
        <is>
          <t xml:space="preserve">Переключатель кулачковый 4G10-92-U-R014 </t>
        </is>
      </c>
      <c r="D48" s="212" t="inlineStr">
        <is>
          <t>шт</t>
        </is>
      </c>
      <c r="E48" s="151" t="n">
        <v>100</v>
      </c>
      <c r="F48" s="214">
        <f>ROUND(I48/Прил.10!$D$13,2)</f>
        <v/>
      </c>
      <c r="G48" s="152">
        <f>ROUND(E48*F48,2)</f>
        <v/>
      </c>
      <c r="H48" s="216">
        <f>G48/$G$71</f>
        <v/>
      </c>
      <c r="I48" s="152" t="n">
        <v>840.72</v>
      </c>
      <c r="J48" s="152">
        <f>ROUND(I48*E48,2)</f>
        <v/>
      </c>
      <c r="K48" s="175" t="n"/>
      <c r="L48" s="76" t="n"/>
    </row>
    <row r="49" outlineLevel="1" s="158">
      <c r="A49" s="212" t="n">
        <v>27</v>
      </c>
      <c r="B49" s="212" t="inlineStr">
        <is>
          <t>Прайс из СД ОП</t>
        </is>
      </c>
      <c r="C49" s="211" t="inlineStr">
        <is>
          <t xml:space="preserve">Реле промежуточное УХЛ4,РП23       </t>
        </is>
      </c>
      <c r="D49" s="212" t="inlineStr">
        <is>
          <t>шт</t>
        </is>
      </c>
      <c r="E49" s="151" t="n">
        <v>78</v>
      </c>
      <c r="F49" s="214">
        <f>ROUND(I49/Прил.10!$D$13,2)</f>
        <v/>
      </c>
      <c r="G49" s="152">
        <f>ROUND(E49*F49,2)</f>
        <v/>
      </c>
      <c r="H49" s="216">
        <f>G49/$G$71</f>
        <v/>
      </c>
      <c r="I49" s="152" t="n">
        <v>998.47</v>
      </c>
      <c r="J49" s="152">
        <f>ROUND(I49*E49,2)</f>
        <v/>
      </c>
      <c r="K49" s="175" t="n"/>
      <c r="L49" s="76" t="n"/>
    </row>
    <row r="50" outlineLevel="1" s="158">
      <c r="A50" s="212" t="n">
        <v>28</v>
      </c>
      <c r="B50" s="212" t="inlineStr">
        <is>
          <t>Прайс из СД ОП</t>
        </is>
      </c>
      <c r="C50" s="211" t="inlineStr">
        <is>
          <t xml:space="preserve">Реле указательное РУ21-1/0,006       </t>
        </is>
      </c>
      <c r="D50" s="212" t="inlineStr">
        <is>
          <t>шт</t>
        </is>
      </c>
      <c r="E50" s="151" t="n">
        <v>70</v>
      </c>
      <c r="F50" s="214">
        <f>ROUND(I50/Прил.10!$D$13,2)</f>
        <v/>
      </c>
      <c r="G50" s="152">
        <f>ROUND(E50*F50,2)</f>
        <v/>
      </c>
      <c r="H50" s="216">
        <f>G50/$G$71</f>
        <v/>
      </c>
      <c r="I50" s="152" t="n">
        <v>1029.46</v>
      </c>
      <c r="J50" s="152">
        <f>ROUND(I50*E50,2)</f>
        <v/>
      </c>
      <c r="K50" s="175" t="n"/>
      <c r="L50" s="76" t="n"/>
    </row>
    <row r="51" outlineLevel="1" ht="25.5" customHeight="1" s="158">
      <c r="A51" s="212" t="n">
        <v>29</v>
      </c>
      <c r="B51" s="212" t="inlineStr">
        <is>
          <t>Прайс из СД ОП</t>
        </is>
      </c>
      <c r="C51" s="211" t="inlineStr">
        <is>
          <t xml:space="preserve">Реле времени статическое РСВ18-13-21-13-1-УХЛ4, </t>
        </is>
      </c>
      <c r="D51" s="212" t="inlineStr">
        <is>
          <t>шт</t>
        </is>
      </c>
      <c r="E51" s="151" t="n">
        <v>34</v>
      </c>
      <c r="F51" s="214">
        <f>ROUND(I51/Прил.10!$D$13,2)</f>
        <v/>
      </c>
      <c r="G51" s="152">
        <f>ROUND(E51*F51,2)</f>
        <v/>
      </c>
      <c r="H51" s="216">
        <f>G51/$G$71</f>
        <v/>
      </c>
      <c r="I51" s="152" t="n">
        <v>2028.24</v>
      </c>
      <c r="J51" s="152">
        <f>ROUND(I51*E51,2)</f>
        <v/>
      </c>
      <c r="K51" s="175" t="n"/>
      <c r="L51" s="76" t="n"/>
    </row>
    <row r="52" outlineLevel="1" ht="25.5" customHeight="1" s="158">
      <c r="A52" s="212" t="n">
        <v>30</v>
      </c>
      <c r="B52" s="212" t="inlineStr">
        <is>
          <t>Прайс из СД ОП</t>
        </is>
      </c>
      <c r="C52" s="211" t="inlineStr">
        <is>
          <t xml:space="preserve">Реле времени 0.1-1 с, 220 В, УХЛ4,ПП ,РСВ15-2, </t>
        </is>
      </c>
      <c r="D52" s="212" t="inlineStr">
        <is>
          <t>шт</t>
        </is>
      </c>
      <c r="E52" s="151" t="n">
        <v>36</v>
      </c>
      <c r="F52" s="214">
        <f>ROUND(I52/Прил.10!$D$13,2)</f>
        <v/>
      </c>
      <c r="G52" s="152">
        <f>ROUND(E52*F52,2)</f>
        <v/>
      </c>
      <c r="H52" s="216">
        <f>G52/$G$71</f>
        <v/>
      </c>
      <c r="I52" s="152" t="n">
        <v>1890.52</v>
      </c>
      <c r="J52" s="152">
        <f>ROUND(I52*E52,2)</f>
        <v/>
      </c>
      <c r="K52" s="175" t="n"/>
      <c r="L52" s="76" t="n"/>
    </row>
    <row r="53" outlineLevel="1" s="158">
      <c r="A53" s="212" t="n">
        <v>31</v>
      </c>
      <c r="B53" s="212" t="inlineStr">
        <is>
          <t>Прайс из СД ОП</t>
        </is>
      </c>
      <c r="C53" s="211" t="inlineStr">
        <is>
          <t xml:space="preserve">Реле времени статическое РСВ01-1       </t>
        </is>
      </c>
      <c r="D53" s="212" t="inlineStr">
        <is>
          <t>шт</t>
        </is>
      </c>
      <c r="E53" s="151" t="n">
        <v>30</v>
      </c>
      <c r="F53" s="214">
        <f>ROUND(I53/Прил.10!$D$13,2)</f>
        <v/>
      </c>
      <c r="G53" s="152">
        <f>ROUND(E53*F53,2)</f>
        <v/>
      </c>
      <c r="H53" s="216">
        <f>G53/$G$71</f>
        <v/>
      </c>
      <c r="I53" s="152" t="n">
        <v>2157.2</v>
      </c>
      <c r="J53" s="152">
        <f>ROUND(I53*E53,2)</f>
        <v/>
      </c>
      <c r="K53" s="175" t="n"/>
      <c r="L53" s="76" t="n"/>
    </row>
    <row r="54" outlineLevel="1" s="158">
      <c r="A54" s="212" t="n">
        <v>32</v>
      </c>
      <c r="B54" s="212" t="inlineStr">
        <is>
          <t>Прайс из СД ОП</t>
        </is>
      </c>
      <c r="C54" s="211" t="inlineStr">
        <is>
          <t xml:space="preserve">Реле промежуточное Финдер       </t>
        </is>
      </c>
      <c r="D54" s="212" t="inlineStr">
        <is>
          <t>шт</t>
        </is>
      </c>
      <c r="E54" s="151" t="n">
        <v>46</v>
      </c>
      <c r="F54" s="214">
        <f>ROUND(I54/Прил.10!$D$13,2)</f>
        <v/>
      </c>
      <c r="G54" s="152">
        <f>ROUND(E54*F54,2)</f>
        <v/>
      </c>
      <c r="H54" s="216">
        <f>G54/$G$71</f>
        <v/>
      </c>
      <c r="I54" s="152" t="n">
        <v>994.71</v>
      </c>
      <c r="J54" s="152">
        <f>ROUND(I54*E54,2)</f>
        <v/>
      </c>
      <c r="K54" s="175" t="n"/>
      <c r="L54" s="76" t="n"/>
    </row>
    <row r="55" outlineLevel="1" ht="25.5" customHeight="1" s="158">
      <c r="A55" s="212" t="n">
        <v>33</v>
      </c>
      <c r="B55" s="212" t="inlineStr">
        <is>
          <t>Прайс из СД ОП</t>
        </is>
      </c>
      <c r="C55" s="211" t="inlineStr">
        <is>
          <t xml:space="preserve">Переключатель кулачковый 4G10-55-U-R014 </t>
        </is>
      </c>
      <c r="D55" s="212" t="inlineStr">
        <is>
          <t>шт</t>
        </is>
      </c>
      <c r="E55" s="151" t="n">
        <v>37</v>
      </c>
      <c r="F55" s="214">
        <f>ROUND(I55/Прил.10!$D$13,2)</f>
        <v/>
      </c>
      <c r="G55" s="152">
        <f>ROUND(E55*F55,2)</f>
        <v/>
      </c>
      <c r="H55" s="216">
        <f>G55/$G$71</f>
        <v/>
      </c>
      <c r="I55" s="152" t="n">
        <v>608.47</v>
      </c>
      <c r="J55" s="152">
        <f>ROUND(I55*E55,2)</f>
        <v/>
      </c>
      <c r="K55" s="175" t="n"/>
      <c r="L55" s="76" t="n"/>
    </row>
    <row r="56" outlineLevel="1" ht="25.5" customHeight="1" s="158">
      <c r="A56" s="212" t="n">
        <v>34</v>
      </c>
      <c r="B56" s="212" t="inlineStr">
        <is>
          <t>Прайс из СД ОП</t>
        </is>
      </c>
      <c r="C56" s="211" t="inlineStr">
        <is>
          <t xml:space="preserve">Переключатель кулачковый 4G10-90-u-r014 </t>
        </is>
      </c>
      <c r="D56" s="212" t="inlineStr">
        <is>
          <t>шт</t>
        </is>
      </c>
      <c r="E56" s="151" t="n">
        <v>37</v>
      </c>
      <c r="F56" s="214">
        <f>ROUND(I56/Прил.10!$D$13,2)</f>
        <v/>
      </c>
      <c r="G56" s="152">
        <f>ROUND(E56*F56,2)</f>
        <v/>
      </c>
      <c r="H56" s="216">
        <f>G56/$G$71</f>
        <v/>
      </c>
      <c r="I56" s="152" t="n">
        <v>520.33</v>
      </c>
      <c r="J56" s="152">
        <f>ROUND(I56*E56,2)</f>
        <v/>
      </c>
      <c r="K56" s="175" t="n"/>
      <c r="L56" s="76" t="n"/>
    </row>
    <row r="57" outlineLevel="1" s="158">
      <c r="A57" s="212" t="n">
        <v>35</v>
      </c>
      <c r="B57" s="212" t="inlineStr">
        <is>
          <t>Прайс из СД ОП</t>
        </is>
      </c>
      <c r="C57" s="211" t="inlineStr">
        <is>
          <t xml:space="preserve">Блок-контакт состояния OF </t>
        </is>
      </c>
      <c r="D57" s="212" t="inlineStr">
        <is>
          <t>шт</t>
        </is>
      </c>
      <c r="E57" s="151" t="n">
        <v>9</v>
      </c>
      <c r="F57" s="214">
        <f>ROUND(I57/Прил.10!$D$13,2)</f>
        <v/>
      </c>
      <c r="G57" s="152">
        <f>ROUND(E57*F57,2)</f>
        <v/>
      </c>
      <c r="H57" s="216">
        <f>G57/$G$71</f>
        <v/>
      </c>
      <c r="I57" s="152" t="n">
        <v>1288.93</v>
      </c>
      <c r="J57" s="152">
        <f>ROUND(I57*E57,2)</f>
        <v/>
      </c>
      <c r="K57" s="175" t="n"/>
      <c r="L57" s="76" t="n"/>
    </row>
    <row r="58" outlineLevel="1" ht="25.5" customHeight="1" s="158">
      <c r="A58" s="212" t="n">
        <v>36</v>
      </c>
      <c r="B58" s="212" t="inlineStr">
        <is>
          <t>Прайс из СД ОП</t>
        </is>
      </c>
      <c r="C58" s="211" t="inlineStr">
        <is>
          <t xml:space="preserve">Переключатель комутационный с защитным кожухом ПМОФ90-111111/1 </t>
        </is>
      </c>
      <c r="D58" s="212" t="inlineStr">
        <is>
          <t>шт</t>
        </is>
      </c>
      <c r="E58" s="151" t="n">
        <v>2</v>
      </c>
      <c r="F58" s="214">
        <f>ROUND(I58/Прил.10!$D$13,2)</f>
        <v/>
      </c>
      <c r="G58" s="152">
        <f>ROUND(E58*F58,2)</f>
        <v/>
      </c>
      <c r="H58" s="216">
        <f>G58/$G$71</f>
        <v/>
      </c>
      <c r="I58" s="152" t="n">
        <v>5796.76</v>
      </c>
      <c r="J58" s="152">
        <f>ROUND(I58*E58,2)</f>
        <v/>
      </c>
      <c r="K58" s="175" t="n"/>
      <c r="L58" s="76" t="n"/>
    </row>
    <row r="59" outlineLevel="1" s="158">
      <c r="A59" s="212" t="n">
        <v>37</v>
      </c>
      <c r="B59" s="212" t="inlineStr">
        <is>
          <t>Прайс из СД ОП</t>
        </is>
      </c>
      <c r="C59" s="211" t="inlineStr">
        <is>
          <t xml:space="preserve">Выключатель автоматический С60N-3р </t>
        </is>
      </c>
      <c r="D59" s="212" t="inlineStr">
        <is>
          <t>шт</t>
        </is>
      </c>
      <c r="E59" s="151" t="n">
        <v>4</v>
      </c>
      <c r="F59" s="214">
        <f>ROUND(I59/Прил.10!$D$13,2)</f>
        <v/>
      </c>
      <c r="G59" s="152">
        <f>ROUND(E59*F59,2)</f>
        <v/>
      </c>
      <c r="H59" s="216">
        <f>G59/$G$71</f>
        <v/>
      </c>
      <c r="I59" s="152" t="n">
        <v>2127.77</v>
      </c>
      <c r="J59" s="152">
        <f>ROUND(I59*E59,2)</f>
        <v/>
      </c>
      <c r="K59" s="175" t="n"/>
      <c r="L59" s="76" t="n"/>
    </row>
    <row r="60" outlineLevel="1" ht="38.25" customHeight="1" s="158">
      <c r="A60" s="212" t="n">
        <v>38</v>
      </c>
      <c r="B60" s="212" t="inlineStr">
        <is>
          <t>Прайс из СД ОП</t>
        </is>
      </c>
      <c r="C60" s="211" t="inlineStr">
        <is>
          <t xml:space="preserve">Лампа индикаторная светодиодная СКЛ14А-Л-2-220,СКЛ14А-К-2-220, СКД14А-Ж-2-220 </t>
        </is>
      </c>
      <c r="D60" s="212" t="inlineStr">
        <is>
          <t>шт</t>
        </is>
      </c>
      <c r="E60" s="151" t="n">
        <v>113</v>
      </c>
      <c r="F60" s="214">
        <f>ROUND(I60/Прил.10!$D$13,2)</f>
        <v/>
      </c>
      <c r="G60" s="152">
        <f>ROUND(E60*F60,2)</f>
        <v/>
      </c>
      <c r="H60" s="216">
        <f>G60/$G$71</f>
        <v/>
      </c>
      <c r="I60" s="152" t="n">
        <v>70.55</v>
      </c>
      <c r="J60" s="152">
        <f>ROUND(I60*E60,2)</f>
        <v/>
      </c>
      <c r="K60" s="175" t="n"/>
      <c r="L60" s="76" t="n"/>
    </row>
    <row r="61" outlineLevel="1" ht="25.5" customHeight="1" s="158">
      <c r="A61" s="212" t="n">
        <v>39</v>
      </c>
      <c r="B61" s="212" t="inlineStr">
        <is>
          <t>Прайс из СД ОП</t>
        </is>
      </c>
      <c r="C61" s="211" t="inlineStr">
        <is>
          <t xml:space="preserve">Переключатель кулачковый 4G10-62-U-R014 </t>
        </is>
      </c>
      <c r="D61" s="212" t="inlineStr">
        <is>
          <t>шт</t>
        </is>
      </c>
      <c r="E61" s="151" t="n">
        <v>4</v>
      </c>
      <c r="F61" s="214">
        <f>ROUND(I61/Прил.10!$D$13,2)</f>
        <v/>
      </c>
      <c r="G61" s="152">
        <f>ROUND(E61*F61,2)</f>
        <v/>
      </c>
      <c r="H61" s="216">
        <f>G61/$G$71</f>
        <v/>
      </c>
      <c r="I61" s="152" t="n">
        <v>1332.13</v>
      </c>
      <c r="J61" s="152">
        <f>ROUND(I61*E61,2)</f>
        <v/>
      </c>
      <c r="K61" s="175" t="n"/>
      <c r="L61" s="76" t="n"/>
    </row>
    <row r="62" outlineLevel="1" s="158">
      <c r="A62" s="212" t="n">
        <v>40</v>
      </c>
      <c r="B62" s="212" t="inlineStr">
        <is>
          <t>Прайс из СД ОП</t>
        </is>
      </c>
      <c r="C62" s="211" t="inlineStr">
        <is>
          <t xml:space="preserve">Выключатель автоматический С60N-2р </t>
        </is>
      </c>
      <c r="D62" s="212" t="inlineStr">
        <is>
          <t>шт</t>
        </is>
      </c>
      <c r="E62" s="151" t="n">
        <v>2</v>
      </c>
      <c r="F62" s="214">
        <f>ROUND(I62/Прил.10!$D$13,2)</f>
        <v/>
      </c>
      <c r="G62" s="152">
        <f>ROUND(E62*F62,2)</f>
        <v/>
      </c>
      <c r="H62" s="216">
        <f>G62/$G$71</f>
        <v/>
      </c>
      <c r="I62" s="152" t="n">
        <v>2042.01</v>
      </c>
      <c r="J62" s="152">
        <f>ROUND(I62*E62,2)</f>
        <v/>
      </c>
      <c r="K62" s="175" t="n"/>
      <c r="L62" s="76" t="n"/>
    </row>
    <row r="63" outlineLevel="1" s="158">
      <c r="A63" s="212" t="n">
        <v>41</v>
      </c>
      <c r="B63" s="212" t="inlineStr">
        <is>
          <t>Прайс из СД ОП</t>
        </is>
      </c>
      <c r="C63" s="211" t="inlineStr">
        <is>
          <t xml:space="preserve">Реле указательное РУ21-1/0,025       </t>
        </is>
      </c>
      <c r="D63" s="212" t="inlineStr">
        <is>
          <t>шт</t>
        </is>
      </c>
      <c r="E63" s="151" t="n">
        <v>4</v>
      </c>
      <c r="F63" s="214">
        <f>ROUND(I63/Прил.10!$D$13,2)</f>
        <v/>
      </c>
      <c r="G63" s="152">
        <f>ROUND(E63*F63,2)</f>
        <v/>
      </c>
      <c r="H63" s="216">
        <f>G63/$G$71</f>
        <v/>
      </c>
      <c r="I63" s="152" t="n">
        <v>980.3200000000001</v>
      </c>
      <c r="J63" s="152">
        <f>ROUND(I63*E63,2)</f>
        <v/>
      </c>
      <c r="K63" s="175" t="n"/>
      <c r="L63" s="76" t="n"/>
    </row>
    <row r="64" outlineLevel="1" ht="25.5" customHeight="1" s="158">
      <c r="A64" s="212" t="n">
        <v>42</v>
      </c>
      <c r="B64" s="212" t="inlineStr">
        <is>
          <t>Прайс из СД ОП</t>
        </is>
      </c>
      <c r="C64" s="211" t="inlineStr">
        <is>
          <t xml:space="preserve">Переключатель кулачковый 4G10-10-U-R014 </t>
        </is>
      </c>
      <c r="D64" s="212" t="inlineStr">
        <is>
          <t>шт</t>
        </is>
      </c>
      <c r="E64" s="151" t="n">
        <v>4</v>
      </c>
      <c r="F64" s="214">
        <f>ROUND(I64/Прил.10!$D$13,2)</f>
        <v/>
      </c>
      <c r="G64" s="152">
        <f>ROUND(E64*F64,2)</f>
        <v/>
      </c>
      <c r="H64" s="216">
        <f>G64/$G$71</f>
        <v/>
      </c>
      <c r="I64" s="152" t="n">
        <v>618.9299999999999</v>
      </c>
      <c r="J64" s="152">
        <f>ROUND(I64*E64,2)</f>
        <v/>
      </c>
      <c r="K64" s="175" t="n"/>
      <c r="L64" s="76" t="n"/>
    </row>
    <row r="65" outlineLevel="1" s="158">
      <c r="A65" s="212" t="n">
        <v>43</v>
      </c>
      <c r="B65" s="212" t="inlineStr">
        <is>
          <t>Прайс из СД ОП</t>
        </is>
      </c>
      <c r="C65" s="211" t="inlineStr">
        <is>
          <t xml:space="preserve">Вольтметр 10000/100В </t>
        </is>
      </c>
      <c r="D65" s="212" t="inlineStr">
        <is>
          <t>шт</t>
        </is>
      </c>
      <c r="E65" s="151" t="n">
        <v>2</v>
      </c>
      <c r="F65" s="214">
        <f>ROUND(I65/Прил.10!$D$13,2)</f>
        <v/>
      </c>
      <c r="G65" s="152">
        <f>ROUND(E65*F65,2)</f>
        <v/>
      </c>
      <c r="H65" s="216">
        <f>G65/$G$71</f>
        <v/>
      </c>
      <c r="I65" s="152" t="n">
        <v>1060.38</v>
      </c>
      <c r="J65" s="152">
        <f>ROUND(I65*E65,2)</f>
        <v/>
      </c>
      <c r="K65" s="175" t="n"/>
      <c r="L65" s="76" t="n"/>
    </row>
    <row r="66" outlineLevel="1" ht="25.5" customHeight="1" s="158">
      <c r="A66" s="212" t="n">
        <v>44</v>
      </c>
      <c r="B66" s="212" t="inlineStr">
        <is>
          <t>Прайс из СД ОП</t>
        </is>
      </c>
      <c r="C66" s="211" t="inlineStr">
        <is>
          <t xml:space="preserve">Переключатель кулачковый 4G10-100-U-R014 </t>
        </is>
      </c>
      <c r="D66" s="212" t="inlineStr">
        <is>
          <t>шт</t>
        </is>
      </c>
      <c r="E66" s="151" t="n">
        <v>2</v>
      </c>
      <c r="F66" s="214">
        <f>ROUND(I66/Прил.10!$D$13,2)</f>
        <v/>
      </c>
      <c r="G66" s="152">
        <f>ROUND(E66*F66,2)</f>
        <v/>
      </c>
      <c r="H66" s="216">
        <f>G66/$G$71</f>
        <v/>
      </c>
      <c r="I66" s="152" t="n">
        <v>650.41</v>
      </c>
      <c r="J66" s="152">
        <f>ROUND(I66*E66,2)</f>
        <v/>
      </c>
      <c r="K66" s="175" t="n"/>
      <c r="L66" s="76" t="n"/>
    </row>
    <row r="67" outlineLevel="1" s="158">
      <c r="A67" s="212" t="n">
        <v>45</v>
      </c>
      <c r="B67" s="212" t="inlineStr">
        <is>
          <t>Прайс из СД ОП</t>
        </is>
      </c>
      <c r="C67" s="211" t="inlineStr">
        <is>
          <t xml:space="preserve">Колодка монтажная     </t>
        </is>
      </c>
      <c r="D67" s="212" t="inlineStr">
        <is>
          <t>шт</t>
        </is>
      </c>
      <c r="E67" s="151" t="n">
        <v>46</v>
      </c>
      <c r="F67" s="214">
        <f>ROUND(I67/Прил.10!$D$13,2)</f>
        <v/>
      </c>
      <c r="G67" s="152">
        <f>ROUND(E67*F67,2)</f>
        <v/>
      </c>
      <c r="H67" s="216">
        <f>G67/$G$71</f>
        <v/>
      </c>
      <c r="I67" s="152" t="n">
        <v>18.78</v>
      </c>
      <c r="J67" s="152">
        <f>ROUND(I67*E67,2)</f>
        <v/>
      </c>
      <c r="K67" s="175" t="n"/>
      <c r="L67" s="76" t="n"/>
    </row>
    <row r="68" outlineLevel="1" s="158">
      <c r="A68" s="212" t="n">
        <v>46</v>
      </c>
      <c r="B68" s="212" t="inlineStr">
        <is>
          <t>Прайс из СД ОП</t>
        </is>
      </c>
      <c r="C68" s="211" t="inlineStr">
        <is>
          <t xml:space="preserve">Диод выпрямительный КД-205А     </t>
        </is>
      </c>
      <c r="D68" s="212" t="inlineStr">
        <is>
          <t>шт</t>
        </is>
      </c>
      <c r="E68" s="151" t="n">
        <v>34</v>
      </c>
      <c r="F68" s="214">
        <f>ROUND(I68/Прил.10!$D$13,2)</f>
        <v/>
      </c>
      <c r="G68" s="152">
        <f>ROUND(E68*F68,2)</f>
        <v/>
      </c>
      <c r="H68" s="216">
        <f>G68/$G$71</f>
        <v/>
      </c>
      <c r="I68" s="152" t="n">
        <v>16.9</v>
      </c>
      <c r="J68" s="152">
        <f>ROUND(I68*E68,2)</f>
        <v/>
      </c>
      <c r="K68" s="175" t="n"/>
      <c r="L68" s="76" t="n"/>
    </row>
    <row r="69" outlineLevel="1" s="158">
      <c r="A69" s="212" t="n">
        <v>47</v>
      </c>
      <c r="B69" s="212" t="inlineStr">
        <is>
          <t>Прайс из СД ОП</t>
        </is>
      </c>
      <c r="C69" s="211" t="inlineStr">
        <is>
          <t xml:space="preserve">Блок зажимов на 12 клемм  </t>
        </is>
      </c>
      <c r="D69" s="212" t="inlineStr">
        <is>
          <t>шт</t>
        </is>
      </c>
      <c r="E69" s="151" t="n">
        <v>2</v>
      </c>
      <c r="F69" s="214">
        <f>ROUND(I69/Прил.10!$D$13,2)</f>
        <v/>
      </c>
      <c r="G69" s="152">
        <f>ROUND(E69*F69,2)</f>
        <v/>
      </c>
      <c r="H69" s="216">
        <f>G69/$G$71</f>
        <v/>
      </c>
      <c r="I69" s="152" t="n">
        <v>257.29</v>
      </c>
      <c r="J69" s="152">
        <f>ROUND(I69*E69,2)</f>
        <v/>
      </c>
      <c r="K69" s="175" t="n"/>
      <c r="L69" s="76" t="n"/>
    </row>
    <row r="70" s="158">
      <c r="A70" s="212" t="n"/>
      <c r="B70" s="212" t="n"/>
      <c r="C70" s="211" t="inlineStr">
        <is>
          <t>Итого прочее оборудование</t>
        </is>
      </c>
      <c r="D70" s="212" t="n"/>
      <c r="E70" s="213" t="n"/>
      <c r="F70" s="214" t="n"/>
      <c r="G70" s="152">
        <f>SUM(G43:G69)</f>
        <v/>
      </c>
      <c r="H70" s="216">
        <f>G70/$G$71</f>
        <v/>
      </c>
      <c r="I70" s="152" t="n"/>
      <c r="J70" s="152">
        <f>SUM(J43:J69)</f>
        <v/>
      </c>
      <c r="K70" s="175" t="n"/>
      <c r="L70" s="76" t="n"/>
    </row>
    <row r="71" s="158">
      <c r="A71" s="212" t="n"/>
      <c r="B71" s="212" t="n"/>
      <c r="C71" s="206" t="inlineStr">
        <is>
          <t>Итого по разделу «Оборудование»</t>
        </is>
      </c>
      <c r="D71" s="212" t="n"/>
      <c r="E71" s="213" t="n"/>
      <c r="F71" s="214" t="n"/>
      <c r="G71" s="152">
        <f>G70+G42</f>
        <v/>
      </c>
      <c r="H71" s="216">
        <f>(G42+G70)/G71</f>
        <v/>
      </c>
      <c r="I71" s="152" t="n"/>
      <c r="J71" s="152">
        <f>J70+J42</f>
        <v/>
      </c>
      <c r="K71" s="175" t="n"/>
      <c r="L71" s="76" t="n"/>
    </row>
    <row r="72" ht="25.5" customHeight="1" s="158">
      <c r="A72" s="212" t="n"/>
      <c r="B72" s="212" t="n"/>
      <c r="C72" s="211" t="inlineStr">
        <is>
          <t>в том числе технологическое оборудование</t>
        </is>
      </c>
      <c r="D72" s="212" t="n"/>
      <c r="E72" s="213" t="n"/>
      <c r="F72" s="214" t="n"/>
      <c r="G72" s="152">
        <f>'Прил.6 Расчет ОБ'!G40</f>
        <v/>
      </c>
      <c r="H72" s="216">
        <f>G72/$G$71</f>
        <v/>
      </c>
      <c r="I72" s="152" t="n"/>
      <c r="J72" s="152">
        <f>ROUND(G72*Прил.10!$D$13,2)</f>
        <v/>
      </c>
      <c r="K72" s="175" t="n"/>
      <c r="L72" s="76" t="n"/>
    </row>
    <row r="73" ht="14.25" customFormat="1" customHeight="1" s="175">
      <c r="A73" s="212" t="n"/>
      <c r="B73" s="244" t="inlineStr">
        <is>
          <t>Материалы</t>
        </is>
      </c>
      <c r="J73" s="245" t="n"/>
      <c r="L73" s="76" t="n"/>
    </row>
    <row r="74" ht="14.25" customFormat="1" customHeight="1" s="175">
      <c r="A74" s="212" t="n"/>
      <c r="B74" s="211" t="inlineStr">
        <is>
          <t>Основные материалы</t>
        </is>
      </c>
      <c r="C74" s="238" t="n"/>
      <c r="D74" s="238" t="n"/>
      <c r="E74" s="238" t="n"/>
      <c r="F74" s="238" t="n"/>
      <c r="G74" s="238" t="n"/>
      <c r="H74" s="239" t="n"/>
      <c r="I74" s="216" t="n"/>
      <c r="J74" s="216" t="n"/>
    </row>
    <row r="75" ht="14.25" customFormat="1" customHeight="1" s="175">
      <c r="A75" s="212" t="n">
        <v>48</v>
      </c>
      <c r="B75" s="80" t="inlineStr">
        <is>
          <t>20.1.02.04-0002</t>
        </is>
      </c>
      <c r="C75" s="211" t="inlineStr">
        <is>
          <t>Клемма проходная WDU 2,5</t>
        </is>
      </c>
      <c r="D75" s="212" t="inlineStr">
        <is>
          <t>100 шт</t>
        </is>
      </c>
      <c r="E75" s="151" t="n">
        <v>76</v>
      </c>
      <c r="F75" s="152" t="n">
        <v>884</v>
      </c>
      <c r="G75" s="152">
        <f>ROUND(E75*F75,2)</f>
        <v/>
      </c>
      <c r="H75" s="152">
        <f>G75/$G$127</f>
        <v/>
      </c>
      <c r="I75" s="152">
        <f>ROUND(F75*Прил.10!$D$12,2)</f>
        <v/>
      </c>
      <c r="J75" s="152">
        <f>ROUND(I75*E75,2)</f>
        <v/>
      </c>
    </row>
    <row r="76" ht="14.25" customFormat="1" customHeight="1" s="175">
      <c r="A76" s="212" t="n">
        <v>49</v>
      </c>
      <c r="B76" s="80" t="inlineStr">
        <is>
          <t>01.7.15.07-0014</t>
        </is>
      </c>
      <c r="C76" s="211" t="inlineStr">
        <is>
          <t>Дюбели распорные полипропиленовые</t>
        </is>
      </c>
      <c r="D76" s="212" t="inlineStr">
        <is>
          <t>100 шт</t>
        </is>
      </c>
      <c r="E76" s="151" t="n">
        <v>212.14</v>
      </c>
      <c r="F76" s="152" t="n">
        <v>86</v>
      </c>
      <c r="G76" s="152">
        <f>ROUND(E76*F76,2)</f>
        <v/>
      </c>
      <c r="H76" s="152">
        <f>G76/$G$127</f>
        <v/>
      </c>
      <c r="I76" s="152">
        <f>ROUND(F76*Прил.10!$D$12,2)</f>
        <v/>
      </c>
      <c r="J76" s="152">
        <f>ROUND(I76*E76,2)</f>
        <v/>
      </c>
    </row>
    <row r="77" ht="25.5" customFormat="1" customHeight="1" s="175">
      <c r="A77" s="212" t="n">
        <v>50</v>
      </c>
      <c r="B77" s="80" t="inlineStr">
        <is>
          <t>21.2.03.05-0084</t>
        </is>
      </c>
      <c r="C77" s="211" t="inlineStr">
        <is>
          <t>Провод силовой установочный с медными жилами ППВ 2х1,5-450</t>
        </is>
      </c>
      <c r="D77" s="212" t="inlineStr">
        <is>
          <t>1000 м</t>
        </is>
      </c>
      <c r="E77" s="151" t="n">
        <v>5.814</v>
      </c>
      <c r="F77" s="152" t="n">
        <v>2567.03</v>
      </c>
      <c r="G77" s="152">
        <f>ROUND(E77*F77,2)</f>
        <v/>
      </c>
      <c r="H77" s="152">
        <f>G77/$G$127</f>
        <v/>
      </c>
      <c r="I77" s="152">
        <f>ROUND(F77*Прил.10!$D$12,2)</f>
        <v/>
      </c>
      <c r="J77" s="152">
        <f>ROUND(I77*E77,2)</f>
        <v/>
      </c>
    </row>
    <row r="78" ht="38.25" customFormat="1" customHeight="1" s="175">
      <c r="A78" s="212" t="n">
        <v>51</v>
      </c>
      <c r="B78" s="80" t="inlineStr">
        <is>
          <t>05.1.05.01-0021</t>
        </is>
      </c>
      <c r="C78" s="211" t="inlineStr">
        <is>
          <t>Балки фундаментные 2БФ 60-2, бетон B25, объем 0,40 м3, расход арматуры 60,6 кг</t>
        </is>
      </c>
      <c r="D78" s="212" t="inlineStr">
        <is>
          <t>шт</t>
        </is>
      </c>
      <c r="E78" s="151" t="n">
        <v>6</v>
      </c>
      <c r="F78" s="152" t="n">
        <v>1028.46</v>
      </c>
      <c r="G78" s="152">
        <f>ROUND(E78*F78,2)</f>
        <v/>
      </c>
      <c r="H78" s="152">
        <f>G78/$G$127</f>
        <v/>
      </c>
      <c r="I78" s="152">
        <f>ROUND(F78*Прил.10!$D$12,2)</f>
        <v/>
      </c>
      <c r="J78" s="152">
        <f>ROUND(I78*E78,2)</f>
        <v/>
      </c>
    </row>
    <row r="79" ht="14.25" customFormat="1" customHeight="1" s="175">
      <c r="A79" s="212" t="n"/>
      <c r="B79" s="212" t="n"/>
      <c r="C79" s="211" t="inlineStr">
        <is>
          <t>Итого основные материалы</t>
        </is>
      </c>
      <c r="D79" s="212" t="n"/>
      <c r="E79" s="151" t="n"/>
      <c r="F79" s="214" t="n"/>
      <c r="G79" s="152">
        <f>SUM(G75:G78)</f>
        <v/>
      </c>
      <c r="H79" s="216">
        <f>G79/$G$127</f>
        <v/>
      </c>
      <c r="I79" s="152" t="n"/>
      <c r="J79" s="152">
        <f>SUM(J75:J78)</f>
        <v/>
      </c>
      <c r="L79" s="76" t="n"/>
    </row>
    <row r="80" outlineLevel="1" ht="63.75" customFormat="1" customHeight="1" s="175">
      <c r="A80" s="212" t="n">
        <v>52</v>
      </c>
      <c r="B80" s="80" t="inlineStr">
        <is>
          <t>21.2.03.05-0086</t>
        </is>
      </c>
      <c r="C80" s="211" t="inlineStr">
        <is>
          <t>Провода силовые для электрических установок на напряжение до 450 В с медными жилами плоские с разделитель-ным основанием марки: ППВ, с числом жил - 2 и сечением 2,5 мм2</t>
        </is>
      </c>
      <c r="D80" s="212" t="inlineStr">
        <is>
          <t>1000 м</t>
        </is>
      </c>
      <c r="E80" s="151" t="n">
        <v>0.765</v>
      </c>
      <c r="F80" s="152" t="n">
        <v>4037.16</v>
      </c>
      <c r="G80" s="152">
        <f>ROUND(F80*E80,2)</f>
        <v/>
      </c>
      <c r="H80" s="152">
        <f>G80/$G$127</f>
        <v/>
      </c>
      <c r="I80" s="152">
        <f>ROUND(F80*Прил.10!$D$12,2)</f>
        <v/>
      </c>
      <c r="J80" s="152">
        <f>ROUND(I80*E80,2)</f>
        <v/>
      </c>
    </row>
    <row r="81" outlineLevel="1" ht="25.5" customFormat="1" customHeight="1" s="175">
      <c r="A81" s="212" t="n">
        <v>53</v>
      </c>
      <c r="B81" s="80" t="inlineStr">
        <is>
          <t>999-9950</t>
        </is>
      </c>
      <c r="C81" s="211" t="inlineStr">
        <is>
          <t>Вспомогательные ненормируемые ресурсы (2% от Оплаты труда рабочих)</t>
        </is>
      </c>
      <c r="D81" s="212" t="inlineStr">
        <is>
          <t>руб.</t>
        </is>
      </c>
      <c r="E81" s="151" t="n">
        <v>1859.7421</v>
      </c>
      <c r="F81" s="152" t="n">
        <v>1</v>
      </c>
      <c r="G81" s="152">
        <f>ROUND(F81*E81,2)</f>
        <v/>
      </c>
      <c r="H81" s="152">
        <f>G81/$G$127</f>
        <v/>
      </c>
      <c r="I81" s="152">
        <f>ROUND(F81*Прил.10!$D$12,2)</f>
        <v/>
      </c>
      <c r="J81" s="152">
        <f>ROUND(I81*E81,2)</f>
        <v/>
      </c>
    </row>
    <row r="82" outlineLevel="1" ht="25.5" customFormat="1" customHeight="1" s="175">
      <c r="A82" s="212" t="n">
        <v>54</v>
      </c>
      <c r="B82" s="80" t="inlineStr">
        <is>
          <t>01.3.01.07-0008</t>
        </is>
      </c>
      <c r="C82" s="211" t="inlineStr">
        <is>
          <t>Спирт этиловый ректификованный технический, сорт I</t>
        </is>
      </c>
      <c r="D82" s="212" t="inlineStr">
        <is>
          <t>т</t>
        </is>
      </c>
      <c r="E82" s="151" t="n">
        <v>0.0288</v>
      </c>
      <c r="F82" s="152" t="n">
        <v>38890</v>
      </c>
      <c r="G82" s="152">
        <f>ROUND(F82*E82,2)</f>
        <v/>
      </c>
      <c r="H82" s="152">
        <f>G82/$G$127</f>
        <v/>
      </c>
      <c r="I82" s="152">
        <f>ROUND(F82*Прил.10!$D$12,2)</f>
        <v/>
      </c>
      <c r="J82" s="152">
        <f>ROUND(I82*E82,2)</f>
        <v/>
      </c>
    </row>
    <row r="83" outlineLevel="1" ht="25.5" customFormat="1" customHeight="1" s="175">
      <c r="A83" s="212" t="n">
        <v>55</v>
      </c>
      <c r="B83" s="80" t="inlineStr">
        <is>
          <t>01.7.15.14-0161</t>
        </is>
      </c>
      <c r="C83" s="211" t="inlineStr">
        <is>
          <t>Шурупы с полукруглой головкой: 2,5х20 мм</t>
        </is>
      </c>
      <c r="D83" s="212" t="inlineStr">
        <is>
          <t>т</t>
        </is>
      </c>
      <c r="E83" s="151" t="n">
        <v>0.0333</v>
      </c>
      <c r="F83" s="152" t="n">
        <v>29800</v>
      </c>
      <c r="G83" s="152">
        <f>ROUND(F83*E83,2)</f>
        <v/>
      </c>
      <c r="H83" s="152">
        <f>G83/$G$127</f>
        <v/>
      </c>
      <c r="I83" s="152">
        <f>ROUND(F83*Прил.10!$D$12,2)</f>
        <v/>
      </c>
      <c r="J83" s="152">
        <f>ROUND(I83*E83,2)</f>
        <v/>
      </c>
    </row>
    <row r="84" outlineLevel="1" ht="25.5" customFormat="1" customHeight="1" s="175">
      <c r="A84" s="212" t="n">
        <v>56</v>
      </c>
      <c r="B84" s="80" t="inlineStr">
        <is>
          <t>07.2.07.04-0007</t>
        </is>
      </c>
      <c r="C84" s="211" t="inlineStr">
        <is>
          <t>Конструкции стальные индивидуальные: решетчатые сварные массой до 0,1 т</t>
        </is>
      </c>
      <c r="D84" s="212" t="inlineStr">
        <is>
          <t>т</t>
        </is>
      </c>
      <c r="E84" s="151" t="n">
        <v>0.0772</v>
      </c>
      <c r="F84" s="152" t="n">
        <v>11500</v>
      </c>
      <c r="G84" s="152">
        <f>ROUND(F84*E84,2)</f>
        <v/>
      </c>
      <c r="H84" s="152">
        <f>G84/$G$127</f>
        <v/>
      </c>
      <c r="I84" s="152">
        <f>ROUND(F84*Прил.10!$D$12,2)</f>
        <v/>
      </c>
      <c r="J84" s="152">
        <f>ROUND(I84*E84,2)</f>
        <v/>
      </c>
    </row>
    <row r="85" outlineLevel="1" ht="25.5" customFormat="1" customHeight="1" s="175">
      <c r="A85" s="212" t="n">
        <v>57</v>
      </c>
      <c r="B85" s="80" t="inlineStr">
        <is>
          <t>20.1.01.02-0067</t>
        </is>
      </c>
      <c r="C85" s="211" t="inlineStr">
        <is>
          <t>Зажим аппаратный прессуемый: А4А-400-2</t>
        </is>
      </c>
      <c r="D85" s="212" t="inlineStr">
        <is>
          <t>100 шт</t>
        </is>
      </c>
      <c r="E85" s="151" t="n">
        <v>0.1339</v>
      </c>
      <c r="F85" s="152" t="n">
        <v>6505</v>
      </c>
      <c r="G85" s="152">
        <f>ROUND(F85*E85,2)</f>
        <v/>
      </c>
      <c r="H85" s="152">
        <f>G85/$G$127</f>
        <v/>
      </c>
      <c r="I85" s="152">
        <f>ROUND(F85*Прил.10!$D$12,2)</f>
        <v/>
      </c>
      <c r="J85" s="152">
        <f>ROUND(I85*E85,2)</f>
        <v/>
      </c>
    </row>
    <row r="86" outlineLevel="1" ht="14.25" customFormat="1" customHeight="1" s="175">
      <c r="A86" s="212" t="n">
        <v>58</v>
      </c>
      <c r="B86" s="80" t="inlineStr">
        <is>
          <t>01.7.15.14-0165</t>
        </is>
      </c>
      <c r="C86" s="211" t="inlineStr">
        <is>
          <t>Шурупы с полукруглой головкой: 4x40 мм</t>
        </is>
      </c>
      <c r="D86" s="212" t="inlineStr">
        <is>
          <t>т</t>
        </is>
      </c>
      <c r="E86" s="151" t="n">
        <v>0.0624</v>
      </c>
      <c r="F86" s="152" t="n">
        <v>12430</v>
      </c>
      <c r="G86" s="152">
        <f>ROUND(F86*E86,2)</f>
        <v/>
      </c>
      <c r="H86" s="152">
        <f>G86/$G$127</f>
        <v/>
      </c>
      <c r="I86" s="152">
        <f>ROUND(F86*Прил.10!$D$12,2)</f>
        <v/>
      </c>
      <c r="J86" s="152">
        <f>ROUND(I86*E86,2)</f>
        <v/>
      </c>
    </row>
    <row r="87" outlineLevel="1" ht="38.25" customFormat="1" customHeight="1" s="175">
      <c r="A87" s="212" t="n">
        <v>59</v>
      </c>
      <c r="B87" s="80" t="inlineStr">
        <is>
          <t>01.7.06.05-0041</t>
        </is>
      </c>
      <c r="C87" s="211" t="inlineStr">
        <is>
          <t>Лента изоляционная прорезиненная односторонняя ширина 20 мм, толщина 0,25-0,35 мм</t>
        </is>
      </c>
      <c r="D87" s="212" t="inlineStr">
        <is>
          <t>кг</t>
        </is>
      </c>
      <c r="E87" s="151" t="n">
        <v>22.88</v>
      </c>
      <c r="F87" s="152" t="n">
        <v>30.4</v>
      </c>
      <c r="G87" s="152">
        <f>ROUND(F87*E87,2)</f>
        <v/>
      </c>
      <c r="H87" s="152">
        <f>G87/$G$127</f>
        <v/>
      </c>
      <c r="I87" s="152">
        <f>ROUND(F87*Прил.10!$D$12,2)</f>
        <v/>
      </c>
      <c r="J87" s="152">
        <f>ROUND(I87*E87,2)</f>
        <v/>
      </c>
    </row>
    <row r="88" outlineLevel="1" ht="14.25" customFormat="1" customHeight="1" s="175">
      <c r="A88" s="212" t="n">
        <v>60</v>
      </c>
      <c r="B88" s="80" t="inlineStr">
        <is>
          <t>20.5.04.05-0002</t>
        </is>
      </c>
      <c r="C88" s="211" t="inlineStr">
        <is>
          <t>Зажим ответвительный: ОА-400-2</t>
        </is>
      </c>
      <c r="D88" s="212" t="inlineStr">
        <is>
          <t>100 шт</t>
        </is>
      </c>
      <c r="E88" s="151" t="n">
        <v>0.0721</v>
      </c>
      <c r="F88" s="152" t="n">
        <v>8920</v>
      </c>
      <c r="G88" s="152">
        <f>ROUND(F88*E88,2)</f>
        <v/>
      </c>
      <c r="H88" s="152">
        <f>G88/$G$127</f>
        <v/>
      </c>
      <c r="I88" s="152">
        <f>ROUND(F88*Прил.10!$D$12,2)</f>
        <v/>
      </c>
      <c r="J88" s="152">
        <f>ROUND(I88*E88,2)</f>
        <v/>
      </c>
    </row>
    <row r="89" outlineLevel="1" ht="14.25" customFormat="1" customHeight="1" s="175">
      <c r="A89" s="212" t="n">
        <v>61</v>
      </c>
      <c r="B89" s="80" t="inlineStr">
        <is>
          <t>20.1.01.07-0003</t>
        </is>
      </c>
      <c r="C89" s="211" t="inlineStr">
        <is>
          <t>Зажим опорный: 2АА-6-3</t>
        </is>
      </c>
      <c r="D89" s="212" t="inlineStr">
        <is>
          <t>шт</t>
        </is>
      </c>
      <c r="E89" s="151" t="n">
        <v>13.39</v>
      </c>
      <c r="F89" s="152" t="n">
        <v>42.77</v>
      </c>
      <c r="G89" s="152">
        <f>ROUND(F89*E89,2)</f>
        <v/>
      </c>
      <c r="H89" s="152">
        <f>G89/$G$127</f>
        <v/>
      </c>
      <c r="I89" s="152">
        <f>ROUND(F89*Прил.10!$D$12,2)</f>
        <v/>
      </c>
      <c r="J89" s="152">
        <f>ROUND(I89*E89,2)</f>
        <v/>
      </c>
    </row>
    <row r="90" outlineLevel="1" ht="14.25" customFormat="1" customHeight="1" s="175">
      <c r="A90" s="212" t="n">
        <v>62</v>
      </c>
      <c r="B90" s="80" t="inlineStr">
        <is>
          <t>01.7.15.03-0042</t>
        </is>
      </c>
      <c r="C90" s="211" t="inlineStr">
        <is>
          <t>Болты с гайками и шайбами строительные</t>
        </is>
      </c>
      <c r="D90" s="212" t="inlineStr">
        <is>
          <t>кг</t>
        </is>
      </c>
      <c r="E90" s="151" t="n">
        <v>62.5424</v>
      </c>
      <c r="F90" s="152" t="n">
        <v>9.039999999999999</v>
      </c>
      <c r="G90" s="152">
        <f>ROUND(F90*E90,2)</f>
        <v/>
      </c>
      <c r="H90" s="152">
        <f>G90/$G$127</f>
        <v/>
      </c>
      <c r="I90" s="152">
        <f>ROUND(F90*Прил.10!$D$12,2)</f>
        <v/>
      </c>
      <c r="J90" s="152">
        <f>ROUND(I90*E90,2)</f>
        <v/>
      </c>
    </row>
    <row r="91" outlineLevel="1" ht="51" customFormat="1" customHeight="1" s="175">
      <c r="A91" s="212" t="n">
        <v>63</v>
      </c>
      <c r="B91" s="80" t="inlineStr">
        <is>
          <t>08.3.06.01-0003</t>
        </is>
      </c>
      <c r="C91" s="211" t="inlineStr">
        <is>
          <t>Прокат рифленый ромбического рифления, шириной от 1 до 1,9 м из горячекатаных листов с обрезными кромками сталь С235, толщиной: 4 мм</t>
        </is>
      </c>
      <c r="D91" s="212" t="inlineStr">
        <is>
          <t>т</t>
        </is>
      </c>
      <c r="E91" s="151" t="n">
        <v>0.056</v>
      </c>
      <c r="F91" s="152" t="n">
        <v>6834.81</v>
      </c>
      <c r="G91" s="152">
        <f>ROUND(F91*E91,2)</f>
        <v/>
      </c>
      <c r="H91" s="152">
        <f>G91/$G$127</f>
        <v/>
      </c>
      <c r="I91" s="152">
        <f>ROUND(F91*Прил.10!$D$12,2)</f>
        <v/>
      </c>
      <c r="J91" s="152">
        <f>ROUND(I91*E91,2)</f>
        <v/>
      </c>
    </row>
    <row r="92" outlineLevel="1" ht="14.25" customFormat="1" customHeight="1" s="175">
      <c r="A92" s="212" t="n">
        <v>64</v>
      </c>
      <c r="B92" s="80" t="inlineStr">
        <is>
          <t>08.3.11.01-0049</t>
        </is>
      </c>
      <c r="C92" s="211" t="inlineStr">
        <is>
          <t>Швеллеры: № 10 сталь марки Ст3пс</t>
        </is>
      </c>
      <c r="D92" s="212" t="inlineStr">
        <is>
          <t>т</t>
        </is>
      </c>
      <c r="E92" s="151" t="n">
        <v>0.07216</v>
      </c>
      <c r="F92" s="152" t="n">
        <v>4900</v>
      </c>
      <c r="G92" s="152">
        <f>ROUND(F92*E92,2)</f>
        <v/>
      </c>
      <c r="H92" s="152">
        <f>G92/$G$127</f>
        <v/>
      </c>
      <c r="I92" s="152">
        <f>ROUND(F92*Прил.10!$D$12,2)</f>
        <v/>
      </c>
      <c r="J92" s="152">
        <f>ROUND(I92*E92,2)</f>
        <v/>
      </c>
    </row>
    <row r="93" outlineLevel="1" ht="14.25" customFormat="1" customHeight="1" s="175">
      <c r="A93" s="212" t="n">
        <v>65</v>
      </c>
      <c r="B93" s="80" t="inlineStr">
        <is>
          <t>07.2.07.13-0171</t>
        </is>
      </c>
      <c r="C93" s="211" t="inlineStr">
        <is>
          <t>Подкладки металлические</t>
        </is>
      </c>
      <c r="D93" s="212" t="inlineStr">
        <is>
          <t>кг</t>
        </is>
      </c>
      <c r="E93" s="151" t="n">
        <v>24</v>
      </c>
      <c r="F93" s="152" t="n">
        <v>12.6</v>
      </c>
      <c r="G93" s="152">
        <f>ROUND(F93*E93,2)</f>
        <v/>
      </c>
      <c r="H93" s="152">
        <f>G93/$G$127</f>
        <v/>
      </c>
      <c r="I93" s="152">
        <f>ROUND(F93*Прил.10!$D$12,2)</f>
        <v/>
      </c>
      <c r="J93" s="152">
        <f>ROUND(I93*E93,2)</f>
        <v/>
      </c>
    </row>
    <row r="94" outlineLevel="1" ht="14.25" customFormat="1" customHeight="1" s="175">
      <c r="A94" s="212" t="n">
        <v>66</v>
      </c>
      <c r="B94" s="80" t="inlineStr">
        <is>
          <t>20.1.01.02-0038</t>
        </is>
      </c>
      <c r="C94" s="211" t="inlineStr">
        <is>
          <t>Зажим аппаратный прессуемый: А1А-50-2</t>
        </is>
      </c>
      <c r="D94" s="212" t="inlineStr">
        <is>
          <t>100 шт</t>
        </is>
      </c>
      <c r="E94" s="151" t="n">
        <v>0.1339</v>
      </c>
      <c r="F94" s="152" t="n">
        <v>1614</v>
      </c>
      <c r="G94" s="152">
        <f>ROUND(F94*E94,2)</f>
        <v/>
      </c>
      <c r="H94" s="152">
        <f>G94/$G$127</f>
        <v/>
      </c>
      <c r="I94" s="152">
        <f>ROUND(F94*Прил.10!$D$12,2)</f>
        <v/>
      </c>
      <c r="J94" s="152">
        <f>ROUND(I94*E94,2)</f>
        <v/>
      </c>
    </row>
    <row r="95" outlineLevel="1" ht="14.25" customFormat="1" customHeight="1" s="175">
      <c r="A95" s="212" t="n">
        <v>67</v>
      </c>
      <c r="B95" s="80" t="inlineStr">
        <is>
          <t>01.7.15.03-0038</t>
        </is>
      </c>
      <c r="C95" s="211" t="inlineStr">
        <is>
          <t>Болты с гайками и шайбами оцинкованные</t>
        </is>
      </c>
      <c r="D95" s="212" t="inlineStr">
        <is>
          <t>кг</t>
        </is>
      </c>
      <c r="E95" s="151" t="n">
        <v>8.199999999999999</v>
      </c>
      <c r="F95" s="152" t="n">
        <v>24.57</v>
      </c>
      <c r="G95" s="152">
        <f>ROUND(F95*E95,2)</f>
        <v/>
      </c>
      <c r="H95" s="152">
        <f>G95/$G$127</f>
        <v/>
      </c>
      <c r="I95" s="152">
        <f>ROUND(F95*Прил.10!$D$12,2)</f>
        <v/>
      </c>
      <c r="J95" s="152">
        <f>ROUND(I95*E95,2)</f>
        <v/>
      </c>
    </row>
    <row r="96" outlineLevel="1" ht="25.5" customFormat="1" customHeight="1" s="175">
      <c r="A96" s="212" t="n">
        <v>68</v>
      </c>
      <c r="B96" s="80" t="inlineStr">
        <is>
          <t>02.3.01.02-0015</t>
        </is>
      </c>
      <c r="C96" s="211" t="inlineStr">
        <is>
          <t>Песок природный для строительных: работ средний</t>
        </is>
      </c>
      <c r="D96" s="212" t="inlineStr">
        <is>
          <t>м3</t>
        </is>
      </c>
      <c r="E96" s="151" t="n">
        <v>2.4</v>
      </c>
      <c r="F96" s="152" t="n">
        <v>55.26</v>
      </c>
      <c r="G96" s="152">
        <f>ROUND(F96*E96,2)</f>
        <v/>
      </c>
      <c r="H96" s="152">
        <f>G96/$G$127</f>
        <v/>
      </c>
      <c r="I96" s="152">
        <f>ROUND(F96*Прил.10!$D$12,2)</f>
        <v/>
      </c>
      <c r="J96" s="152">
        <f>ROUND(I96*E96,2)</f>
        <v/>
      </c>
    </row>
    <row r="97" outlineLevel="1" ht="14.25" customFormat="1" customHeight="1" s="175">
      <c r="A97" s="212" t="n">
        <v>69</v>
      </c>
      <c r="B97" s="80" t="inlineStr">
        <is>
          <t>20.1.02.23-0082</t>
        </is>
      </c>
      <c r="C97" s="211" t="inlineStr">
        <is>
          <t>Перемычки гибкие, тип ПГС-50</t>
        </is>
      </c>
      <c r="D97" s="212" t="inlineStr">
        <is>
          <t>10 шт</t>
        </is>
      </c>
      <c r="E97" s="151" t="n">
        <v>2.5996</v>
      </c>
      <c r="F97" s="152" t="n">
        <v>39</v>
      </c>
      <c r="G97" s="152">
        <f>ROUND(F97*E97,2)</f>
        <v/>
      </c>
      <c r="H97" s="152">
        <f>G97/$G$127</f>
        <v/>
      </c>
      <c r="I97" s="152">
        <f>ROUND(F97*Прил.10!$D$12,2)</f>
        <v/>
      </c>
      <c r="J97" s="152">
        <f>ROUND(I97*E97,2)</f>
        <v/>
      </c>
    </row>
    <row r="98" outlineLevel="1" ht="14.25" customFormat="1" customHeight="1" s="175">
      <c r="A98" s="212" t="n">
        <v>70</v>
      </c>
      <c r="B98" s="80" t="inlineStr">
        <is>
          <t>04.1.02.01-0006</t>
        </is>
      </c>
      <c r="C98" s="211" t="inlineStr">
        <is>
          <t>Бетон мелкозернистый, класс: В15 (М200)</t>
        </is>
      </c>
      <c r="D98" s="212" t="inlineStr">
        <is>
          <t>м3</t>
        </is>
      </c>
      <c r="E98" s="151" t="n">
        <v>0.1704</v>
      </c>
      <c r="F98" s="152" t="n">
        <v>490</v>
      </c>
      <c r="G98" s="152">
        <f>ROUND(F98*E98,2)</f>
        <v/>
      </c>
      <c r="H98" s="152">
        <f>G98/$G$127</f>
        <v/>
      </c>
      <c r="I98" s="152">
        <f>ROUND(F98*Прил.10!$D$12,2)</f>
        <v/>
      </c>
      <c r="J98" s="152">
        <f>ROUND(I98*E98,2)</f>
        <v/>
      </c>
    </row>
    <row r="99" outlineLevel="1" ht="25.5" customFormat="1" customHeight="1" s="175">
      <c r="A99" s="212" t="n">
        <v>71</v>
      </c>
      <c r="B99" s="80" t="inlineStr">
        <is>
          <t>08.3.08.02-0052</t>
        </is>
      </c>
      <c r="C99" s="211" t="inlineStr">
        <is>
          <t>Сталь угловая равнополочная, марка стали: ВСт3кп2, размером 50x50x5 мм</t>
        </is>
      </c>
      <c r="D99" s="212" t="inlineStr">
        <is>
          <t>т</t>
        </is>
      </c>
      <c r="E99" s="151" t="n">
        <v>0.0126</v>
      </c>
      <c r="F99" s="152" t="n">
        <v>5763</v>
      </c>
      <c r="G99" s="152">
        <f>ROUND(F99*E99,2)</f>
        <v/>
      </c>
      <c r="H99" s="152">
        <f>G99/$G$127</f>
        <v/>
      </c>
      <c r="I99" s="152">
        <f>ROUND(F99*Прил.10!$D$12,2)</f>
        <v/>
      </c>
      <c r="J99" s="152">
        <f>ROUND(I99*E99,2)</f>
        <v/>
      </c>
    </row>
    <row r="100" outlineLevel="1" ht="25.5" customFormat="1" customHeight="1" s="175">
      <c r="A100" s="212" t="n">
        <v>72</v>
      </c>
      <c r="B100" s="80" t="inlineStr">
        <is>
          <t>01.3.01.06-0050</t>
        </is>
      </c>
      <c r="C100" s="211" t="inlineStr">
        <is>
          <t>Смазка универсальная тугоплавкая УТ (консталин жировой)</t>
        </is>
      </c>
      <c r="D100" s="212" t="inlineStr">
        <is>
          <t>т</t>
        </is>
      </c>
      <c r="E100" s="151" t="n">
        <v>0.0041</v>
      </c>
      <c r="F100" s="152" t="n">
        <v>17500</v>
      </c>
      <c r="G100" s="152">
        <f>ROUND(F100*E100,2)</f>
        <v/>
      </c>
      <c r="H100" s="152">
        <f>G100/$G$127</f>
        <v/>
      </c>
      <c r="I100" s="152">
        <f>ROUND(F100*Прил.10!$D$12,2)</f>
        <v/>
      </c>
      <c r="J100" s="152">
        <f>ROUND(I100*E100,2)</f>
        <v/>
      </c>
    </row>
    <row r="101" outlineLevel="1" ht="14.25" customFormat="1" customHeight="1" s="175">
      <c r="A101" s="212" t="n">
        <v>73</v>
      </c>
      <c r="B101" s="80" t="inlineStr">
        <is>
          <t>14.4.02.09-0001</t>
        </is>
      </c>
      <c r="C101" s="211" t="inlineStr">
        <is>
          <t>Краска</t>
        </is>
      </c>
      <c r="D101" s="212" t="inlineStr">
        <is>
          <t>кг</t>
        </is>
      </c>
      <c r="E101" s="151" t="n">
        <v>2.4</v>
      </c>
      <c r="F101" s="152" t="n">
        <v>28.6</v>
      </c>
      <c r="G101" s="152">
        <f>ROUND(F101*E101,2)</f>
        <v/>
      </c>
      <c r="H101" s="152">
        <f>G101/$G$127</f>
        <v/>
      </c>
      <c r="I101" s="152">
        <f>ROUND(F101*Прил.10!$D$12,2)</f>
        <v/>
      </c>
      <c r="J101" s="152">
        <f>ROUND(I101*E101,2)</f>
        <v/>
      </c>
    </row>
    <row r="102" outlineLevel="1" ht="25.5" customFormat="1" customHeight="1" s="175">
      <c r="A102" s="212" t="n">
        <v>74</v>
      </c>
      <c r="B102" s="80" t="inlineStr">
        <is>
          <t>08.3.07.01-0076</t>
        </is>
      </c>
      <c r="C102" s="211" t="inlineStr">
        <is>
          <t>Сталь полосовая, марка стали: Ст3сп шириной 50-200 мм толщиной 4-5 мм</t>
        </is>
      </c>
      <c r="D102" s="212" t="inlineStr">
        <is>
          <t>т</t>
        </is>
      </c>
      <c r="E102" s="151" t="n">
        <v>0.012</v>
      </c>
      <c r="F102" s="152" t="n">
        <v>5000</v>
      </c>
      <c r="G102" s="152">
        <f>ROUND(F102*E102,2)</f>
        <v/>
      </c>
      <c r="H102" s="152">
        <f>G102/$G$127</f>
        <v/>
      </c>
      <c r="I102" s="152">
        <f>ROUND(F102*Прил.10!$D$12,2)</f>
        <v/>
      </c>
      <c r="J102" s="152">
        <f>ROUND(I102*E102,2)</f>
        <v/>
      </c>
    </row>
    <row r="103" outlineLevel="1" ht="25.5" customFormat="1" customHeight="1" s="175">
      <c r="A103" s="212" t="n">
        <v>75</v>
      </c>
      <c r="B103" s="80" t="inlineStr">
        <is>
          <t>14.4.02.04-0221</t>
        </is>
      </c>
      <c r="C103" s="211" t="inlineStr">
        <is>
          <t>Краски масляные и алкидные, готовые к применению белила цинковые: МА-15</t>
        </is>
      </c>
      <c r="D103" s="212" t="inlineStr">
        <is>
          <t>т</t>
        </is>
      </c>
      <c r="E103" s="151" t="n">
        <v>0.0019</v>
      </c>
      <c r="F103" s="152" t="n">
        <v>26932.42</v>
      </c>
      <c r="G103" s="152">
        <f>ROUND(F103*E103,2)</f>
        <v/>
      </c>
      <c r="H103" s="152">
        <f>G103/$G$127</f>
        <v/>
      </c>
      <c r="I103" s="152">
        <f>ROUND(F103*Прил.10!$D$12,2)</f>
        <v/>
      </c>
      <c r="J103" s="152">
        <f>ROUND(I103*E103,2)</f>
        <v/>
      </c>
    </row>
    <row r="104" outlineLevel="1" ht="14.25" customFormat="1" customHeight="1" s="175">
      <c r="A104" s="212" t="n">
        <v>76</v>
      </c>
      <c r="B104" s="80" t="inlineStr">
        <is>
          <t>08.3.11.01-0057</t>
        </is>
      </c>
      <c r="C104" s="211" t="inlineStr">
        <is>
          <t>Швеллеры: № 16 сталь марки Ст3пс</t>
        </is>
      </c>
      <c r="D104" s="212" t="inlineStr">
        <is>
          <t>т</t>
        </is>
      </c>
      <c r="E104" s="151" t="n">
        <v>0.01023</v>
      </c>
      <c r="F104" s="152" t="n">
        <v>4800</v>
      </c>
      <c r="G104" s="152">
        <f>ROUND(F104*E104,2)</f>
        <v/>
      </c>
      <c r="H104" s="152">
        <f>G104/$G$127</f>
        <v/>
      </c>
      <c r="I104" s="152">
        <f>ROUND(F104*Прил.10!$D$12,2)</f>
        <v/>
      </c>
      <c r="J104" s="152">
        <f>ROUND(I104*E104,2)</f>
        <v/>
      </c>
    </row>
    <row r="105" outlineLevel="1" ht="25.5" customFormat="1" customHeight="1" s="175">
      <c r="A105" s="212" t="n">
        <v>77</v>
      </c>
      <c r="B105" s="80" t="inlineStr">
        <is>
          <t>10.1.02.03-0001</t>
        </is>
      </c>
      <c r="C105" s="211" t="inlineStr">
        <is>
          <t>Проволока алюминиевая (АМЦ) диаметром 1,4-1,8 мм</t>
        </is>
      </c>
      <c r="D105" s="212" t="inlineStr">
        <is>
          <t>т</t>
        </is>
      </c>
      <c r="E105" s="151" t="n">
        <v>0.0015</v>
      </c>
      <c r="F105" s="152" t="n">
        <v>30090</v>
      </c>
      <c r="G105" s="152">
        <f>ROUND(F105*E105,2)</f>
        <v/>
      </c>
      <c r="H105" s="152">
        <f>G105/$G$127</f>
        <v/>
      </c>
      <c r="I105" s="152">
        <f>ROUND(F105*Прил.10!$D$12,2)</f>
        <v/>
      </c>
      <c r="J105" s="152">
        <f>ROUND(I105*E105,2)</f>
        <v/>
      </c>
    </row>
    <row r="106" outlineLevel="1" ht="14.25" customFormat="1" customHeight="1" s="175">
      <c r="A106" s="212" t="n">
        <v>78</v>
      </c>
      <c r="B106" s="80" t="inlineStr">
        <is>
          <t>01.7.06.07-0003</t>
        </is>
      </c>
      <c r="C106" s="211" t="inlineStr">
        <is>
          <t>Лента с запонками ЛМЗ</t>
        </is>
      </c>
      <c r="D106" s="212" t="inlineStr">
        <is>
          <t>100 м</t>
        </is>
      </c>
      <c r="E106" s="151" t="n">
        <v>0.3</v>
      </c>
      <c r="F106" s="152" t="n">
        <v>126</v>
      </c>
      <c r="G106" s="152">
        <f>ROUND(F106*E106,2)</f>
        <v/>
      </c>
      <c r="H106" s="152">
        <f>G106/$G$127</f>
        <v/>
      </c>
      <c r="I106" s="152">
        <f>ROUND(F106*Прил.10!$D$12,2)</f>
        <v/>
      </c>
      <c r="J106" s="152">
        <f>ROUND(I106*E106,2)</f>
        <v/>
      </c>
    </row>
    <row r="107" outlineLevel="1" ht="14.25" customFormat="1" customHeight="1" s="175">
      <c r="A107" s="212" t="n">
        <v>79</v>
      </c>
      <c r="B107" s="80" t="inlineStr">
        <is>
          <t>01.7.20.08-0102</t>
        </is>
      </c>
      <c r="C107" s="211" t="inlineStr">
        <is>
          <t>Миткаль «Т-2» суровый (суровье)</t>
        </is>
      </c>
      <c r="D107" s="212" t="inlineStr">
        <is>
          <t>10 м</t>
        </is>
      </c>
      <c r="E107" s="151" t="n">
        <v>0.36</v>
      </c>
      <c r="F107" s="152" t="n">
        <v>73.65000000000001</v>
      </c>
      <c r="G107" s="152">
        <f>ROUND(F107*E107,2)</f>
        <v/>
      </c>
      <c r="H107" s="152">
        <f>G107/$G$127</f>
        <v/>
      </c>
      <c r="I107" s="152">
        <f>ROUND(F107*Прил.10!$D$12,2)</f>
        <v/>
      </c>
      <c r="J107" s="152">
        <f>ROUND(I107*E107,2)</f>
        <v/>
      </c>
    </row>
    <row r="108" outlineLevel="1" ht="25.5" customFormat="1" customHeight="1" s="175">
      <c r="A108" s="212" t="n">
        <v>80</v>
      </c>
      <c r="B108" s="80" t="inlineStr">
        <is>
          <t>01.7.15.03-0034</t>
        </is>
      </c>
      <c r="C108" s="211" t="inlineStr">
        <is>
          <t>Болты с гайками и шайбами оцинкованные, диаметр: 12 мм</t>
        </is>
      </c>
      <c r="D108" s="212" t="inlineStr">
        <is>
          <t>кг</t>
        </is>
      </c>
      <c r="E108" s="151" t="n">
        <v>0.9512</v>
      </c>
      <c r="F108" s="152" t="n">
        <v>25.76</v>
      </c>
      <c r="G108" s="152">
        <f>ROUND(F108*E108,2)</f>
        <v/>
      </c>
      <c r="H108" s="152">
        <f>G108/$G$127</f>
        <v/>
      </c>
      <c r="I108" s="152">
        <f>ROUND(F108*Прил.10!$D$12,2)</f>
        <v/>
      </c>
      <c r="J108" s="152">
        <f>ROUND(I108*E108,2)</f>
        <v/>
      </c>
    </row>
    <row r="109" outlineLevel="1" ht="14.25" customFormat="1" customHeight="1" s="175">
      <c r="A109" s="212" t="n">
        <v>81</v>
      </c>
      <c r="B109" s="80" t="inlineStr">
        <is>
          <t>11.2.13.04-0011</t>
        </is>
      </c>
      <c r="C109" s="211" t="inlineStr">
        <is>
          <t>Щиты: из досок толщиной 25 мм</t>
        </is>
      </c>
      <c r="D109" s="212" t="inlineStr">
        <is>
          <t>м2</t>
        </is>
      </c>
      <c r="E109" s="151" t="n">
        <v>0.6618000000000001</v>
      </c>
      <c r="F109" s="152" t="n">
        <v>35.53</v>
      </c>
      <c r="G109" s="152">
        <f>ROUND(F109*E109,2)</f>
        <v/>
      </c>
      <c r="H109" s="152">
        <f>G109/$G$127</f>
        <v/>
      </c>
      <c r="I109" s="152">
        <f>ROUND(F109*Прил.10!$D$12,2)</f>
        <v/>
      </c>
      <c r="J109" s="152">
        <f>ROUND(I109*E109,2)</f>
        <v/>
      </c>
    </row>
    <row r="110" outlineLevel="1" ht="14.25" customFormat="1" customHeight="1" s="175">
      <c r="A110" s="212" t="n">
        <v>82</v>
      </c>
      <c r="B110" s="80" t="inlineStr">
        <is>
          <t>14.5.05.02-0001</t>
        </is>
      </c>
      <c r="C110" s="211" t="inlineStr">
        <is>
          <t>Олифа натуральная</t>
        </is>
      </c>
      <c r="D110" s="212" t="inlineStr">
        <is>
          <t>кг</t>
        </is>
      </c>
      <c r="E110" s="151" t="n">
        <v>0.7095</v>
      </c>
      <c r="F110" s="152" t="n">
        <v>32.6</v>
      </c>
      <c r="G110" s="152">
        <f>ROUND(F110*E110,2)</f>
        <v/>
      </c>
      <c r="H110" s="152">
        <f>G110/$G$127</f>
        <v/>
      </c>
      <c r="I110" s="152">
        <f>ROUND(F110*Прил.10!$D$12,2)</f>
        <v/>
      </c>
      <c r="J110" s="152">
        <f>ROUND(I110*E110,2)</f>
        <v/>
      </c>
    </row>
    <row r="111" outlineLevel="1" ht="14.25" customFormat="1" customHeight="1" s="175">
      <c r="A111" s="212" t="n">
        <v>83</v>
      </c>
      <c r="B111" s="80" t="inlineStr">
        <is>
          <t>01.7.11.07-0032</t>
        </is>
      </c>
      <c r="C111" s="211" t="inlineStr">
        <is>
          <t>Электроды диаметром: 4 мм Э42</t>
        </is>
      </c>
      <c r="D111" s="212" t="inlineStr">
        <is>
          <t>т</t>
        </is>
      </c>
      <c r="E111" s="151" t="n">
        <v>0.002</v>
      </c>
      <c r="F111" s="152" t="n">
        <v>10315.01</v>
      </c>
      <c r="G111" s="152">
        <f>ROUND(F111*E111,2)</f>
        <v/>
      </c>
      <c r="H111" s="152">
        <f>G111/$G$127</f>
        <v/>
      </c>
      <c r="I111" s="152">
        <f>ROUND(F111*Прил.10!$D$12,2)</f>
        <v/>
      </c>
      <c r="J111" s="152">
        <f>ROUND(I111*E111,2)</f>
        <v/>
      </c>
    </row>
    <row r="112" outlineLevel="1" ht="25.5" customFormat="1" customHeight="1" s="175">
      <c r="A112" s="212" t="n">
        <v>84</v>
      </c>
      <c r="B112" s="80" t="inlineStr">
        <is>
          <t>04.3.01.09-0012</t>
        </is>
      </c>
      <c r="C112" s="211" t="inlineStr">
        <is>
          <t>Раствор готовый кладочный цементный марки: 50</t>
        </is>
      </c>
      <c r="D112" s="212" t="inlineStr">
        <is>
          <t>м3</t>
        </is>
      </c>
      <c r="E112" s="151" t="n">
        <v>0.0312</v>
      </c>
      <c r="F112" s="152" t="n">
        <v>485.9</v>
      </c>
      <c r="G112" s="152">
        <f>ROUND(F112*E112,2)</f>
        <v/>
      </c>
      <c r="H112" s="152">
        <f>G112/$G$127</f>
        <v/>
      </c>
      <c r="I112" s="152">
        <f>ROUND(F112*Прил.10!$D$12,2)</f>
        <v/>
      </c>
      <c r="J112" s="152">
        <f>ROUND(I112*E112,2)</f>
        <v/>
      </c>
    </row>
    <row r="113" outlineLevel="1" ht="14.25" customFormat="1" customHeight="1" s="175">
      <c r="A113" s="212" t="n">
        <v>85</v>
      </c>
      <c r="B113" s="80" t="inlineStr">
        <is>
          <t>25.2.02.11-0041</t>
        </is>
      </c>
      <c r="C113" s="211" t="inlineStr">
        <is>
          <t>Рамка для надписей 55х15 мм</t>
        </is>
      </c>
      <c r="D113" s="212" t="inlineStr">
        <is>
          <t>шт</t>
        </is>
      </c>
      <c r="E113" s="151" t="n">
        <v>40</v>
      </c>
      <c r="F113" s="152" t="n">
        <v>0.27</v>
      </c>
      <c r="G113" s="152">
        <f>ROUND(F113*E113,2)</f>
        <v/>
      </c>
      <c r="H113" s="152">
        <f>G113/$G$127</f>
        <v/>
      </c>
      <c r="I113" s="152">
        <f>ROUND(F113*Прил.10!$D$12,2)</f>
        <v/>
      </c>
      <c r="J113" s="152">
        <f>ROUND(I113*E113,2)</f>
        <v/>
      </c>
    </row>
    <row r="114" outlineLevel="1" ht="51" customFormat="1" customHeight="1" s="175">
      <c r="A114" s="212" t="n">
        <v>86</v>
      </c>
      <c r="B114" s="80" t="inlineStr">
        <is>
          <t>21.2.01.02-0011</t>
        </is>
      </c>
      <c r="C114" s="211" t="inlineStr">
        <is>
          <t>Провода неизолированные для воздушных линий электропередачи алюминиевые марки: А, сечением 16 мм2 (0,043кг*6м=0,258кг)</t>
        </is>
      </c>
      <c r="D114" s="212" t="inlineStr">
        <is>
          <t>т</t>
        </is>
      </c>
      <c r="E114" s="151" t="n">
        <v>0.000265</v>
      </c>
      <c r="F114" s="152" t="n">
        <v>36101.85</v>
      </c>
      <c r="G114" s="152">
        <f>ROUND(F114*E114,2)</f>
        <v/>
      </c>
      <c r="H114" s="152">
        <f>G114/$G$127</f>
        <v/>
      </c>
      <c r="I114" s="152">
        <f>ROUND(F114*Прил.10!$D$12,2)</f>
        <v/>
      </c>
      <c r="J114" s="152">
        <f>ROUND(I114*E114,2)</f>
        <v/>
      </c>
    </row>
    <row r="115" outlineLevel="1" ht="14.25" customFormat="1" customHeight="1" s="175">
      <c r="A115" s="212" t="n">
        <v>87</v>
      </c>
      <c r="B115" s="80" t="inlineStr">
        <is>
          <t>01.7.15.07-0031</t>
        </is>
      </c>
      <c r="C115" s="211" t="inlineStr">
        <is>
          <t>Дюбели распорные с гайкой</t>
        </is>
      </c>
      <c r="D115" s="212" t="inlineStr">
        <is>
          <t>100 шт</t>
        </is>
      </c>
      <c r="E115" s="151" t="n">
        <v>0.0618</v>
      </c>
      <c r="F115" s="152" t="n">
        <v>110</v>
      </c>
      <c r="G115" s="152">
        <f>ROUND(F115*E115,2)</f>
        <v/>
      </c>
      <c r="H115" s="152">
        <f>G115/$G$127</f>
        <v/>
      </c>
      <c r="I115" s="152">
        <f>ROUND(F115*Прил.10!$D$12,2)</f>
        <v/>
      </c>
      <c r="J115" s="152">
        <f>ROUND(I115*E115,2)</f>
        <v/>
      </c>
    </row>
    <row r="116" outlineLevel="1" ht="25.5" customFormat="1" customHeight="1" s="175">
      <c r="A116" s="212" t="n">
        <v>88</v>
      </c>
      <c r="B116" s="80" t="inlineStr">
        <is>
          <t>03.2.01.01-0003</t>
        </is>
      </c>
      <c r="C116" s="211" t="inlineStr">
        <is>
          <t>Портландцемент общестроительного назначения бездобавочный, марки: 500</t>
        </is>
      </c>
      <c r="D116" s="212" t="inlineStr">
        <is>
          <t>т</t>
        </is>
      </c>
      <c r="E116" s="151" t="n">
        <v>0.0139</v>
      </c>
      <c r="F116" s="152" t="n">
        <v>480</v>
      </c>
      <c r="G116" s="152">
        <f>ROUND(F116*E116,2)</f>
        <v/>
      </c>
      <c r="H116" s="152">
        <f>G116/$G$127</f>
        <v/>
      </c>
      <c r="I116" s="152">
        <f>ROUND(F116*Прил.10!$D$12,2)</f>
        <v/>
      </c>
      <c r="J116" s="152">
        <f>ROUND(I116*E116,2)</f>
        <v/>
      </c>
    </row>
    <row r="117" outlineLevel="1" ht="14.25" customFormat="1" customHeight="1" s="175">
      <c r="A117" s="212" t="n">
        <v>89</v>
      </c>
      <c r="B117" s="80" t="inlineStr">
        <is>
          <t>14.4.04.12-0014</t>
        </is>
      </c>
      <c r="C117" s="211" t="inlineStr">
        <is>
          <t>Эмаль эпоксидная: ЭП-1236</t>
        </is>
      </c>
      <c r="D117" s="212" t="inlineStr">
        <is>
          <t>т</t>
        </is>
      </c>
      <c r="E117" s="151" t="n">
        <v>0.0001</v>
      </c>
      <c r="F117" s="152" t="n">
        <v>36000</v>
      </c>
      <c r="G117" s="152">
        <f>ROUND(F117*E117,2)</f>
        <v/>
      </c>
      <c r="H117" s="152">
        <f>G117/$G$127</f>
        <v/>
      </c>
      <c r="I117" s="152">
        <f>ROUND(F117*Прил.10!$D$12,2)</f>
        <v/>
      </c>
      <c r="J117" s="152">
        <f>ROUND(I117*E117,2)</f>
        <v/>
      </c>
    </row>
    <row r="118" outlineLevel="1" ht="14.25" customFormat="1" customHeight="1" s="175">
      <c r="A118" s="212" t="n">
        <v>90</v>
      </c>
      <c r="B118" s="80" t="inlineStr">
        <is>
          <t>01.7.15.06-0111</t>
        </is>
      </c>
      <c r="C118" s="211" t="inlineStr">
        <is>
          <t>Гвозди строительные</t>
        </is>
      </c>
      <c r="D118" s="212" t="inlineStr">
        <is>
          <t>т</t>
        </is>
      </c>
      <c r="E118" s="151" t="n">
        <v>0.0003</v>
      </c>
      <c r="F118" s="152" t="n">
        <v>11978</v>
      </c>
      <c r="G118" s="152">
        <f>ROUND(F118*E118,2)</f>
        <v/>
      </c>
      <c r="H118" s="152">
        <f>G118/$G$127</f>
        <v/>
      </c>
      <c r="I118" s="152">
        <f>ROUND(F118*Прил.10!$D$12,2)</f>
        <v/>
      </c>
      <c r="J118" s="152">
        <f>ROUND(I118*E118,2)</f>
        <v/>
      </c>
    </row>
    <row r="119" outlineLevel="1" ht="14.25" customFormat="1" customHeight="1" s="175">
      <c r="A119" s="212" t="n">
        <v>91</v>
      </c>
      <c r="B119" s="80" t="inlineStr">
        <is>
          <t>01.7.11.07-0034</t>
        </is>
      </c>
      <c r="C119" s="211" t="inlineStr">
        <is>
          <t>Электроды диаметром: 4 мм Э42А</t>
        </is>
      </c>
      <c r="D119" s="212" t="inlineStr">
        <is>
          <t>кг</t>
        </is>
      </c>
      <c r="E119" s="151" t="n">
        <v>0.3242</v>
      </c>
      <c r="F119" s="152" t="n">
        <v>10.57</v>
      </c>
      <c r="G119" s="152">
        <f>ROUND(F119*E119,2)</f>
        <v/>
      </c>
      <c r="H119" s="152">
        <f>G119/$G$127</f>
        <v/>
      </c>
      <c r="I119" s="152">
        <f>ROUND(F119*Прил.10!$D$12,2)</f>
        <v/>
      </c>
      <c r="J119" s="152">
        <f>ROUND(I119*E119,2)</f>
        <v/>
      </c>
    </row>
    <row r="120" outlineLevel="1" ht="14.25" customFormat="1" customHeight="1" s="175">
      <c r="A120" s="212" t="n">
        <v>92</v>
      </c>
      <c r="B120" s="80" t="inlineStr">
        <is>
          <t>14.5.09.11-0101</t>
        </is>
      </c>
      <c r="C120" s="211" t="inlineStr">
        <is>
          <t>Уайт-спирит</t>
        </is>
      </c>
      <c r="D120" s="212" t="inlineStr">
        <is>
          <t>т</t>
        </is>
      </c>
      <c r="E120" s="151" t="n">
        <v>0.0005</v>
      </c>
      <c r="F120" s="152" t="n">
        <v>6667</v>
      </c>
      <c r="G120" s="152">
        <f>ROUND(F120*E120,2)</f>
        <v/>
      </c>
      <c r="H120" s="152">
        <f>G120/$G$127</f>
        <v/>
      </c>
      <c r="I120" s="152">
        <f>ROUND(F120*Прил.10!$D$12,2)</f>
        <v/>
      </c>
      <c r="J120" s="152">
        <f>ROUND(I120*E120,2)</f>
        <v/>
      </c>
    </row>
    <row r="121" outlineLevel="1" ht="38.25" customFormat="1" customHeight="1" s="175">
      <c r="A121" s="212" t="n">
        <v>93</v>
      </c>
      <c r="B121" s="80" t="inlineStr">
        <is>
          <t>11.1.03.06-0096</t>
        </is>
      </c>
      <c r="C121" s="211" t="inlineStr">
        <is>
          <t>Доски обрезные хвойных пород длиной: 4-6,5 м, шириной 75-150 мм, толщиной 44 мм и более, IV сорта</t>
        </is>
      </c>
      <c r="D121" s="212" t="inlineStr">
        <is>
          <t>м3</t>
        </is>
      </c>
      <c r="E121" s="151" t="n">
        <v>0.0039</v>
      </c>
      <c r="F121" s="152" t="n">
        <v>770</v>
      </c>
      <c r="G121" s="152">
        <f>ROUND(F121*E121,2)</f>
        <v/>
      </c>
      <c r="H121" s="152">
        <f>G121/$G$127</f>
        <v/>
      </c>
      <c r="I121" s="152">
        <f>ROUND(F121*Прил.10!$D$12,2)</f>
        <v/>
      </c>
      <c r="J121" s="152">
        <f>ROUND(I121*E121,2)</f>
        <v/>
      </c>
    </row>
    <row r="122" outlineLevel="1" ht="14.25" customFormat="1" customHeight="1" s="175">
      <c r="A122" s="212" t="n">
        <v>94</v>
      </c>
      <c r="B122" s="80" t="inlineStr">
        <is>
          <t>14.4.04.09-0017</t>
        </is>
      </c>
      <c r="C122" s="211" t="inlineStr">
        <is>
          <t>Эмаль ХВ-124 защитная, зеленая</t>
        </is>
      </c>
      <c r="D122" s="212" t="inlineStr">
        <is>
          <t>т</t>
        </is>
      </c>
      <c r="E122" s="151" t="n">
        <v>0.0001</v>
      </c>
      <c r="F122" s="152" t="n">
        <v>28300.4</v>
      </c>
      <c r="G122" s="152">
        <f>ROUND(F122*E122,2)</f>
        <v/>
      </c>
      <c r="H122" s="152">
        <f>G122/$G$127</f>
        <v/>
      </c>
      <c r="I122" s="152">
        <f>ROUND(F122*Прил.10!$D$12,2)</f>
        <v/>
      </c>
      <c r="J122" s="152">
        <f>ROUND(I122*E122,2)</f>
        <v/>
      </c>
    </row>
    <row r="123" outlineLevel="1" ht="14.25" customFormat="1" customHeight="1" s="175">
      <c r="A123" s="212" t="n">
        <v>95</v>
      </c>
      <c r="B123" s="80" t="inlineStr">
        <is>
          <t>01.1.02.08-0031</t>
        </is>
      </c>
      <c r="C123" s="211" t="inlineStr">
        <is>
          <t>Прокладки паронитовые</t>
        </is>
      </c>
      <c r="D123" s="212" t="inlineStr">
        <is>
          <t>кг</t>
        </is>
      </c>
      <c r="E123" s="151" t="n">
        <v>0.08400000000000001</v>
      </c>
      <c r="F123" s="152" t="n">
        <v>26.44</v>
      </c>
      <c r="G123" s="152">
        <f>ROUND(F123*E123,2)</f>
        <v/>
      </c>
      <c r="H123" s="152">
        <f>G123/$G$127</f>
        <v/>
      </c>
      <c r="I123" s="152">
        <f>ROUND(F123*Прил.10!$D$12,2)</f>
        <v/>
      </c>
      <c r="J123" s="152">
        <f>ROUND(I123*E123,2)</f>
        <v/>
      </c>
    </row>
    <row r="124" outlineLevel="1" ht="14.25" customFormat="1" customHeight="1" s="175">
      <c r="A124" s="212" t="n">
        <v>96</v>
      </c>
      <c r="B124" s="80" t="inlineStr">
        <is>
          <t>01.7.03.01-0001</t>
        </is>
      </c>
      <c r="C124" s="211" t="inlineStr">
        <is>
          <t>Вода</t>
        </is>
      </c>
      <c r="D124" s="212" t="inlineStr">
        <is>
          <t>м3</t>
        </is>
      </c>
      <c r="E124" s="151" t="n">
        <v>0.3</v>
      </c>
      <c r="F124" s="152" t="n">
        <v>2.44</v>
      </c>
      <c r="G124" s="152">
        <f>ROUND(F124*E124,2)</f>
        <v/>
      </c>
      <c r="H124" s="152">
        <f>G124/$G$127</f>
        <v/>
      </c>
      <c r="I124" s="152">
        <f>ROUND(F124*Прил.10!$D$12,2)</f>
        <v/>
      </c>
      <c r="J124" s="152">
        <f>ROUND(I124*E124,2)</f>
        <v/>
      </c>
    </row>
    <row r="125" outlineLevel="1" ht="25.5" customFormat="1" customHeight="1" s="175">
      <c r="A125" s="212" t="n">
        <v>97</v>
      </c>
      <c r="B125" s="80" t="inlineStr">
        <is>
          <t>02.3.01.02-0020</t>
        </is>
      </c>
      <c r="C125" s="211" t="inlineStr">
        <is>
          <t>Песок природный для строительных: растворов средний</t>
        </is>
      </c>
      <c r="D125" s="212" t="inlineStr">
        <is>
          <t>м3</t>
        </is>
      </c>
      <c r="E125" s="151" t="n">
        <v>0.0116</v>
      </c>
      <c r="F125" s="152" t="n">
        <v>59.99</v>
      </c>
      <c r="G125" s="152">
        <f>ROUND(F125*E125,2)</f>
        <v/>
      </c>
      <c r="H125" s="152">
        <f>G125/$G$127</f>
        <v/>
      </c>
      <c r="I125" s="152">
        <f>ROUND(F125*Прил.10!$D$12,2)</f>
        <v/>
      </c>
      <c r="J125" s="152">
        <f>ROUND(I125*E125,2)</f>
        <v/>
      </c>
    </row>
    <row r="126" ht="14.25" customFormat="1" customHeight="1" s="175">
      <c r="A126" s="212" t="n"/>
      <c r="B126" s="212" t="n"/>
      <c r="C126" s="211" t="inlineStr">
        <is>
          <t>Итого прочие материалы</t>
        </is>
      </c>
      <c r="D126" s="212" t="n"/>
      <c r="E126" s="213" t="n"/>
      <c r="F126" s="214" t="n"/>
      <c r="G126" s="152">
        <f>SUM(G80:G125)</f>
        <v/>
      </c>
      <c r="H126" s="216">
        <f>G126/G127</f>
        <v/>
      </c>
      <c r="I126" s="152" t="n"/>
      <c r="J126" s="152">
        <f>SUM(J80:J125)</f>
        <v/>
      </c>
    </row>
    <row r="127" ht="14.25" customFormat="1" customHeight="1" s="175">
      <c r="A127" s="212" t="n"/>
      <c r="B127" s="212" t="n"/>
      <c r="C127" s="206" t="inlineStr">
        <is>
          <t>Итого по разделу «Материалы»</t>
        </is>
      </c>
      <c r="D127" s="212" t="n"/>
      <c r="E127" s="213" t="n"/>
      <c r="F127" s="214" t="n"/>
      <c r="G127" s="152">
        <f>G79+G126</f>
        <v/>
      </c>
      <c r="H127" s="216" t="n">
        <v>1</v>
      </c>
      <c r="I127" s="214" t="n"/>
      <c r="J127" s="152">
        <f>J79+J126</f>
        <v/>
      </c>
      <c r="L127" s="76" t="n"/>
    </row>
    <row r="128" ht="14.25" customFormat="1" customHeight="1" s="175">
      <c r="A128" s="212" t="n"/>
      <c r="B128" s="212" t="n"/>
      <c r="C128" s="211" t="inlineStr">
        <is>
          <t>ИТОГО ПО РМ</t>
        </is>
      </c>
      <c r="D128" s="212" t="n"/>
      <c r="E128" s="213" t="n"/>
      <c r="F128" s="214" t="n"/>
      <c r="G128" s="152">
        <f>G14+G38+G127</f>
        <v/>
      </c>
      <c r="H128" s="216" t="n"/>
      <c r="I128" s="214" t="n"/>
      <c r="J128" s="152">
        <f>J14+J38+J127</f>
        <v/>
      </c>
    </row>
    <row r="129" ht="14.25" customFormat="1" customHeight="1" s="175">
      <c r="A129" s="212" t="n"/>
      <c r="B129" s="212" t="n"/>
      <c r="C129" s="211" t="inlineStr">
        <is>
          <t>Накладные расходы</t>
        </is>
      </c>
      <c r="D129" s="212" t="inlineStr">
        <is>
          <t>%</t>
        </is>
      </c>
      <c r="E129" s="102">
        <f>ROUND(G129/(G14+G16),2)</f>
        <v/>
      </c>
      <c r="F129" s="214" t="n"/>
      <c r="G129" s="152" t="n">
        <v>110090</v>
      </c>
      <c r="H129" s="216" t="n"/>
      <c r="I129" s="214" t="n"/>
      <c r="J129" s="152">
        <f>ROUND(E129*(J14+J16),2)</f>
        <v/>
      </c>
      <c r="L129" s="103" t="n"/>
    </row>
    <row r="130" ht="14.25" customFormat="1" customHeight="1" s="175">
      <c r="A130" s="212" t="n"/>
      <c r="B130" s="212" t="n"/>
      <c r="C130" s="211" t="inlineStr">
        <is>
          <t>Сметная прибыль</t>
        </is>
      </c>
      <c r="D130" s="212" t="inlineStr">
        <is>
          <t>%</t>
        </is>
      </c>
      <c r="E130" s="102">
        <f>ROUND(G130/(G14+G16),2)</f>
        <v/>
      </c>
      <c r="F130" s="214" t="n"/>
      <c r="G130" s="152" t="n">
        <v>75972</v>
      </c>
      <c r="H130" s="216" t="n"/>
      <c r="I130" s="214" t="n"/>
      <c r="J130" s="152">
        <f>ROUND(E130*(J14+J16),2)</f>
        <v/>
      </c>
      <c r="L130" s="103" t="n"/>
    </row>
    <row r="131" ht="14.25" customFormat="1" customHeight="1" s="175">
      <c r="A131" s="212" t="n"/>
      <c r="B131" s="212" t="n"/>
      <c r="C131" s="211" t="inlineStr">
        <is>
          <t>Итого СМР (с НР и СП)</t>
        </is>
      </c>
      <c r="D131" s="212" t="n"/>
      <c r="E131" s="213" t="n"/>
      <c r="F131" s="214" t="n"/>
      <c r="G131" s="152">
        <f>G14+G38+G127+G129+G130</f>
        <v/>
      </c>
      <c r="H131" s="216" t="n"/>
      <c r="I131" s="214" t="n"/>
      <c r="J131" s="152">
        <f>J14+J38+J127+J129+J130</f>
        <v/>
      </c>
    </row>
    <row r="132" ht="14.25" customFormat="1" customHeight="1" s="175">
      <c r="A132" s="212" t="n"/>
      <c r="B132" s="212" t="n"/>
      <c r="C132" s="211" t="inlineStr">
        <is>
          <t>ВСЕГО СМР + ОБОРУДОВАНИЕ</t>
        </is>
      </c>
      <c r="D132" s="212" t="n"/>
      <c r="E132" s="213" t="n"/>
      <c r="F132" s="214" t="n"/>
      <c r="G132" s="152">
        <f>G131+G71</f>
        <v/>
      </c>
      <c r="H132" s="216" t="n"/>
      <c r="I132" s="214" t="n"/>
      <c r="J132" s="152">
        <f>J131+J71</f>
        <v/>
      </c>
    </row>
    <row r="133" ht="14.25" customFormat="1" customHeight="1" s="175">
      <c r="A133" s="212" t="n"/>
      <c r="B133" s="212" t="n"/>
      <c r="C133" s="211" t="inlineStr">
        <is>
          <t>ИТОГО ПОКАЗАТЕЛЬ НА ЕД. ИЗМ.</t>
        </is>
      </c>
      <c r="D133" s="212" t="inlineStr">
        <is>
          <t>ед.</t>
        </is>
      </c>
      <c r="E133" s="167" t="n">
        <v>12</v>
      </c>
      <c r="F133" s="214" t="n"/>
      <c r="G133" s="152">
        <f>G132/E133</f>
        <v/>
      </c>
      <c r="H133" s="216" t="n"/>
      <c r="I133" s="214" t="n"/>
      <c r="J133" s="152">
        <f>J132/E133</f>
        <v/>
      </c>
    </row>
    <row r="135" ht="14.25" customFormat="1" customHeight="1" s="175">
      <c r="A135" s="170" t="n"/>
    </row>
    <row r="136" ht="14.25" customFormat="1" customHeight="1" s="175">
      <c r="A136" s="172" t="inlineStr">
        <is>
          <t>Составил ______________________        Е.А. Князева</t>
        </is>
      </c>
      <c r="B136" s="175" t="n"/>
    </row>
    <row r="137" ht="14.25" customFormat="1" customHeight="1" s="175">
      <c r="A137" s="174" t="inlineStr">
        <is>
          <t xml:space="preserve">                         (подпись, инициалы, фамилия)</t>
        </is>
      </c>
      <c r="B137" s="175" t="n"/>
    </row>
    <row r="138" ht="14.25" customFormat="1" customHeight="1" s="175">
      <c r="A138" s="172" t="n"/>
      <c r="B138" s="175" t="n"/>
    </row>
    <row r="139" ht="14.25" customFormat="1" customHeight="1" s="175">
      <c r="A139" s="172" t="inlineStr">
        <is>
          <t>Проверил ______________________        А.В. Костянецкая</t>
        </is>
      </c>
      <c r="B139" s="175" t="n"/>
    </row>
    <row r="140" ht="14.25" customFormat="1" customHeight="1" s="175">
      <c r="A140" s="174" t="inlineStr">
        <is>
          <t xml:space="preserve">                        (подпись, инициалы, фамилия)</t>
        </is>
      </c>
      <c r="B140" s="175" t="n"/>
    </row>
  </sheetData>
  <mergeCells count="20">
    <mergeCell ref="H9:H10"/>
    <mergeCell ref="B74:H74"/>
    <mergeCell ref="B15:H15"/>
    <mergeCell ref="B73:J73"/>
    <mergeCell ref="C9:C10"/>
    <mergeCell ref="E9:E10"/>
    <mergeCell ref="A7:H7"/>
    <mergeCell ref="B40:J40"/>
    <mergeCell ref="B9:B10"/>
    <mergeCell ref="D9:D10"/>
    <mergeCell ref="B18:H18"/>
    <mergeCell ref="B12:H12"/>
    <mergeCell ref="D6:J6"/>
    <mergeCell ref="F9:G9"/>
    <mergeCell ref="A4:H4"/>
    <mergeCell ref="B17:H17"/>
    <mergeCell ref="A9:A10"/>
    <mergeCell ref="A6:C6"/>
    <mergeCell ref="B39:J3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47"/>
  <sheetViews>
    <sheetView view="pageBreakPreview" topLeftCell="A30" workbookViewId="0">
      <selection activeCell="D25" sqref="D25"/>
    </sheetView>
  </sheetViews>
  <sheetFormatPr baseColWidth="8" defaultRowHeight="15"/>
  <cols>
    <col width="5.7109375" customWidth="1" style="158" min="1" max="1"/>
    <col width="14.85546875" customWidth="1" style="158" min="2" max="2"/>
    <col width="39.140625" customWidth="1" style="158" min="3" max="3"/>
    <col width="8.28515625" customWidth="1" style="158" min="4" max="4"/>
    <col width="13.5703125" customWidth="1" style="158" min="5" max="5"/>
    <col width="12.42578125" customWidth="1" style="158" min="6" max="6"/>
    <col width="14.140625" customWidth="1" style="158" min="7" max="7"/>
  </cols>
  <sheetData>
    <row r="1">
      <c r="A1" s="231" t="inlineStr">
        <is>
          <t>Приложение №6</t>
        </is>
      </c>
    </row>
    <row r="2" ht="21.75" customHeight="1" s="158">
      <c r="A2" s="231" t="n"/>
      <c r="B2" s="231" t="n"/>
      <c r="C2" s="231" t="n"/>
      <c r="D2" s="231" t="n"/>
      <c r="E2" s="231" t="n"/>
      <c r="F2" s="231" t="n"/>
      <c r="G2" s="231" t="n"/>
    </row>
    <row r="3">
      <c r="A3" s="208" t="inlineStr">
        <is>
          <t>Расчет стоимости оборудования</t>
        </is>
      </c>
    </row>
    <row r="4" ht="25.5" customHeight="1" s="158">
      <c r="A4" s="230">
        <f>'Прил.1 Сравнит табл'!B7</f>
        <v/>
      </c>
    </row>
    <row r="5">
      <c r="A5" s="172" t="n"/>
      <c r="B5" s="172" t="n"/>
      <c r="C5" s="172" t="n"/>
      <c r="D5" s="172" t="n"/>
      <c r="E5" s="172" t="n"/>
      <c r="F5" s="172" t="n"/>
      <c r="G5" s="172" t="n"/>
    </row>
    <row r="6" ht="30" customHeight="1" s="158">
      <c r="A6" s="232" t="inlineStr">
        <is>
          <t>№ пп.</t>
        </is>
      </c>
      <c r="B6" s="232" t="inlineStr">
        <is>
          <t>Код ресурса</t>
        </is>
      </c>
      <c r="C6" s="232" t="inlineStr">
        <is>
          <t>Наименование</t>
        </is>
      </c>
      <c r="D6" s="232" t="inlineStr">
        <is>
          <t>Ед. изм.</t>
        </is>
      </c>
      <c r="E6" s="212" t="inlineStr">
        <is>
          <t>Кол-во единиц по проектным данным</t>
        </is>
      </c>
      <c r="F6" s="232" t="inlineStr">
        <is>
          <t>Сметная стоимость в ценах на 01.01.2000 (руб.)</t>
        </is>
      </c>
      <c r="G6" s="239" t="n"/>
    </row>
    <row r="7">
      <c r="A7" s="241" t="n"/>
      <c r="B7" s="241" t="n"/>
      <c r="C7" s="241" t="n"/>
      <c r="D7" s="241" t="n"/>
      <c r="E7" s="241" t="n"/>
      <c r="F7" s="212" t="inlineStr">
        <is>
          <t>на ед. изм.</t>
        </is>
      </c>
      <c r="G7" s="212" t="inlineStr">
        <is>
          <t>общая</t>
        </is>
      </c>
    </row>
    <row r="8">
      <c r="A8" s="212" t="n">
        <v>1</v>
      </c>
      <c r="B8" s="212" t="n">
        <v>2</v>
      </c>
      <c r="C8" s="212" t="n">
        <v>3</v>
      </c>
      <c r="D8" s="212" t="n">
        <v>4</v>
      </c>
      <c r="E8" s="212" t="n">
        <v>5</v>
      </c>
      <c r="F8" s="212" t="n">
        <v>6</v>
      </c>
      <c r="G8" s="212" t="n">
        <v>7</v>
      </c>
    </row>
    <row r="9" ht="15" customHeight="1" s="158">
      <c r="A9" s="59" t="n"/>
      <c r="B9" s="211" t="inlineStr">
        <is>
          <t>ИНЖЕНЕРНОЕ ОБОРУДОВАНИЕ</t>
        </is>
      </c>
      <c r="C9" s="238" t="n"/>
      <c r="D9" s="238" t="n"/>
      <c r="E9" s="238" t="n"/>
      <c r="F9" s="238" t="n"/>
      <c r="G9" s="239" t="n"/>
    </row>
    <row r="10" ht="27" customHeight="1" s="158">
      <c r="A10" s="212" t="n"/>
      <c r="B10" s="206" t="n"/>
      <c r="C10" s="211" t="inlineStr">
        <is>
          <t>ИТОГО ИНЖЕНЕРНОЕ ОБОРУДОВАНИЕ</t>
        </is>
      </c>
      <c r="D10" s="206" t="n"/>
      <c r="E10" s="9" t="n"/>
      <c r="F10" s="214" t="n"/>
      <c r="G10" s="214" t="n">
        <v>0</v>
      </c>
    </row>
    <row r="11">
      <c r="A11" s="212" t="n"/>
      <c r="B11" s="211" t="inlineStr">
        <is>
          <t>ТЕХНОЛОГИЧЕСКОЕ ОБОРУДОВАНИЕ</t>
        </is>
      </c>
      <c r="C11" s="238" t="n"/>
      <c r="D11" s="238" t="n"/>
      <c r="E11" s="238" t="n"/>
      <c r="F11" s="238" t="n"/>
      <c r="G11" s="239" t="n"/>
    </row>
    <row r="12" ht="25.5" customHeight="1" s="158">
      <c r="A12" s="212" t="n">
        <v>1</v>
      </c>
      <c r="B12" s="80">
        <f>'Прил.5 Расчет СМР и ОБ'!B41</f>
        <v/>
      </c>
      <c r="C12" s="154">
        <f>'Прил.5 Расчет СМР и ОБ'!C41</f>
        <v/>
      </c>
      <c r="D12" s="80">
        <f>'Прил.5 Расчет СМР и ОБ'!D41</f>
        <v/>
      </c>
      <c r="E12" s="80">
        <f>'Прил.5 Расчет СМР и ОБ'!E41</f>
        <v/>
      </c>
      <c r="F12" s="152">
        <f>'Прил.5 Расчет СМР и ОБ'!F41</f>
        <v/>
      </c>
      <c r="G12" s="152">
        <f>ROUND(E12*F12,2)</f>
        <v/>
      </c>
    </row>
    <row r="13" ht="25.5" customHeight="1" s="158">
      <c r="A13" s="212">
        <f>A12+1</f>
        <v/>
      </c>
      <c r="B13" s="80">
        <f>'Прил.5 Расчет СМР и ОБ'!B43</f>
        <v/>
      </c>
      <c r="C13" s="154">
        <f>'Прил.5 Расчет СМР и ОБ'!C43</f>
        <v/>
      </c>
      <c r="D13" s="80">
        <f>'Прил.5 Расчет СМР и ОБ'!D43</f>
        <v/>
      </c>
      <c r="E13" s="80">
        <f>'Прил.5 Расчет СМР и ОБ'!E43</f>
        <v/>
      </c>
      <c r="F13" s="152">
        <f>'Прил.5 Расчет СМР и ОБ'!F43</f>
        <v/>
      </c>
      <c r="G13" s="152">
        <f>ROUND(E13*F13,2)</f>
        <v/>
      </c>
    </row>
    <row r="14" ht="25.5" customHeight="1" s="158">
      <c r="A14" s="212">
        <f>A13+1</f>
        <v/>
      </c>
      <c r="B14" s="80">
        <f>'Прил.5 Расчет СМР и ОБ'!B44</f>
        <v/>
      </c>
      <c r="C14" s="154">
        <f>'Прил.5 Расчет СМР и ОБ'!C44</f>
        <v/>
      </c>
      <c r="D14" s="80">
        <f>'Прил.5 Расчет СМР и ОБ'!D44</f>
        <v/>
      </c>
      <c r="E14" s="80">
        <f>'Прил.5 Расчет СМР и ОБ'!E44</f>
        <v/>
      </c>
      <c r="F14" s="152">
        <f>'Прил.5 Расчет СМР и ОБ'!F44</f>
        <v/>
      </c>
      <c r="G14" s="152">
        <f>ROUND(E14*F14,2)</f>
        <v/>
      </c>
    </row>
    <row r="15" ht="25.5" customHeight="1" s="158">
      <c r="A15" s="212">
        <f>A14+1</f>
        <v/>
      </c>
      <c r="B15" s="80">
        <f>'Прил.5 Расчет СМР и ОБ'!B45</f>
        <v/>
      </c>
      <c r="C15" s="154">
        <f>'Прил.5 Расчет СМР и ОБ'!C45</f>
        <v/>
      </c>
      <c r="D15" s="80">
        <f>'Прил.5 Расчет СМР и ОБ'!D45</f>
        <v/>
      </c>
      <c r="E15" s="80">
        <f>'Прил.5 Расчет СМР и ОБ'!E45</f>
        <v/>
      </c>
      <c r="F15" s="152">
        <f>'Прил.5 Расчет СМР и ОБ'!F45</f>
        <v/>
      </c>
      <c r="G15" s="152">
        <f>ROUND(E15*F15,2)</f>
        <v/>
      </c>
    </row>
    <row r="16" ht="25.5" customHeight="1" s="158">
      <c r="A16" s="212">
        <f>A15+1</f>
        <v/>
      </c>
      <c r="B16" s="80">
        <f>'Прил.5 Расчет СМР и ОБ'!B46</f>
        <v/>
      </c>
      <c r="C16" s="154">
        <f>'Прил.5 Расчет СМР и ОБ'!C46</f>
        <v/>
      </c>
      <c r="D16" s="80">
        <f>'Прил.5 Расчет СМР и ОБ'!D46</f>
        <v/>
      </c>
      <c r="E16" s="80">
        <f>'Прил.5 Расчет СМР и ОБ'!E46</f>
        <v/>
      </c>
      <c r="F16" s="152">
        <f>'Прил.5 Расчет СМР и ОБ'!F46</f>
        <v/>
      </c>
      <c r="G16" s="152">
        <f>ROUND(E16*F16,2)</f>
        <v/>
      </c>
    </row>
    <row r="17" ht="25.5" customHeight="1" s="158">
      <c r="A17" s="212">
        <f>A16+1</f>
        <v/>
      </c>
      <c r="B17" s="80">
        <f>'Прил.5 Расчет СМР и ОБ'!B47</f>
        <v/>
      </c>
      <c r="C17" s="154">
        <f>'Прил.5 Расчет СМР и ОБ'!C47</f>
        <v/>
      </c>
      <c r="D17" s="80">
        <f>'Прил.5 Расчет СМР и ОБ'!D47</f>
        <v/>
      </c>
      <c r="E17" s="80">
        <f>'Прил.5 Расчет СМР и ОБ'!E47</f>
        <v/>
      </c>
      <c r="F17" s="152">
        <f>'Прил.5 Расчет СМР и ОБ'!F47</f>
        <v/>
      </c>
      <c r="G17" s="152">
        <f>ROUND(E17*F17,2)</f>
        <v/>
      </c>
    </row>
    <row r="18" ht="25.5" customHeight="1" s="158">
      <c r="A18" s="212">
        <f>A17+1</f>
        <v/>
      </c>
      <c r="B18" s="80">
        <f>'Прил.5 Расчет СМР и ОБ'!B48</f>
        <v/>
      </c>
      <c r="C18" s="154">
        <f>'Прил.5 Расчет СМР и ОБ'!C48</f>
        <v/>
      </c>
      <c r="D18" s="80">
        <f>'Прил.5 Расчет СМР и ОБ'!D48</f>
        <v/>
      </c>
      <c r="E18" s="80">
        <f>'Прил.5 Расчет СМР и ОБ'!E48</f>
        <v/>
      </c>
      <c r="F18" s="152">
        <f>'Прил.5 Расчет СМР и ОБ'!F48</f>
        <v/>
      </c>
      <c r="G18" s="152">
        <f>ROUND(E18*F18,2)</f>
        <v/>
      </c>
    </row>
    <row r="19" ht="25.5" customHeight="1" s="158">
      <c r="A19" s="212">
        <f>A18+1</f>
        <v/>
      </c>
      <c r="B19" s="80">
        <f>'Прил.5 Расчет СМР и ОБ'!B49</f>
        <v/>
      </c>
      <c r="C19" s="154">
        <f>'Прил.5 Расчет СМР и ОБ'!C49</f>
        <v/>
      </c>
      <c r="D19" s="80">
        <f>'Прил.5 Расчет СМР и ОБ'!D49</f>
        <v/>
      </c>
      <c r="E19" s="80">
        <f>'Прил.5 Расчет СМР и ОБ'!E49</f>
        <v/>
      </c>
      <c r="F19" s="152">
        <f>'Прил.5 Расчет СМР и ОБ'!F49</f>
        <v/>
      </c>
      <c r="G19" s="152">
        <f>ROUND(E19*F19,2)</f>
        <v/>
      </c>
    </row>
    <row r="20" ht="25.5" customHeight="1" s="158">
      <c r="A20" s="212">
        <f>A19+1</f>
        <v/>
      </c>
      <c r="B20" s="80">
        <f>'Прил.5 Расчет СМР и ОБ'!B50</f>
        <v/>
      </c>
      <c r="C20" s="154">
        <f>'Прил.5 Расчет СМР и ОБ'!C50</f>
        <v/>
      </c>
      <c r="D20" s="80">
        <f>'Прил.5 Расчет СМР и ОБ'!D50</f>
        <v/>
      </c>
      <c r="E20" s="80">
        <f>'Прил.5 Расчет СМР и ОБ'!E50</f>
        <v/>
      </c>
      <c r="F20" s="152">
        <f>'Прил.5 Расчет СМР и ОБ'!F50</f>
        <v/>
      </c>
      <c r="G20" s="152">
        <f>ROUND(E20*F20,2)</f>
        <v/>
      </c>
    </row>
    <row r="21" ht="25.5" customHeight="1" s="158">
      <c r="A21" s="212">
        <f>A20+1</f>
        <v/>
      </c>
      <c r="B21" s="80">
        <f>'Прил.5 Расчет СМР и ОБ'!B51</f>
        <v/>
      </c>
      <c r="C21" s="154">
        <f>'Прил.5 Расчет СМР и ОБ'!C51</f>
        <v/>
      </c>
      <c r="D21" s="80">
        <f>'Прил.5 Расчет СМР и ОБ'!D51</f>
        <v/>
      </c>
      <c r="E21" s="80">
        <f>'Прил.5 Расчет СМР и ОБ'!E51</f>
        <v/>
      </c>
      <c r="F21" s="152">
        <f>'Прил.5 Расчет СМР и ОБ'!F51</f>
        <v/>
      </c>
      <c r="G21" s="152">
        <f>ROUND(E21*F21,2)</f>
        <v/>
      </c>
    </row>
    <row r="22" ht="25.5" customHeight="1" s="158">
      <c r="A22" s="212">
        <f>A21+1</f>
        <v/>
      </c>
      <c r="B22" s="80">
        <f>'Прил.5 Расчет СМР и ОБ'!B52</f>
        <v/>
      </c>
      <c r="C22" s="154">
        <f>'Прил.5 Расчет СМР и ОБ'!C52</f>
        <v/>
      </c>
      <c r="D22" s="80">
        <f>'Прил.5 Расчет СМР и ОБ'!D52</f>
        <v/>
      </c>
      <c r="E22" s="80">
        <f>'Прил.5 Расчет СМР и ОБ'!E52</f>
        <v/>
      </c>
      <c r="F22" s="152">
        <f>'Прил.5 Расчет СМР и ОБ'!F52</f>
        <v/>
      </c>
      <c r="G22" s="152">
        <f>ROUND(E22*F22,2)</f>
        <v/>
      </c>
    </row>
    <row r="23" ht="25.5" customHeight="1" s="158">
      <c r="A23" s="212">
        <f>A22+1</f>
        <v/>
      </c>
      <c r="B23" s="80">
        <f>'Прил.5 Расчет СМР и ОБ'!B53</f>
        <v/>
      </c>
      <c r="C23" s="154">
        <f>'Прил.5 Расчет СМР и ОБ'!C53</f>
        <v/>
      </c>
      <c r="D23" s="80">
        <f>'Прил.5 Расчет СМР и ОБ'!D53</f>
        <v/>
      </c>
      <c r="E23" s="80">
        <f>'Прил.5 Расчет СМР и ОБ'!E53</f>
        <v/>
      </c>
      <c r="F23" s="152">
        <f>'Прил.5 Расчет СМР и ОБ'!F53</f>
        <v/>
      </c>
      <c r="G23" s="152">
        <f>ROUND(E23*F23,2)</f>
        <v/>
      </c>
    </row>
    <row r="24" ht="25.5" customHeight="1" s="158">
      <c r="A24" s="212">
        <f>A23+1</f>
        <v/>
      </c>
      <c r="B24" s="80">
        <f>'Прил.5 Расчет СМР и ОБ'!B54</f>
        <v/>
      </c>
      <c r="C24" s="154">
        <f>'Прил.5 Расчет СМР и ОБ'!C54</f>
        <v/>
      </c>
      <c r="D24" s="80">
        <f>'Прил.5 Расчет СМР и ОБ'!D54</f>
        <v/>
      </c>
      <c r="E24" s="80">
        <f>'Прил.5 Расчет СМР и ОБ'!E54</f>
        <v/>
      </c>
      <c r="F24" s="152">
        <f>'Прил.5 Расчет СМР и ОБ'!F54</f>
        <v/>
      </c>
      <c r="G24" s="152">
        <f>ROUND(E24*F24,2)</f>
        <v/>
      </c>
    </row>
    <row r="25" ht="25.5" customHeight="1" s="158">
      <c r="A25" s="212">
        <f>A24+1</f>
        <v/>
      </c>
      <c r="B25" s="80">
        <f>'Прил.5 Расчет СМР и ОБ'!B55</f>
        <v/>
      </c>
      <c r="C25" s="154">
        <f>'Прил.5 Расчет СМР и ОБ'!C55</f>
        <v/>
      </c>
      <c r="D25" s="80">
        <f>'Прил.5 Расчет СМР и ОБ'!D55</f>
        <v/>
      </c>
      <c r="E25" s="80">
        <f>'Прил.5 Расчет СМР и ОБ'!E55</f>
        <v/>
      </c>
      <c r="F25" s="152">
        <f>'Прил.5 Расчет СМР и ОБ'!F55</f>
        <v/>
      </c>
      <c r="G25" s="152">
        <f>ROUND(E25*F25,2)</f>
        <v/>
      </c>
    </row>
    <row r="26" ht="25.5" customHeight="1" s="158">
      <c r="A26" s="212">
        <f>A25+1</f>
        <v/>
      </c>
      <c r="B26" s="80">
        <f>'Прил.5 Расчет СМР и ОБ'!B56</f>
        <v/>
      </c>
      <c r="C26" s="154">
        <f>'Прил.5 Расчет СМР и ОБ'!C56</f>
        <v/>
      </c>
      <c r="D26" s="80">
        <f>'Прил.5 Расчет СМР и ОБ'!D56</f>
        <v/>
      </c>
      <c r="E26" s="80">
        <f>'Прил.5 Расчет СМР и ОБ'!E56</f>
        <v/>
      </c>
      <c r="F26" s="152">
        <f>'Прил.5 Расчет СМР и ОБ'!F56</f>
        <v/>
      </c>
      <c r="G26" s="152">
        <f>ROUND(E26*F26,2)</f>
        <v/>
      </c>
    </row>
    <row r="27" ht="25.5" customHeight="1" s="158">
      <c r="A27" s="212">
        <f>A26+1</f>
        <v/>
      </c>
      <c r="B27" s="80">
        <f>'Прил.5 Расчет СМР и ОБ'!B57</f>
        <v/>
      </c>
      <c r="C27" s="154">
        <f>'Прил.5 Расчет СМР и ОБ'!C57</f>
        <v/>
      </c>
      <c r="D27" s="80">
        <f>'Прил.5 Расчет СМР и ОБ'!D57</f>
        <v/>
      </c>
      <c r="E27" s="80">
        <f>'Прил.5 Расчет СМР и ОБ'!E57</f>
        <v/>
      </c>
      <c r="F27" s="152">
        <f>'Прил.5 Расчет СМР и ОБ'!F57</f>
        <v/>
      </c>
      <c r="G27" s="152">
        <f>ROUND(E27*F27,2)</f>
        <v/>
      </c>
    </row>
    <row r="28" ht="25.5" customHeight="1" s="158">
      <c r="A28" s="212">
        <f>A27+1</f>
        <v/>
      </c>
      <c r="B28" s="80">
        <f>'Прил.5 Расчет СМР и ОБ'!B58</f>
        <v/>
      </c>
      <c r="C28" s="154">
        <f>'Прил.5 Расчет СМР и ОБ'!C58</f>
        <v/>
      </c>
      <c r="D28" s="80">
        <f>'Прил.5 Расчет СМР и ОБ'!D58</f>
        <v/>
      </c>
      <c r="E28" s="80">
        <f>'Прил.5 Расчет СМР и ОБ'!E58</f>
        <v/>
      </c>
      <c r="F28" s="152">
        <f>'Прил.5 Расчет СМР и ОБ'!F58</f>
        <v/>
      </c>
      <c r="G28" s="152">
        <f>ROUND(E28*F28,2)</f>
        <v/>
      </c>
    </row>
    <row r="29" ht="25.5" customHeight="1" s="158">
      <c r="A29" s="212">
        <f>A28+1</f>
        <v/>
      </c>
      <c r="B29" s="80">
        <f>'Прил.5 Расчет СМР и ОБ'!B59</f>
        <v/>
      </c>
      <c r="C29" s="154">
        <f>'Прил.5 Расчет СМР и ОБ'!C59</f>
        <v/>
      </c>
      <c r="D29" s="80">
        <f>'Прил.5 Расчет СМР и ОБ'!D59</f>
        <v/>
      </c>
      <c r="E29" s="80">
        <f>'Прил.5 Расчет СМР и ОБ'!E59</f>
        <v/>
      </c>
      <c r="F29" s="152">
        <f>'Прил.5 Расчет СМР и ОБ'!F59</f>
        <v/>
      </c>
      <c r="G29" s="152">
        <f>ROUND(E29*F29,2)</f>
        <v/>
      </c>
    </row>
    <row r="30" ht="38.25" customHeight="1" s="158">
      <c r="A30" s="212">
        <f>A29+1</f>
        <v/>
      </c>
      <c r="B30" s="80">
        <f>'Прил.5 Расчет СМР и ОБ'!B60</f>
        <v/>
      </c>
      <c r="C30" s="154">
        <f>'Прил.5 Расчет СМР и ОБ'!C60</f>
        <v/>
      </c>
      <c r="D30" s="80">
        <f>'Прил.5 Расчет СМР и ОБ'!D60</f>
        <v/>
      </c>
      <c r="E30" s="80">
        <f>'Прил.5 Расчет СМР и ОБ'!E60</f>
        <v/>
      </c>
      <c r="F30" s="152">
        <f>'Прил.5 Расчет СМР и ОБ'!F60</f>
        <v/>
      </c>
      <c r="G30" s="152">
        <f>ROUND(E30*F30,2)</f>
        <v/>
      </c>
    </row>
    <row r="31" ht="25.5" customHeight="1" s="158">
      <c r="A31" s="212">
        <f>A30+1</f>
        <v/>
      </c>
      <c r="B31" s="80">
        <f>'Прил.5 Расчет СМР и ОБ'!B61</f>
        <v/>
      </c>
      <c r="C31" s="154">
        <f>'Прил.5 Расчет СМР и ОБ'!C61</f>
        <v/>
      </c>
      <c r="D31" s="80">
        <f>'Прил.5 Расчет СМР и ОБ'!D61</f>
        <v/>
      </c>
      <c r="E31" s="80">
        <f>'Прил.5 Расчет СМР и ОБ'!E61</f>
        <v/>
      </c>
      <c r="F31" s="152">
        <f>'Прил.5 Расчет СМР и ОБ'!F61</f>
        <v/>
      </c>
      <c r="G31" s="152">
        <f>ROUND(E31*F31,2)</f>
        <v/>
      </c>
    </row>
    <row r="32" ht="25.5" customHeight="1" s="158">
      <c r="A32" s="212">
        <f>A31+1</f>
        <v/>
      </c>
      <c r="B32" s="80">
        <f>'Прил.5 Расчет СМР и ОБ'!B62</f>
        <v/>
      </c>
      <c r="C32" s="154">
        <f>'Прил.5 Расчет СМР и ОБ'!C62</f>
        <v/>
      </c>
      <c r="D32" s="80">
        <f>'Прил.5 Расчет СМР и ОБ'!D62</f>
        <v/>
      </c>
      <c r="E32" s="80">
        <f>'Прил.5 Расчет СМР и ОБ'!E62</f>
        <v/>
      </c>
      <c r="F32" s="152">
        <f>'Прил.5 Расчет СМР и ОБ'!F62</f>
        <v/>
      </c>
      <c r="G32" s="152">
        <f>ROUND(E32*F32,2)</f>
        <v/>
      </c>
    </row>
    <row r="33" ht="25.5" customHeight="1" s="158">
      <c r="A33" s="212">
        <f>A32+1</f>
        <v/>
      </c>
      <c r="B33" s="80">
        <f>'Прил.5 Расчет СМР и ОБ'!B63</f>
        <v/>
      </c>
      <c r="C33" s="154">
        <f>'Прил.5 Расчет СМР и ОБ'!C63</f>
        <v/>
      </c>
      <c r="D33" s="80">
        <f>'Прил.5 Расчет СМР и ОБ'!D63</f>
        <v/>
      </c>
      <c r="E33" s="80">
        <f>'Прил.5 Расчет СМР и ОБ'!E63</f>
        <v/>
      </c>
      <c r="F33" s="152">
        <f>'Прил.5 Расчет СМР и ОБ'!F63</f>
        <v/>
      </c>
      <c r="G33" s="152">
        <f>ROUND(E33*F33,2)</f>
        <v/>
      </c>
    </row>
    <row r="34" ht="25.5" customHeight="1" s="158">
      <c r="A34" s="212">
        <f>A33+1</f>
        <v/>
      </c>
      <c r="B34" s="80">
        <f>'Прил.5 Расчет СМР и ОБ'!B64</f>
        <v/>
      </c>
      <c r="C34" s="154">
        <f>'Прил.5 Расчет СМР и ОБ'!C64</f>
        <v/>
      </c>
      <c r="D34" s="80">
        <f>'Прил.5 Расчет СМР и ОБ'!D64</f>
        <v/>
      </c>
      <c r="E34" s="80">
        <f>'Прил.5 Расчет СМР и ОБ'!E64</f>
        <v/>
      </c>
      <c r="F34" s="152">
        <f>'Прил.5 Расчет СМР и ОБ'!F64</f>
        <v/>
      </c>
      <c r="G34" s="152">
        <f>ROUND(E34*F34,2)</f>
        <v/>
      </c>
    </row>
    <row r="35" ht="25.5" customHeight="1" s="158">
      <c r="A35" s="212">
        <f>A34+1</f>
        <v/>
      </c>
      <c r="B35" s="80">
        <f>'Прил.5 Расчет СМР и ОБ'!B65</f>
        <v/>
      </c>
      <c r="C35" s="154">
        <f>'Прил.5 Расчет СМР и ОБ'!C65</f>
        <v/>
      </c>
      <c r="D35" s="80">
        <f>'Прил.5 Расчет СМР и ОБ'!D65</f>
        <v/>
      </c>
      <c r="E35" s="80">
        <f>'Прил.5 Расчет СМР и ОБ'!E65</f>
        <v/>
      </c>
      <c r="F35" s="152">
        <f>'Прил.5 Расчет СМР и ОБ'!F65</f>
        <v/>
      </c>
      <c r="G35" s="152">
        <f>ROUND(E35*F35,2)</f>
        <v/>
      </c>
    </row>
    <row r="36" ht="25.5" customHeight="1" s="158">
      <c r="A36" s="212">
        <f>A35+1</f>
        <v/>
      </c>
      <c r="B36" s="80">
        <f>'Прил.5 Расчет СМР и ОБ'!B66</f>
        <v/>
      </c>
      <c r="C36" s="154">
        <f>'Прил.5 Расчет СМР и ОБ'!C66</f>
        <v/>
      </c>
      <c r="D36" s="80">
        <f>'Прил.5 Расчет СМР и ОБ'!D66</f>
        <v/>
      </c>
      <c r="E36" s="80">
        <f>'Прил.5 Расчет СМР и ОБ'!E66</f>
        <v/>
      </c>
      <c r="F36" s="152">
        <f>'Прил.5 Расчет СМР и ОБ'!F66</f>
        <v/>
      </c>
      <c r="G36" s="152">
        <f>ROUND(E36*F36,2)</f>
        <v/>
      </c>
    </row>
    <row r="37" ht="25.5" customHeight="1" s="158">
      <c r="A37" s="212">
        <f>A36+1</f>
        <v/>
      </c>
      <c r="B37" s="80">
        <f>'Прил.5 Расчет СМР и ОБ'!B67</f>
        <v/>
      </c>
      <c r="C37" s="154">
        <f>'Прил.5 Расчет СМР и ОБ'!C67</f>
        <v/>
      </c>
      <c r="D37" s="80">
        <f>'Прил.5 Расчет СМР и ОБ'!D67</f>
        <v/>
      </c>
      <c r="E37" s="80">
        <f>'Прил.5 Расчет СМР и ОБ'!E67</f>
        <v/>
      </c>
      <c r="F37" s="152">
        <f>'Прил.5 Расчет СМР и ОБ'!F67</f>
        <v/>
      </c>
      <c r="G37" s="152">
        <f>ROUND(E37*F37,2)</f>
        <v/>
      </c>
    </row>
    <row r="38" ht="25.5" customHeight="1" s="158">
      <c r="A38" s="212">
        <f>A37+1</f>
        <v/>
      </c>
      <c r="B38" s="80">
        <f>'Прил.5 Расчет СМР и ОБ'!B68</f>
        <v/>
      </c>
      <c r="C38" s="154">
        <f>'Прил.5 Расчет СМР и ОБ'!C68</f>
        <v/>
      </c>
      <c r="D38" s="80">
        <f>'Прил.5 Расчет СМР и ОБ'!D68</f>
        <v/>
      </c>
      <c r="E38" s="80">
        <f>'Прил.5 Расчет СМР и ОБ'!E68</f>
        <v/>
      </c>
      <c r="F38" s="152">
        <f>'Прил.5 Расчет СМР и ОБ'!F68</f>
        <v/>
      </c>
      <c r="G38" s="152">
        <f>ROUND(E38*F38,2)</f>
        <v/>
      </c>
    </row>
    <row r="39" ht="25.5" customHeight="1" s="158">
      <c r="A39" s="212">
        <f>A38+1</f>
        <v/>
      </c>
      <c r="B39" s="80">
        <f>'Прил.5 Расчет СМР и ОБ'!B69</f>
        <v/>
      </c>
      <c r="C39" s="154">
        <f>'Прил.5 Расчет СМР и ОБ'!C69</f>
        <v/>
      </c>
      <c r="D39" s="80">
        <f>'Прил.5 Расчет СМР и ОБ'!D69</f>
        <v/>
      </c>
      <c r="E39" s="80">
        <f>'Прил.5 Расчет СМР и ОБ'!E69</f>
        <v/>
      </c>
      <c r="F39" s="152">
        <f>'Прил.5 Расчет СМР и ОБ'!F69</f>
        <v/>
      </c>
      <c r="G39" s="152">
        <f>ROUND(E39*F39,2)</f>
        <v/>
      </c>
    </row>
    <row r="40" ht="25.5" customHeight="1" s="158">
      <c r="A40" s="212" t="n"/>
      <c r="B40" s="13" t="n"/>
      <c r="C40" s="13" t="inlineStr">
        <is>
          <t>ИТОГО ТЕХНОЛОГИЧЕСКОЕ ОБОРУДОВАНИЕ</t>
        </is>
      </c>
      <c r="D40" s="13" t="n"/>
      <c r="E40" s="14" t="n"/>
      <c r="F40" s="214" t="n"/>
      <c r="G40" s="152">
        <f>SUM(G12:G39)</f>
        <v/>
      </c>
    </row>
    <row r="41" ht="19.5" customHeight="1" s="158">
      <c r="A41" s="212" t="n"/>
      <c r="B41" s="211" t="n"/>
      <c r="C41" s="211" t="inlineStr">
        <is>
          <t>Всего по разделу «Оборудование»</t>
        </is>
      </c>
      <c r="D41" s="211" t="n"/>
      <c r="E41" s="229" t="n"/>
      <c r="F41" s="214" t="n"/>
      <c r="G41" s="152">
        <f>G10+G40</f>
        <v/>
      </c>
    </row>
    <row r="42">
      <c r="A42" s="170" t="n"/>
      <c r="B42" s="171" t="n"/>
      <c r="C42" s="170" t="n"/>
      <c r="D42" s="170" t="n"/>
      <c r="E42" s="170" t="n"/>
      <c r="F42" s="170" t="n"/>
      <c r="G42" s="170" t="n"/>
    </row>
    <row r="43" s="158">
      <c r="A43" s="172" t="inlineStr">
        <is>
          <t>Составил ______________________        Е.А. Князева</t>
        </is>
      </c>
      <c r="B43" s="175" t="n"/>
      <c r="C43" s="175" t="n"/>
      <c r="D43" s="170" t="n"/>
      <c r="E43" s="170" t="n"/>
      <c r="F43" s="170" t="n"/>
      <c r="G43" s="170" t="n"/>
    </row>
    <row r="44" s="158">
      <c r="A44" s="174" t="inlineStr">
        <is>
          <t xml:space="preserve">                         (подпись, инициалы, фамилия)</t>
        </is>
      </c>
      <c r="B44" s="175" t="n"/>
      <c r="C44" s="175" t="n"/>
      <c r="D44" s="170" t="n"/>
      <c r="E44" s="170" t="n"/>
      <c r="F44" s="170" t="n"/>
      <c r="G44" s="170" t="n"/>
    </row>
    <row r="45" s="158">
      <c r="A45" s="172" t="n"/>
      <c r="B45" s="175" t="n"/>
      <c r="C45" s="175" t="n"/>
      <c r="D45" s="170" t="n"/>
      <c r="E45" s="170" t="n"/>
      <c r="F45" s="170" t="n"/>
      <c r="G45" s="170" t="n"/>
    </row>
    <row r="46" s="158">
      <c r="A46" s="172" t="inlineStr">
        <is>
          <t>Проверил ______________________        А.В. Костянецкая</t>
        </is>
      </c>
      <c r="B46" s="175" t="n"/>
      <c r="C46" s="175" t="n"/>
      <c r="D46" s="170" t="n"/>
      <c r="E46" s="170" t="n"/>
      <c r="F46" s="170" t="n"/>
      <c r="G46" s="170" t="n"/>
    </row>
    <row r="47" s="158">
      <c r="A47" s="174" t="inlineStr">
        <is>
          <t xml:space="preserve">                        (подпись, инициалы, фамилия)</t>
        </is>
      </c>
      <c r="B47" s="175" t="n"/>
      <c r="C47" s="175" t="n"/>
      <c r="D47" s="170" t="n"/>
      <c r="E47" s="170" t="n"/>
      <c r="F47" s="170" t="n"/>
      <c r="G47" s="17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158" min="1" max="1"/>
    <col width="29.7109375" customWidth="1" style="158" min="2" max="2"/>
    <col width="39.140625" customWidth="1" style="158" min="3" max="3"/>
    <col width="24.5703125" customWidth="1" style="158" min="4" max="4"/>
    <col width="8.85546875" customWidth="1" style="158" min="5" max="5"/>
  </cols>
  <sheetData>
    <row r="1">
      <c r="B1" s="172" t="n"/>
      <c r="C1" s="172" t="n"/>
      <c r="D1" s="231" t="inlineStr">
        <is>
          <t>Приложение №7</t>
        </is>
      </c>
    </row>
    <row r="2">
      <c r="A2" s="231" t="n"/>
      <c r="B2" s="231" t="n"/>
      <c r="C2" s="231" t="n"/>
      <c r="D2" s="231" t="n"/>
    </row>
    <row r="3" ht="24.75" customHeight="1" s="158">
      <c r="A3" s="208" t="inlineStr">
        <is>
          <t>Расчет показателя УНЦ</t>
        </is>
      </c>
    </row>
    <row r="4" ht="24.75" customHeight="1" s="158">
      <c r="A4" s="208" t="n"/>
      <c r="B4" s="208" t="n"/>
      <c r="C4" s="208" t="n"/>
      <c r="D4" s="208" t="n"/>
    </row>
    <row r="5" ht="45" customHeight="1" s="158">
      <c r="A5" s="221" t="inlineStr">
        <is>
          <t xml:space="preserve">Наименование разрабатываемого показателя УНЦ - </t>
        </is>
      </c>
      <c r="D5" s="221">
        <f>'Прил.5 Расчет СМР и ОБ'!D6:J6</f>
        <v/>
      </c>
    </row>
    <row r="6" ht="19.9" customHeight="1" s="158">
      <c r="A6" s="221" t="inlineStr">
        <is>
          <t>Единица измерения  — 1 ячейка</t>
        </is>
      </c>
      <c r="D6" s="221" t="n"/>
    </row>
    <row r="7">
      <c r="A7" s="172" t="n"/>
      <c r="B7" s="172" t="n"/>
      <c r="C7" s="172" t="n"/>
      <c r="D7" s="172" t="n"/>
    </row>
    <row r="8" ht="14.45" customHeight="1" s="158">
      <c r="A8" s="212" t="inlineStr">
        <is>
          <t>Код показателя</t>
        </is>
      </c>
      <c r="B8" s="212" t="inlineStr">
        <is>
          <t>Наименование показателя</t>
        </is>
      </c>
      <c r="C8" s="212" t="inlineStr">
        <is>
          <t>Наименование РМ, входящих в состав показателя</t>
        </is>
      </c>
      <c r="D8" s="212" t="inlineStr">
        <is>
          <t>Норматив цены на 01.01.2023, тыс.руб.</t>
        </is>
      </c>
    </row>
    <row r="9" ht="15" customHeight="1" s="158">
      <c r="A9" s="241" t="n"/>
      <c r="B9" s="241" t="n"/>
      <c r="C9" s="241" t="n"/>
      <c r="D9" s="241" t="n"/>
    </row>
    <row r="10">
      <c r="A10" s="212" t="n">
        <v>1</v>
      </c>
      <c r="B10" s="212" t="n">
        <v>2</v>
      </c>
      <c r="C10" s="212" t="n">
        <v>3</v>
      </c>
      <c r="D10" s="212" t="n">
        <v>4</v>
      </c>
    </row>
    <row r="11" ht="41.45" customHeight="1" s="158">
      <c r="A11" s="212" t="inlineStr">
        <is>
          <t>В2-04-1</t>
        </is>
      </c>
      <c r="B11" s="212" t="inlineStr">
        <is>
          <t>УНЦ ячейки выключателя НУ 6-35 кВ</t>
        </is>
      </c>
      <c r="C11" s="167">
        <f>D5</f>
        <v/>
      </c>
      <c r="D11" s="168">
        <f>'Прил.4 РМ'!C41/1000</f>
        <v/>
      </c>
      <c r="E11" s="169" t="n"/>
    </row>
    <row r="12">
      <c r="A12" s="170" t="n"/>
      <c r="B12" s="171" t="n"/>
      <c r="C12" s="170" t="n"/>
      <c r="D12" s="170" t="n"/>
    </row>
    <row r="13">
      <c r="A13" s="172" t="inlineStr">
        <is>
          <t>Составил ______________________      Е.А. Князева</t>
        </is>
      </c>
      <c r="B13" s="175" t="n"/>
      <c r="C13" s="175" t="n"/>
      <c r="D13" s="170" t="n"/>
    </row>
    <row r="14">
      <c r="A14" s="174" t="inlineStr">
        <is>
          <t xml:space="preserve">                         (подпись, инициалы, фамилия)</t>
        </is>
      </c>
      <c r="B14" s="175" t="n"/>
      <c r="C14" s="175" t="n"/>
      <c r="D14" s="170" t="n"/>
    </row>
    <row r="15">
      <c r="A15" s="172" t="n"/>
      <c r="B15" s="175" t="n"/>
      <c r="C15" s="175" t="n"/>
      <c r="D15" s="170" t="n"/>
    </row>
    <row r="16">
      <c r="A16" s="172" t="inlineStr">
        <is>
          <t>Проверил ______________________        А.В. Костянецкая</t>
        </is>
      </c>
      <c r="B16" s="175" t="n"/>
      <c r="C16" s="175" t="n"/>
      <c r="D16" s="170" t="n"/>
    </row>
    <row r="17">
      <c r="A17" s="174" t="inlineStr">
        <is>
          <t xml:space="preserve">                        (подпись, инициалы, фамилия)</t>
        </is>
      </c>
      <c r="B17" s="175" t="n"/>
      <c r="C17" s="175" t="n"/>
      <c r="D17" s="17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7" zoomScale="60" zoomScaleNormal="100" workbookViewId="0">
      <selection activeCell="C24" sqref="C24"/>
    </sheetView>
  </sheetViews>
  <sheetFormatPr baseColWidth="8" defaultRowHeight="15"/>
  <cols>
    <col width="40.7109375" customWidth="1" style="158" min="2" max="2"/>
    <col width="37" customWidth="1" style="158" min="3" max="3"/>
    <col width="32" customWidth="1" style="158" min="4" max="4"/>
  </cols>
  <sheetData>
    <row r="4" ht="15.75" customHeight="1" s="158">
      <c r="B4" s="195" t="inlineStr">
        <is>
          <t>Приложение № 10</t>
        </is>
      </c>
    </row>
    <row r="5" ht="18.75" customHeight="1" s="158">
      <c r="B5" s="40" t="n"/>
    </row>
    <row r="6" ht="15.75" customHeight="1" s="158">
      <c r="B6" s="200" t="inlineStr">
        <is>
          <t>Используемые индексы изменений сметной стоимости и нормы сопутствующих затрат</t>
        </is>
      </c>
    </row>
    <row r="7" ht="18.75" customHeight="1" s="158">
      <c r="B7" s="108" t="n"/>
    </row>
    <row r="8" ht="47.25" customHeight="1" s="158">
      <c r="B8" s="201" t="inlineStr">
        <is>
          <t>Наименование индекса / норм сопутствующих затрат</t>
        </is>
      </c>
      <c r="C8" s="201" t="inlineStr">
        <is>
          <t>Дата применения и обоснование индекса / норм сопутствующих затрат</t>
        </is>
      </c>
      <c r="D8" s="201" t="inlineStr">
        <is>
          <t>Размер индекса / норма сопутствующих затрат</t>
        </is>
      </c>
    </row>
    <row r="9" ht="15.75" customHeight="1" s="158">
      <c r="B9" s="201" t="n">
        <v>1</v>
      </c>
      <c r="C9" s="201" t="n">
        <v>2</v>
      </c>
      <c r="D9" s="201" t="n">
        <v>3</v>
      </c>
    </row>
    <row r="10" ht="45" customHeight="1" s="158">
      <c r="B10" s="201" t="inlineStr">
        <is>
          <t xml:space="preserve">Индекс изменения сметной стоимости на 1 квартал 2023 года. ОЗП </t>
        </is>
      </c>
      <c r="C10" s="201" t="inlineStr">
        <is>
          <t>Письмо Минстроя России от 30.03.2023г. №17106-ИФ/09  прил.1</t>
        </is>
      </c>
      <c r="D10" s="201" t="n">
        <v>44.29</v>
      </c>
    </row>
    <row r="11" ht="29.25" customHeight="1" s="158">
      <c r="B11" s="201" t="inlineStr">
        <is>
          <t>Индекс изменения сметной стоимости на 1 квартал 2023 года. ЭМ</t>
        </is>
      </c>
      <c r="C11" s="201" t="inlineStr">
        <is>
          <t>Письмо Минстроя России от 30.03.2023г. №17106-ИФ/09  прил.1</t>
        </is>
      </c>
      <c r="D11" s="201" t="n">
        <v>13.47</v>
      </c>
    </row>
    <row r="12" ht="29.25" customHeight="1" s="158">
      <c r="B12" s="201" t="inlineStr">
        <is>
          <t>Индекс изменения сметной стоимости на 1 квартал 2023 года. МАТ</t>
        </is>
      </c>
      <c r="C12" s="201" t="inlineStr">
        <is>
          <t>Письмо Минстроя России от 30.03.2023г. №17106-ИФ/09  прил.1</t>
        </is>
      </c>
      <c r="D12" s="201" t="n">
        <v>8.039999999999999</v>
      </c>
    </row>
    <row r="13" ht="30.75" customHeight="1" s="158">
      <c r="B13" s="201" t="inlineStr">
        <is>
          <t>Индекс изменения сметной стоимости на 1 квартал 2023 года. ОБ</t>
        </is>
      </c>
      <c r="C13" s="111" t="inlineStr">
        <is>
          <t>Письмо Минстроя России от 23.02.2023г. №9791-ИФ/09 прил.6</t>
        </is>
      </c>
      <c r="D13" s="201" t="n">
        <v>6.26</v>
      </c>
    </row>
    <row r="14" ht="89.25" customHeight="1" s="158">
      <c r="B14" s="201" t="inlineStr">
        <is>
          <t>Временные здания и сооружения</t>
        </is>
      </c>
      <c r="C14" s="20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58">
      <c r="B15" s="201" t="inlineStr">
        <is>
          <t>Дополнительные затраты при производстве строительно-монтажных работ в зимнее время</t>
        </is>
      </c>
      <c r="C15" s="20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34.5" customHeight="1" s="158">
      <c r="B16" s="201" t="inlineStr">
        <is>
          <t>Пусконаладочные работы</t>
        </is>
      </c>
      <c r="C16" s="201" t="n"/>
      <c r="D16" s="201" t="inlineStr">
        <is>
          <t>Расчёт</t>
        </is>
      </c>
    </row>
    <row r="17" ht="31.5" customHeight="1" s="158">
      <c r="B17" s="201" t="inlineStr">
        <is>
          <t>Строительный контроль</t>
        </is>
      </c>
      <c r="C17" s="201" t="inlineStr">
        <is>
          <t>Постановление Правительства РФ от 21.06.10 г. № 468</t>
        </is>
      </c>
      <c r="D17" s="52" t="n">
        <v>0.0214</v>
      </c>
    </row>
    <row r="18" ht="31.5" customHeight="1" s="158">
      <c r="B18" s="201" t="inlineStr">
        <is>
          <t>Авторский надзор - 0,2%</t>
        </is>
      </c>
      <c r="C18" s="201" t="inlineStr">
        <is>
          <t>Приказ от 4.08.2020 № 421/пр п.173</t>
        </is>
      </c>
      <c r="D18" s="52" t="n">
        <v>0.002</v>
      </c>
    </row>
    <row r="19" ht="24" customHeight="1" s="158">
      <c r="B19" s="201" t="inlineStr">
        <is>
          <t>Непредвиденные расходы</t>
        </is>
      </c>
      <c r="C19" s="201" t="inlineStr">
        <is>
          <t>Приказ от 4.08.2020 № 421/пр п.179</t>
        </is>
      </c>
      <c r="D19" s="52" t="n">
        <v>0.03</v>
      </c>
    </row>
    <row r="20" ht="18.75" customHeight="1" s="158">
      <c r="B20" s="108" t="n"/>
    </row>
    <row r="21" ht="18.75" customHeight="1" s="158">
      <c r="B21" s="108" t="n"/>
    </row>
    <row r="22" ht="18.75" customHeight="1" s="158">
      <c r="B22" s="108" t="n"/>
    </row>
    <row r="23" ht="18.75" customHeight="1" s="158">
      <c r="B23" s="108" t="n"/>
    </row>
    <row r="26">
      <c r="B26" s="172" t="inlineStr">
        <is>
          <t>Составил ______________________        Е.А. Князева</t>
        </is>
      </c>
      <c r="C26" s="175" t="n"/>
    </row>
    <row r="27">
      <c r="B27" s="174" t="inlineStr">
        <is>
          <t xml:space="preserve">                         (подпись, инициалы, фамилия)</t>
        </is>
      </c>
      <c r="C27" s="175" t="n"/>
    </row>
    <row r="28">
      <c r="B28" s="172" t="n"/>
      <c r="C28" s="175" t="n"/>
    </row>
    <row r="29">
      <c r="B29" s="172" t="inlineStr">
        <is>
          <t>Проверил ______________________        А.В. Костянецкая</t>
        </is>
      </c>
      <c r="C29" s="175" t="n"/>
    </row>
    <row r="30">
      <c r="B30" s="174" t="inlineStr">
        <is>
          <t xml:space="preserve">                        (подпись, инициалы, фамилия)</t>
        </is>
      </c>
      <c r="C30" s="175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D22" sqref="D22"/>
    </sheetView>
  </sheetViews>
  <sheetFormatPr baseColWidth="8" defaultRowHeight="15"/>
  <cols>
    <col width="9.140625" customWidth="1" style="158" min="1" max="1"/>
    <col width="44.85546875" customWidth="1" style="158" min="2" max="2"/>
    <col width="13" customWidth="1" style="158" min="3" max="3"/>
    <col width="22.85546875" customWidth="1" style="158" min="4" max="4"/>
    <col width="21.5703125" customWidth="1" style="158" min="5" max="5"/>
    <col width="43.85546875" customWidth="1" style="158" min="6" max="6"/>
    <col width="9.140625" customWidth="1" style="158" min="7" max="7"/>
  </cols>
  <sheetData>
    <row r="2" ht="18" customHeight="1" s="158">
      <c r="A2" s="23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58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58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58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4.1</v>
      </c>
      <c r="F10" s="50" t="inlineStr">
        <is>
          <t>РТМ</t>
        </is>
      </c>
      <c r="G10" s="32" t="n"/>
    </row>
    <row r="11" ht="75" customHeight="1" s="158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1.359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58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58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2025-01-24T11:54:34Z</dcterms:modified>
  <cp:lastModifiedBy>Danil</cp:lastModifiedBy>
  <cp:lastPrinted>2023-11-24T09:08:18Z</cp:lastPrinted>
</cp:coreProperties>
</file>