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'Прил.3'!$A$1:$H$113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0" borderId="1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71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0" zoomScale="60" zoomScaleNormal="85" workbookViewId="0">
      <selection activeCell="C30" sqref="C30"/>
    </sheetView>
  </sheetViews>
  <sheetFormatPr baseColWidth="8" defaultRowHeight="15"/>
  <cols>
    <col width="36.85546875" customWidth="1" style="108" min="3" max="3"/>
    <col width="39.42578125" customWidth="1" style="108" min="4" max="4"/>
    <col width="14.28515625" customWidth="1" style="108" min="7" max="7"/>
    <col width="15" customWidth="1" style="108" min="10" max="10"/>
  </cols>
  <sheetData>
    <row r="3" ht="15.75" customHeight="1" s="108">
      <c r="B3" s="130" t="inlineStr">
        <is>
          <t>Приложение № 1</t>
        </is>
      </c>
    </row>
    <row r="4" ht="18.75" customHeight="1" s="108">
      <c r="B4" s="131" t="inlineStr">
        <is>
          <t>Сравнительная таблица отбора объекта-представителя</t>
        </is>
      </c>
    </row>
    <row r="5" ht="84" customHeight="1" s="108">
      <c r="B5" s="1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8">
      <c r="B6" s="78" t="n"/>
      <c r="C6" s="78" t="n"/>
      <c r="D6" s="78" t="n"/>
    </row>
    <row r="7" ht="64.5" customHeight="1" s="108">
      <c r="B7" s="129" t="inlineStr">
        <is>
          <t>Наименование разрабатываемого показателя УНЦ - Ячейка выключателя НУ 35(20)кВ, ном.ток 2500А, ном.ток отключения 25кА</t>
        </is>
      </c>
    </row>
    <row r="8" ht="31.5" customHeight="1" s="108">
      <c r="B8" s="129" t="inlineStr">
        <is>
          <t>Сопоставимый уровень цен: 4 квартал 2010 г.</t>
        </is>
      </c>
    </row>
    <row r="9" ht="15.75" customHeight="1" s="108">
      <c r="B9" s="129" t="inlineStr">
        <is>
          <t>Единица измерения  — 1 ячейка</t>
        </is>
      </c>
    </row>
    <row r="10" ht="18.75" customHeight="1" s="108">
      <c r="B10" s="36" t="n"/>
    </row>
    <row r="11" ht="15.75" customHeight="1" s="108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</row>
    <row r="12" ht="31.5" customHeight="1" s="108">
      <c r="B12" s="134" t="n">
        <v>1</v>
      </c>
      <c r="C12" s="58" t="inlineStr">
        <is>
          <t>Наименование объекта-представителя</t>
        </is>
      </c>
      <c r="D12" s="134" t="inlineStr">
        <is>
          <t>ПС 330 кВ Зеленогорск с заходами ВЛ 330 кВ</t>
        </is>
      </c>
    </row>
    <row r="13" ht="31.5" customHeight="1" s="108">
      <c r="B13" s="134" t="n">
        <v>2</v>
      </c>
      <c r="C13" s="58" t="inlineStr">
        <is>
          <t>Наименование субъекта Российской Федерации</t>
        </is>
      </c>
      <c r="D13" s="134" t="inlineStr">
        <is>
          <t>Ленинградская область</t>
        </is>
      </c>
    </row>
    <row r="14" ht="15.75" customHeight="1" s="108">
      <c r="B14" s="134" t="n">
        <v>3</v>
      </c>
      <c r="C14" s="58" t="inlineStr">
        <is>
          <t>Климатический район и подрайон</t>
        </is>
      </c>
      <c r="D14" s="134" t="inlineStr">
        <is>
          <t>IIВ</t>
        </is>
      </c>
    </row>
    <row r="15" ht="15.75" customHeight="1" s="108">
      <c r="B15" s="134" t="n">
        <v>4</v>
      </c>
      <c r="C15" s="58" t="inlineStr">
        <is>
          <t>Мощность объекта</t>
        </is>
      </c>
      <c r="D15" s="134" t="n">
        <v>1</v>
      </c>
    </row>
    <row r="16" ht="94.5" customHeight="1" s="108">
      <c r="B16" s="134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inlineStr">
        <is>
          <t>Выключатель элегазовый колонковый 35 кВ</t>
        </is>
      </c>
    </row>
    <row r="17" ht="78.75" customHeight="1" s="108">
      <c r="B17" s="134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4">
        <f>SUM(D18:D21)</f>
        <v/>
      </c>
    </row>
    <row r="18" ht="15.75" customHeight="1" s="108">
      <c r="B18" s="79" t="inlineStr">
        <is>
          <t>6.1</t>
        </is>
      </c>
      <c r="C18" s="58" t="inlineStr">
        <is>
          <t>строительно-монтажные работы</t>
        </is>
      </c>
      <c r="D18" s="123" t="n">
        <v>4233.11</v>
      </c>
    </row>
    <row r="19" ht="15.75" customHeight="1" s="108">
      <c r="B19" s="79" t="inlineStr">
        <is>
          <t>6.2</t>
        </is>
      </c>
      <c r="C19" s="58" t="inlineStr">
        <is>
          <t>оборудование и инвентарь</t>
        </is>
      </c>
      <c r="D19" s="123" t="n">
        <v>6349.31</v>
      </c>
    </row>
    <row r="20" ht="15.75" customHeight="1" s="108">
      <c r="B20" s="79" t="inlineStr">
        <is>
          <t>6.3</t>
        </is>
      </c>
      <c r="C20" s="58" t="inlineStr">
        <is>
          <t>пусконаладочные работы</t>
        </is>
      </c>
      <c r="D20" s="123" t="n">
        <v>0</v>
      </c>
    </row>
    <row r="21" ht="15.75" customHeight="1" s="108">
      <c r="B21" s="79" t="inlineStr">
        <is>
          <t>6.4</t>
        </is>
      </c>
      <c r="C21" s="58" t="inlineStr">
        <is>
          <t>прочие и лимитированные затраты</t>
        </is>
      </c>
      <c r="D21" s="123" t="n">
        <v>1229.46</v>
      </c>
    </row>
    <row r="22" ht="15.75" customHeight="1" s="108">
      <c r="B22" s="134" t="n">
        <v>7</v>
      </c>
      <c r="C22" s="58" t="inlineStr">
        <is>
          <t>Сопоставимый уровень цен</t>
        </is>
      </c>
      <c r="D22" s="134" t="inlineStr">
        <is>
          <t>4 квартал 2010 г.</t>
        </is>
      </c>
      <c r="G22" s="86" t="n"/>
    </row>
    <row r="23" ht="110.25" customHeight="1" s="108">
      <c r="B23" s="134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4">
        <f>D17</f>
        <v/>
      </c>
    </row>
    <row r="24" ht="47.25" customHeight="1" s="108">
      <c r="B24" s="134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34">
        <f>D23/D15</f>
        <v/>
      </c>
      <c r="G24" s="86" t="n"/>
    </row>
    <row r="25" hidden="1" ht="110.25" customHeight="1" s="108">
      <c r="B25" s="134" t="n">
        <v>10</v>
      </c>
      <c r="C25" s="58" t="inlineStr">
        <is>
          <t>Примечание</t>
        </is>
      </c>
      <c r="D25" s="5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08">
      <c r="B26" s="80" t="n"/>
      <c r="C26" s="81" t="n"/>
      <c r="D26" s="81" t="n"/>
    </row>
    <row r="27">
      <c r="B27" s="109" t="inlineStr">
        <is>
          <t>Составил ______________________        Е.А. Князева</t>
        </is>
      </c>
      <c r="C27" s="119" t="n"/>
    </row>
    <row r="28">
      <c r="B28" s="120" t="inlineStr">
        <is>
          <t xml:space="preserve">                         (подпись, инициалы, фамилия)</t>
        </is>
      </c>
      <c r="C28" s="119" t="n"/>
    </row>
    <row r="29">
      <c r="B29" s="120" t="n"/>
      <c r="C29" s="119" t="n"/>
    </row>
    <row r="30">
      <c r="B30" s="109" t="inlineStr">
        <is>
          <t>Проверил ______________________        А.В. Костянецкая</t>
        </is>
      </c>
      <c r="C30" s="119" t="n"/>
    </row>
    <row r="31">
      <c r="B31" s="120" t="inlineStr">
        <is>
          <t xml:space="preserve">                        (подпись, инициалы, фамилия)</t>
        </is>
      </c>
      <c r="C31" s="119" t="n"/>
    </row>
    <row r="32" ht="15.75" customHeight="1" s="108">
      <c r="B32" s="81" t="n"/>
      <c r="C32" s="81" t="n"/>
      <c r="D32" s="8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08" min="1" max="1"/>
    <col width="35.28515625" customWidth="1" style="108" min="3" max="3"/>
    <col width="13.85546875" customWidth="1" style="108" min="4" max="4"/>
    <col width="17.42578125" customWidth="1" style="108" min="5" max="5"/>
    <col width="12.7109375" customWidth="1" style="108" min="6" max="6"/>
    <col width="14.85546875" customWidth="1" style="108" min="7" max="7"/>
    <col width="16.7109375" customWidth="1" style="108" min="8" max="8"/>
    <col width="13" customWidth="1" style="108" min="9" max="10"/>
    <col width="18" customWidth="1" style="108" min="11" max="11"/>
  </cols>
  <sheetData>
    <row r="3" ht="15.75" customHeight="1" s="108">
      <c r="B3" s="130" t="inlineStr">
        <is>
          <t>Приложение № 2</t>
        </is>
      </c>
    </row>
    <row r="4" ht="15.75" customHeight="1" s="108">
      <c r="B4" s="135" t="inlineStr">
        <is>
          <t>Расчет стоимости основных видов работ для выбора объекта-представителя</t>
        </is>
      </c>
    </row>
    <row r="5" ht="15.75" customHeight="1" s="108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 s="108">
      <c r="B6" s="129">
        <f>'Прил.1 Сравнит табл'!B7</f>
        <v/>
      </c>
    </row>
    <row r="7" ht="15.75" customHeight="1" s="108">
      <c r="B7" s="129">
        <f>'Прил.1 Сравнит табл'!B9</f>
        <v/>
      </c>
    </row>
    <row r="8" ht="18.75" customHeight="1" s="108">
      <c r="B8" s="36" t="n"/>
    </row>
    <row r="9" ht="15.75" customHeight="1" s="108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8">
      <c r="B10" s="174" t="n"/>
      <c r="C10" s="174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3 кв. 2011 г., тыс. руб.</t>
        </is>
      </c>
      <c r="G10" s="172" t="n"/>
      <c r="H10" s="172" t="n"/>
      <c r="I10" s="172" t="n"/>
      <c r="J10" s="173" t="n"/>
    </row>
    <row r="11" ht="31.5" customHeight="1" s="108">
      <c r="B11" s="175" t="n"/>
      <c r="C11" s="175" t="n"/>
      <c r="D11" s="175" t="n"/>
      <c r="E11" s="175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</row>
    <row r="12" ht="31.5" customHeight="1" s="108">
      <c r="B12" s="134" t="n">
        <v>1</v>
      </c>
      <c r="C12" s="134" t="inlineStr">
        <is>
          <t>Выключатель 6 кВ</t>
        </is>
      </c>
      <c r="D12" s="134" t="inlineStr">
        <is>
          <t>02-08-01
02-08-02</t>
        </is>
      </c>
      <c r="E12" s="134" t="inlineStr">
        <is>
          <t>Строительные работы; Электромонтажные работы</t>
        </is>
      </c>
      <c r="F12" s="123">
        <f>642353*4.87/1000</f>
        <v/>
      </c>
      <c r="G12" s="123" t="n"/>
      <c r="H12" s="123">
        <f>1483483*3.27/1000</f>
        <v/>
      </c>
      <c r="I12" s="123">
        <f>203890*6.03/1000</f>
        <v/>
      </c>
      <c r="J12" s="123">
        <f>SUM(F12:I12)</f>
        <v/>
      </c>
    </row>
    <row r="13" ht="15.75" customHeight="1" s="108">
      <c r="B13" s="136" t="inlineStr">
        <is>
          <t>Всего по объекту:</t>
        </is>
      </c>
      <c r="C13" s="176" t="n"/>
      <c r="D13" s="176" t="n"/>
      <c r="E13" s="177" t="n"/>
      <c r="F13" s="124">
        <f>SUM(F12)</f>
        <v/>
      </c>
      <c r="G13" s="124" t="n"/>
      <c r="H13" s="124">
        <f>SUM(H12)</f>
        <v/>
      </c>
      <c r="I13" s="126">
        <f>SUM(I12)</f>
        <v/>
      </c>
      <c r="J13" s="124">
        <f>SUM(J12)</f>
        <v/>
      </c>
    </row>
    <row r="14" ht="15.75" customHeight="1" s="108">
      <c r="B14" s="133" t="inlineStr">
        <is>
          <t>Всего по объекту в сопоставимом уровне цен 3 кв. 2011 г:</t>
        </is>
      </c>
      <c r="C14" s="172" t="n"/>
      <c r="D14" s="172" t="n"/>
      <c r="E14" s="173" t="n"/>
      <c r="F14" s="126">
        <f>SUM(F13)</f>
        <v/>
      </c>
      <c r="G14" s="126">
        <f>SUM(G13)</f>
        <v/>
      </c>
      <c r="H14" s="126">
        <f>SUM(H13)</f>
        <v/>
      </c>
      <c r="I14" s="126">
        <f>SUM(I13)</f>
        <v/>
      </c>
      <c r="J14" s="126">
        <f>SUM(J13)</f>
        <v/>
      </c>
    </row>
    <row r="18">
      <c r="C18" s="109" t="inlineStr">
        <is>
          <t>Составил ______________________        Е.А. Князева</t>
        </is>
      </c>
      <c r="D18" s="119" t="n"/>
    </row>
    <row r="19">
      <c r="C19" s="120" t="inlineStr">
        <is>
          <t xml:space="preserve">                         (подпись, инициалы, фамилия)</t>
        </is>
      </c>
      <c r="D19" s="119" t="n"/>
    </row>
    <row r="20">
      <c r="C20" s="109" t="n"/>
      <c r="D20" s="119" t="n"/>
    </row>
    <row r="21">
      <c r="C21" s="109" t="inlineStr">
        <is>
          <t>Проверил ______________________        А.В. Костянецкая</t>
        </is>
      </c>
      <c r="D21" s="119" t="n"/>
    </row>
    <row r="22">
      <c r="C22" s="120" t="inlineStr">
        <is>
          <t xml:space="preserve">                        (подпись, инициалы, фамилия)</t>
        </is>
      </c>
      <c r="D22" s="11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5"/>
  <sheetViews>
    <sheetView view="pageBreakPreview" topLeftCell="A90" workbookViewId="0">
      <selection activeCell="D182" sqref="D182"/>
    </sheetView>
  </sheetViews>
  <sheetFormatPr baseColWidth="8" defaultRowHeight="15"/>
  <cols>
    <col width="12.5703125" customWidth="1" style="108" min="2" max="2"/>
    <col width="17" customWidth="1" style="108" min="3" max="3"/>
    <col width="49.7109375" customWidth="1" style="108" min="4" max="4"/>
    <col width="16.28515625" customWidth="1" style="108" min="5" max="5"/>
    <col width="20.7109375" customWidth="1" style="108" min="6" max="6"/>
    <col width="16.140625" customWidth="1" style="108" min="7" max="7"/>
    <col width="16.7109375" customWidth="1" style="108" min="8" max="8"/>
    <col width="4.5703125" customWidth="1" style="108" min="9" max="9"/>
    <col width="5.140625" customWidth="1" style="108" min="10" max="10"/>
    <col width="13" customWidth="1" style="108" min="11" max="11"/>
    <col width="9.140625" customWidth="1" style="108" min="12" max="12"/>
  </cols>
  <sheetData>
    <row r="2" ht="15.75" customHeight="1" s="108">
      <c r="A2" s="130" t="inlineStr">
        <is>
          <t xml:space="preserve">Приложение № 3 </t>
        </is>
      </c>
    </row>
    <row r="3" ht="18.75" customHeight="1" s="108">
      <c r="A3" s="131" t="inlineStr">
        <is>
          <t>Объектная ресурсная ведомость</t>
        </is>
      </c>
    </row>
    <row r="4">
      <c r="B4" s="84" t="n"/>
    </row>
    <row r="5" ht="18.75" customHeight="1" s="108">
      <c r="A5" s="131" t="n"/>
      <c r="B5" s="131" t="n"/>
      <c r="C5" s="140" t="n"/>
    </row>
    <row r="6" ht="18.75" customHeight="1" s="108">
      <c r="A6" s="36" t="n"/>
    </row>
    <row r="7" ht="32.25" customHeight="1" s="108">
      <c r="A7" s="141">
        <f>'Прил.1 Сравнит табл'!B7</f>
        <v/>
      </c>
    </row>
    <row r="8" ht="15.75" customHeight="1" s="108">
      <c r="A8" s="40" t="n"/>
      <c r="B8" s="40" t="n"/>
      <c r="C8" s="40" t="n"/>
      <c r="D8" s="40" t="n"/>
      <c r="E8" s="40" t="n"/>
      <c r="F8" s="40" t="n"/>
      <c r="G8" s="40" t="n"/>
      <c r="H8" s="56" t="n"/>
    </row>
    <row r="9" ht="38.25" customHeight="1" s="108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3" t="n"/>
    </row>
    <row r="10" ht="40.5" customHeight="1" s="108">
      <c r="A10" s="175" t="n"/>
      <c r="B10" s="175" t="n"/>
      <c r="C10" s="175" t="n"/>
      <c r="D10" s="175" t="n"/>
      <c r="E10" s="175" t="n"/>
      <c r="F10" s="175" t="n"/>
      <c r="G10" s="134" t="inlineStr">
        <is>
          <t>на ед.изм.</t>
        </is>
      </c>
      <c r="H10" s="134" t="inlineStr">
        <is>
          <t>общая</t>
        </is>
      </c>
    </row>
    <row r="11" ht="15.75" customHeight="1" s="108">
      <c r="A11" s="134" t="n">
        <v>1</v>
      </c>
      <c r="B11" s="43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43" t="n">
        <v>6</v>
      </c>
      <c r="H11" s="43" t="n">
        <v>7</v>
      </c>
    </row>
    <row r="12" ht="15" customHeight="1" s="108">
      <c r="A12" s="138" t="inlineStr">
        <is>
          <t>Затраты труда рабочих</t>
        </is>
      </c>
      <c r="B12" s="172" t="n"/>
      <c r="C12" s="172" t="n"/>
      <c r="D12" s="172" t="n"/>
      <c r="E12" s="172" t="n"/>
      <c r="F12" s="44">
        <f>SUM(F13:F15)</f>
        <v/>
      </c>
      <c r="G12" s="45" t="n"/>
      <c r="H12" s="44">
        <f>SUM(H13:H15)</f>
        <v/>
      </c>
      <c r="J12" s="59" t="n"/>
      <c r="K12" s="18" t="n"/>
    </row>
    <row r="13">
      <c r="A13" s="53" t="n">
        <v>1</v>
      </c>
      <c r="B13" s="21" t="n"/>
      <c r="C13" s="53" t="inlineStr">
        <is>
          <t>1-4-0</t>
        </is>
      </c>
      <c r="D13" s="145" t="inlineStr">
        <is>
          <t>Затраты труда рабочих (средний разряд работы 4,0)</t>
        </is>
      </c>
      <c r="E13" s="146" t="inlineStr">
        <is>
          <t>чел.-ч</t>
        </is>
      </c>
      <c r="F13" s="146" t="n">
        <v>3692.99</v>
      </c>
      <c r="G13" s="14" t="n">
        <v>9.619999999999999</v>
      </c>
      <c r="H13" s="14">
        <f>ROUND(F13*G13,2)</f>
        <v/>
      </c>
    </row>
    <row r="14">
      <c r="A14" s="127">
        <f>A13+1</f>
        <v/>
      </c>
      <c r="B14" s="21" t="n"/>
      <c r="C14" s="53" t="inlineStr">
        <is>
          <t>1-3-8</t>
        </is>
      </c>
      <c r="D14" s="145" t="inlineStr">
        <is>
          <t>Затраты труда рабочих (средний разряд работы 3,8)</t>
        </is>
      </c>
      <c r="E14" s="146" t="inlineStr">
        <is>
          <t>чел.-ч</t>
        </is>
      </c>
      <c r="F14" s="146" t="n">
        <v>383.11</v>
      </c>
      <c r="G14" s="14" t="n">
        <v>9.4</v>
      </c>
      <c r="H14" s="14">
        <f>ROUND(F14*G14,2)</f>
        <v/>
      </c>
    </row>
    <row r="15">
      <c r="A15" s="127">
        <f>A14+1</f>
        <v/>
      </c>
      <c r="B15" s="21" t="n"/>
      <c r="C15" s="53" t="inlineStr">
        <is>
          <t>1-4-2</t>
        </is>
      </c>
      <c r="D15" s="145" t="inlineStr">
        <is>
          <t>Затраты труда рабочих (средний разряд работы 4,2)</t>
        </is>
      </c>
      <c r="E15" s="146" t="inlineStr">
        <is>
          <t>чел.-ч</t>
        </is>
      </c>
      <c r="F15" s="146" t="n">
        <v>120.86</v>
      </c>
      <c r="G15" s="14" t="n">
        <v>9.92</v>
      </c>
      <c r="H15" s="14">
        <f>ROUND(F15*G15,2)</f>
        <v/>
      </c>
    </row>
    <row r="16" ht="15" customHeight="1" s="108">
      <c r="A16" s="137" t="inlineStr">
        <is>
          <t>Затраты труда машинистов</t>
        </is>
      </c>
      <c r="B16" s="172" t="n"/>
      <c r="C16" s="172" t="n"/>
      <c r="D16" s="172" t="n"/>
      <c r="E16" s="173" t="n"/>
      <c r="F16" s="45" t="n"/>
      <c r="G16" s="45" t="n"/>
      <c r="H16" s="44">
        <f>H17</f>
        <v/>
      </c>
    </row>
    <row r="17">
      <c r="A17" s="127">
        <f>A15+1</f>
        <v/>
      </c>
      <c r="B17" s="21" t="n"/>
      <c r="C17" s="53" t="n">
        <v>2</v>
      </c>
      <c r="D17" s="145" t="inlineStr">
        <is>
          <t>Затраты труда машинистов</t>
        </is>
      </c>
      <c r="E17" s="146" t="inlineStr">
        <is>
          <t>чел.-ч</t>
        </is>
      </c>
      <c r="F17" s="146">
        <f>'Прил.5 Расчет СМР и ОБ'!E16</f>
        <v/>
      </c>
      <c r="G17" s="14" t="n"/>
      <c r="H17" s="128">
        <f>'Прил.5 Расчет СМР и ОБ'!G16</f>
        <v/>
      </c>
      <c r="L17" s="42" t="n"/>
    </row>
    <row r="18" ht="15" customHeight="1" s="108">
      <c r="A18" s="137" t="inlineStr">
        <is>
          <t>Машины и механизмы</t>
        </is>
      </c>
      <c r="B18" s="172" t="n"/>
      <c r="C18" s="172" t="n"/>
      <c r="D18" s="172" t="n"/>
      <c r="E18" s="173" t="n"/>
      <c r="F18" s="45" t="n"/>
      <c r="G18" s="45" t="n"/>
      <c r="H18" s="44">
        <f>SUM(H19:H31)</f>
        <v/>
      </c>
      <c r="K18" s="18" t="n"/>
    </row>
    <row r="19">
      <c r="A19" s="53">
        <f>A17+1</f>
        <v/>
      </c>
      <c r="B19" s="21" t="n"/>
      <c r="C19" s="53" t="inlineStr">
        <is>
          <t>91.05.05-014</t>
        </is>
      </c>
      <c r="D19" s="145" t="inlineStr">
        <is>
          <t>Краны на автомобильном ходу, грузоподъемность 10 т</t>
        </is>
      </c>
      <c r="E19" s="146" t="inlineStr">
        <is>
          <t>маш.-ч</t>
        </is>
      </c>
      <c r="F19" s="146" t="inlineStr">
        <is>
          <t>387,02</t>
        </is>
      </c>
      <c r="G19" s="163" t="n">
        <v>111.99</v>
      </c>
      <c r="H19" s="14">
        <f>ROUND(F19*G19,2)</f>
        <v/>
      </c>
    </row>
    <row r="20">
      <c r="A20" s="53">
        <f>A19+1</f>
        <v/>
      </c>
      <c r="B20" s="21" t="n"/>
      <c r="C20" s="53" t="inlineStr">
        <is>
          <t>91.10.01-002</t>
        </is>
      </c>
      <c r="D20" s="145" t="inlineStr">
        <is>
          <t>Агрегаты наполнительно-опрессовочные до 300 м3/ч</t>
        </is>
      </c>
      <c r="E20" s="146" t="inlineStr">
        <is>
          <t>маш.-ч</t>
        </is>
      </c>
      <c r="F20" s="147" t="inlineStr">
        <is>
          <t>47,18</t>
        </is>
      </c>
      <c r="G20" s="163" t="n">
        <v>287.99</v>
      </c>
      <c r="H20" s="14">
        <f>ROUND(F20*G20,2)</f>
        <v/>
      </c>
    </row>
    <row r="21">
      <c r="A21" s="53">
        <f>A20+1</f>
        <v/>
      </c>
      <c r="B21" s="21" t="n"/>
      <c r="C21" s="53" t="inlineStr">
        <is>
          <t>91.06.06-042</t>
        </is>
      </c>
      <c r="D21" s="145" t="inlineStr">
        <is>
          <t>Подъемники гидравлические, высота подъема 10 м</t>
        </is>
      </c>
      <c r="E21" s="146" t="inlineStr">
        <is>
          <t>маш.-ч</t>
        </is>
      </c>
      <c r="F21" s="146" t="inlineStr">
        <is>
          <t>295,17</t>
        </is>
      </c>
      <c r="G21" s="163" t="n">
        <v>29.6</v>
      </c>
      <c r="H21" s="14">
        <f>ROUND(F21*G21,2)</f>
        <v/>
      </c>
    </row>
    <row r="22" ht="25.5" customHeight="1" s="108">
      <c r="A22" s="53">
        <f>A21+1</f>
        <v/>
      </c>
      <c r="B22" s="21" t="n"/>
      <c r="C22" s="53" t="inlineStr">
        <is>
          <t>91.06.03-058</t>
        </is>
      </c>
      <c r="D22" s="145" t="inlineStr">
        <is>
          <t>Лебедки электрические тяговым усилием 156,96 кН (16 т)</t>
        </is>
      </c>
      <c r="E22" s="146" t="inlineStr">
        <is>
          <t>маш.-ч</t>
        </is>
      </c>
      <c r="F22" s="146" t="inlineStr">
        <is>
          <t>47,18</t>
        </is>
      </c>
      <c r="G22" s="163" t="n">
        <v>131.44</v>
      </c>
      <c r="H22" s="14">
        <f>ROUND(F22*G22,2)</f>
        <v/>
      </c>
    </row>
    <row r="23" ht="25.5" customHeight="1" s="108">
      <c r="A23" s="53">
        <f>A22+1</f>
        <v/>
      </c>
      <c r="B23" s="21" t="n"/>
      <c r="C23" s="53" t="n">
        <v>21102</v>
      </c>
      <c r="D23" s="145" t="inlineStr">
        <is>
          <t>Краны на автомобильном ходу при работе на монтаже технологического оборудования 10 т</t>
        </is>
      </c>
      <c r="E23" s="146" t="inlineStr">
        <is>
          <t>маш.час</t>
        </is>
      </c>
      <c r="F23" s="146" t="n">
        <v>26.68</v>
      </c>
      <c r="G23" s="163" t="n">
        <v>134.65</v>
      </c>
      <c r="H23" s="14">
        <f>ROUND(F23*G23,2)</f>
        <v/>
      </c>
    </row>
    <row r="24">
      <c r="A24" s="53">
        <f>A23+1</f>
        <v/>
      </c>
      <c r="B24" s="21" t="n"/>
      <c r="C24" s="53" t="inlineStr">
        <is>
          <t>91.14.02-001</t>
        </is>
      </c>
      <c r="D24" s="145" t="inlineStr">
        <is>
          <t>Автомобили бортовые, грузоподъемность: до 5 т</t>
        </is>
      </c>
      <c r="E24" s="146" t="inlineStr">
        <is>
          <t>маш.час</t>
        </is>
      </c>
      <c r="F24" s="146" t="n">
        <v>54.29</v>
      </c>
      <c r="G24" s="163" t="n">
        <v>65.70999999999999</v>
      </c>
      <c r="H24" s="14">
        <f>ROUND(F24*G24,2)</f>
        <v/>
      </c>
    </row>
    <row r="25">
      <c r="A25" s="53">
        <f>A24+1</f>
        <v/>
      </c>
      <c r="B25" s="21" t="n"/>
      <c r="C25" s="53" t="n">
        <v>400001</v>
      </c>
      <c r="D25" s="145" t="inlineStr">
        <is>
          <t>Автомобили бортовые, грузоподъемность до 5 т</t>
        </is>
      </c>
      <c r="E25" s="146" t="inlineStr">
        <is>
          <t>маш.час</t>
        </is>
      </c>
      <c r="F25" s="146" t="n">
        <v>16.68</v>
      </c>
      <c r="G25" s="163" t="n">
        <v>87.17</v>
      </c>
      <c r="H25" s="14">
        <f>ROUND(F25*G25,2)</f>
        <v/>
      </c>
    </row>
    <row r="26" ht="25.5" customHeight="1" s="108">
      <c r="A26" s="53">
        <f>A25+1</f>
        <v/>
      </c>
      <c r="B26" s="21" t="n"/>
      <c r="C26" s="53" t="n">
        <v>40502</v>
      </c>
      <c r="D26" s="145" t="inlineStr">
        <is>
          <t>Установки для сварки ручной дуговой (постоянного тока)</t>
        </is>
      </c>
      <c r="E26" s="146" t="inlineStr">
        <is>
          <t>маш.час</t>
        </is>
      </c>
      <c r="F26" s="146" t="n">
        <v>140.38</v>
      </c>
      <c r="G26" s="163" t="n">
        <v>8.1</v>
      </c>
      <c r="H26" s="14">
        <f>ROUND(F26*G26,2)</f>
        <v/>
      </c>
    </row>
    <row r="27" ht="25.5" customHeight="1" s="108">
      <c r="A27" s="53">
        <f>A26+1</f>
        <v/>
      </c>
      <c r="B27" s="21" t="n"/>
      <c r="C27" s="53" t="inlineStr">
        <is>
          <t>91.17.04-233</t>
        </is>
      </c>
      <c r="D27" s="145" t="inlineStr">
        <is>
          <t>Установки для сварки: ручной дуговой (постоянного тока)</t>
        </is>
      </c>
      <c r="E27" s="146" t="inlineStr">
        <is>
          <t>маш.час</t>
        </is>
      </c>
      <c r="F27" s="146" t="n">
        <v>80.56</v>
      </c>
      <c r="G27" s="163" t="n">
        <v>8.1</v>
      </c>
      <c r="H27" s="14">
        <f>ROUND(F27*G27,2)</f>
        <v/>
      </c>
    </row>
    <row r="28" ht="25.5" customHeight="1" s="108">
      <c r="A28" s="53">
        <f>A27+1</f>
        <v/>
      </c>
      <c r="B28" s="21" t="n"/>
      <c r="C28" s="53" t="n">
        <v>30203</v>
      </c>
      <c r="D28" s="145" t="inlineStr">
        <is>
          <t>Домкраты гидравлические грузоподъемностью 63-100 т</t>
        </is>
      </c>
      <c r="E28" s="146" t="inlineStr">
        <is>
          <t>маш.час</t>
        </is>
      </c>
      <c r="F28" s="146" t="n">
        <v>120.26</v>
      </c>
      <c r="G28" s="163" t="n">
        <v>0.9</v>
      </c>
      <c r="H28" s="14">
        <f>ROUND(F28*G28,2)</f>
        <v/>
      </c>
    </row>
    <row r="29">
      <c r="A29" s="53">
        <f>A28+1</f>
        <v/>
      </c>
      <c r="B29" s="21" t="n"/>
      <c r="C29" s="53" t="inlineStr">
        <is>
          <t>91.06.01-003</t>
        </is>
      </c>
      <c r="D29" s="145" t="inlineStr">
        <is>
          <t>Домкраты гидравлические, грузоподъемность 63-100 т</t>
        </is>
      </c>
      <c r="E29" s="146" t="inlineStr">
        <is>
          <t>маш.час</t>
        </is>
      </c>
      <c r="F29" s="146" t="n">
        <v>94.22</v>
      </c>
      <c r="G29" s="163" t="n">
        <v>0.9</v>
      </c>
      <c r="H29" s="14">
        <f>ROUND(F29*G29,2)</f>
        <v/>
      </c>
    </row>
    <row r="30">
      <c r="A30" s="53">
        <f>A29+1</f>
        <v/>
      </c>
      <c r="B30" s="21" t="n"/>
      <c r="C30" s="53" t="n">
        <v>331451</v>
      </c>
      <c r="D30" s="145" t="inlineStr">
        <is>
          <t>Перфораторы электрические</t>
        </is>
      </c>
      <c r="E30" s="146" t="inlineStr">
        <is>
          <t>маш.час</t>
        </is>
      </c>
      <c r="F30" s="146" t="n">
        <v>14.91</v>
      </c>
      <c r="G30" s="163" t="n">
        <v>2.08</v>
      </c>
      <c r="H30" s="14">
        <f>ROUND(F30*G30,2)</f>
        <v/>
      </c>
    </row>
    <row r="31" ht="25.5" customHeight="1" s="108">
      <c r="A31" s="53">
        <f>A30+1</f>
        <v/>
      </c>
      <c r="B31" s="21" t="n"/>
      <c r="C31" s="53" t="n">
        <v>30402</v>
      </c>
      <c r="D31" s="145" t="inlineStr">
        <is>
          <t>Лебедки электрические тяговым усилием до 12,26 кН (1,25 т)</t>
        </is>
      </c>
      <c r="E31" s="146" t="inlineStr">
        <is>
          <t>маш.час</t>
        </is>
      </c>
      <c r="F31" s="146" t="n">
        <v>1.19</v>
      </c>
      <c r="G31" s="163" t="n">
        <v>3.28</v>
      </c>
      <c r="H31" s="14">
        <f>ROUND(F31*G31,2)</f>
        <v/>
      </c>
    </row>
    <row r="32" ht="15" customHeight="1" s="108">
      <c r="A32" s="137" t="inlineStr">
        <is>
          <t>Оборудование</t>
        </is>
      </c>
      <c r="B32" s="172" t="n"/>
      <c r="C32" s="172" t="n"/>
      <c r="D32" s="172" t="n"/>
      <c r="E32" s="173" t="n"/>
      <c r="F32" s="45" t="n"/>
      <c r="G32" s="45" t="n"/>
      <c r="H32" s="44">
        <f>SUM(H33:H37)</f>
        <v/>
      </c>
    </row>
    <row r="33" ht="25.5" customHeight="1" s="108">
      <c r="A33" s="127">
        <f>A31+1</f>
        <v/>
      </c>
      <c r="B33" s="137" t="n"/>
      <c r="C33" s="53" t="inlineStr">
        <is>
          <t>Прайс из СД ОП</t>
        </is>
      </c>
      <c r="D33" s="89" t="inlineStr">
        <is>
          <t>Выключатель НУ 35(20)кВ, 2500А, 25кА</t>
        </is>
      </c>
      <c r="E33" s="53" t="inlineStr">
        <is>
          <t>шт.</t>
        </is>
      </c>
      <c r="F33" s="53" t="n">
        <v>1</v>
      </c>
      <c r="G33" s="14" t="n">
        <v>301916.93</v>
      </c>
      <c r="H33" s="14">
        <f>ROUND(F33*G33,2)</f>
        <v/>
      </c>
    </row>
    <row r="34" ht="25.5" customHeight="1" s="108">
      <c r="A34" s="127">
        <f>A33+1</f>
        <v/>
      </c>
      <c r="B34" s="137" t="n"/>
      <c r="C34" s="53" t="inlineStr">
        <is>
          <t>Прайс из СД ОП</t>
        </is>
      </c>
      <c r="D34" s="89" t="inlineStr">
        <is>
          <t>Разъединитель трёхполюсный с двумя заземляющими ножами 2000А, 31,5кА</t>
        </is>
      </c>
      <c r="E34" s="53" t="inlineStr">
        <is>
          <t>шт.</t>
        </is>
      </c>
      <c r="F34" s="53" t="n">
        <v>2</v>
      </c>
      <c r="G34" s="14" t="n">
        <v>186704.95</v>
      </c>
      <c r="H34" s="14">
        <f>ROUND(F34*G34,2)</f>
        <v/>
      </c>
    </row>
    <row r="35">
      <c r="A35" s="127">
        <f>A34+1</f>
        <v/>
      </c>
      <c r="B35" s="137" t="n"/>
      <c r="C35" s="53" t="inlineStr">
        <is>
          <t>Прайс из СД ОП</t>
        </is>
      </c>
      <c r="D35" s="89" t="inlineStr">
        <is>
          <t>Трансформатор напряжения 35кВ, 960 ВА</t>
        </is>
      </c>
      <c r="E35" s="53" t="inlineStr">
        <is>
          <t>шт.</t>
        </is>
      </c>
      <c r="F35" s="53" t="n">
        <v>3</v>
      </c>
      <c r="G35" s="14" t="n">
        <v>57910.54</v>
      </c>
      <c r="H35" s="14">
        <f>ROUND(F35*G35,2)</f>
        <v/>
      </c>
    </row>
    <row r="36" ht="25.5" customHeight="1" s="108">
      <c r="A36" s="127">
        <f>A35+1</f>
        <v/>
      </c>
      <c r="B36" s="137" t="n"/>
      <c r="C36" s="53" t="inlineStr">
        <is>
          <t>Прайс из СД ОП</t>
        </is>
      </c>
      <c r="D36" s="89" t="inlineStr">
        <is>
          <t>Разъединитель трёхполюсный с одним комплектом заземляющих ножей 2000А, 31,5кА</t>
        </is>
      </c>
      <c r="E36" s="53" t="inlineStr">
        <is>
          <t>шт.</t>
        </is>
      </c>
      <c r="F36" s="53" t="n">
        <v>1</v>
      </c>
      <c r="G36" s="14" t="n">
        <v>135135.14</v>
      </c>
      <c r="H36" s="14">
        <f>ROUND(F36*G36,2)</f>
        <v/>
      </c>
    </row>
    <row r="37" ht="25.5" customHeight="1" s="108">
      <c r="A37" s="127">
        <f>A36+1</f>
        <v/>
      </c>
      <c r="B37" s="137" t="n"/>
      <c r="C37" s="53" t="inlineStr">
        <is>
          <t>Прайс из СД ОП</t>
        </is>
      </c>
      <c r="D37" s="89" t="inlineStr">
        <is>
          <t xml:space="preserve">Ограничитель напряжения ОПН-35 </t>
        </is>
      </c>
      <c r="E37" s="53" t="inlineStr">
        <is>
          <t>шт.</t>
        </is>
      </c>
      <c r="F37" s="53" t="n">
        <v>3</v>
      </c>
      <c r="G37" s="14" t="n">
        <v>4504.5</v>
      </c>
      <c r="H37" s="14">
        <f>ROUND(F37*G37,2)</f>
        <v/>
      </c>
    </row>
    <row r="38" ht="15" customHeight="1" s="108">
      <c r="A38" s="137" t="inlineStr">
        <is>
          <t>Материалы</t>
        </is>
      </c>
      <c r="B38" s="172" t="n"/>
      <c r="C38" s="172" t="n"/>
      <c r="D38" s="172" t="n"/>
      <c r="E38" s="173" t="n"/>
      <c r="F38" s="45" t="n"/>
      <c r="G38" s="45" t="n"/>
      <c r="H38" s="44">
        <f>SUM(H39:H98)</f>
        <v/>
      </c>
      <c r="K38" s="18" t="n"/>
    </row>
    <row r="39" ht="25.5" customHeight="1" s="108">
      <c r="A39" s="127">
        <f>A37+1</f>
        <v/>
      </c>
      <c r="B39" s="21" t="n"/>
      <c r="C39" s="53" t="inlineStr">
        <is>
          <t>21.2.01.02-0090</t>
        </is>
      </c>
      <c r="D39" s="145" t="inlineStr">
        <is>
          <t>Провод неизолированный для воздушных линий электропередачи АС 150/19</t>
        </is>
      </c>
      <c r="E39" s="146" t="inlineStr">
        <is>
          <t>т</t>
        </is>
      </c>
      <c r="F39" s="146" t="inlineStr">
        <is>
          <t>5,219493</t>
        </is>
      </c>
      <c r="G39" s="14" t="n">
        <v>32762.18</v>
      </c>
      <c r="H39" s="14">
        <f>ROUND(F39*G39,2)</f>
        <v/>
      </c>
    </row>
    <row r="40" ht="38.25" customHeight="1" s="108">
      <c r="A40" s="127">
        <f>A39+1</f>
        <v/>
      </c>
      <c r="B40" s="21" t="n"/>
      <c r="C40" s="53" t="inlineStr">
        <is>
          <t>20.5.04.04-0061</t>
        </is>
      </c>
      <c r="D40" s="145" t="inlineStr">
        <is>
          <t>Зажимы натяжные болтовые НБН алюминиевые для крепления многопроволочных проводов сечением 95-120 мм2</t>
        </is>
      </c>
      <c r="E40" s="146" t="inlineStr">
        <is>
          <t>шт</t>
        </is>
      </c>
      <c r="F40" s="146" t="inlineStr">
        <is>
          <t>192</t>
        </is>
      </c>
      <c r="G40" s="14" t="n">
        <v>389.85</v>
      </c>
      <c r="H40" s="14">
        <f>ROUND(F40*G40,2)</f>
        <v/>
      </c>
    </row>
    <row r="41">
      <c r="A41" s="127">
        <f>A40+1</f>
        <v/>
      </c>
      <c r="B41" s="21" t="n"/>
      <c r="C41" s="53" t="inlineStr">
        <is>
          <t>08.1.02.20-0001</t>
        </is>
      </c>
      <c r="D41" s="145" t="inlineStr">
        <is>
          <t>Звено соединительное, диаметр 28 мм</t>
        </is>
      </c>
      <c r="E41" s="146" t="inlineStr">
        <is>
          <t>шт</t>
        </is>
      </c>
      <c r="F41" s="146" t="inlineStr">
        <is>
          <t>192</t>
        </is>
      </c>
      <c r="G41" s="14" t="n">
        <v>248.78</v>
      </c>
      <c r="H41" s="14">
        <f>ROUND(F41*G41,2)</f>
        <v/>
      </c>
    </row>
    <row r="42">
      <c r="A42" s="127">
        <f>A41+1</f>
        <v/>
      </c>
      <c r="B42" s="21" t="n"/>
      <c r="C42" s="53" t="inlineStr">
        <is>
          <t>25.2.01.06-0101</t>
        </is>
      </c>
      <c r="D42" s="145" t="inlineStr">
        <is>
          <t>Зажим фиксирующий (КС-049-5) (КС-329)</t>
        </is>
      </c>
      <c r="E42" s="146" t="inlineStr">
        <is>
          <t>шт</t>
        </is>
      </c>
      <c r="F42" s="146" t="inlineStr">
        <is>
          <t>476</t>
        </is>
      </c>
      <c r="G42" s="14" t="n">
        <v>66.68000000000001</v>
      </c>
      <c r="H42" s="14">
        <f>ROUND(F42*G42,2)</f>
        <v/>
      </c>
    </row>
    <row r="43">
      <c r="A43" s="127">
        <f>A42+1</f>
        <v/>
      </c>
      <c r="B43" s="21" t="n"/>
      <c r="C43" s="53" t="inlineStr">
        <is>
          <t>20.1.02.22-0003</t>
        </is>
      </c>
      <c r="D43" s="145" t="inlineStr">
        <is>
          <t>Ушко двухлапчатое У2-12-16</t>
        </is>
      </c>
      <c r="E43" s="146" t="inlineStr">
        <is>
          <t>шт</t>
        </is>
      </c>
      <c r="F43" s="146" t="inlineStr">
        <is>
          <t>87</t>
        </is>
      </c>
      <c r="G43" s="14" t="n">
        <v>194.37</v>
      </c>
      <c r="H43" s="14">
        <f>ROUND(F43*G43,2)</f>
        <v/>
      </c>
    </row>
    <row r="44">
      <c r="A44" s="127">
        <f>A43+1</f>
        <v/>
      </c>
      <c r="B44" s="21" t="n"/>
      <c r="C44" s="53" t="inlineStr">
        <is>
          <t>20.2.08.05-0017</t>
        </is>
      </c>
      <c r="D44" s="145" t="inlineStr">
        <is>
          <t>Профиль монтажный</t>
        </is>
      </c>
      <c r="E44" s="146" t="inlineStr">
        <is>
          <t>шт</t>
        </is>
      </c>
      <c r="F44" s="146" t="inlineStr">
        <is>
          <t>221</t>
        </is>
      </c>
      <c r="G44" s="14" t="n">
        <v>66.81999999999999</v>
      </c>
      <c r="H44" s="14">
        <f>ROUND(F44*G44,2)</f>
        <v/>
      </c>
    </row>
    <row r="45">
      <c r="A45" s="127">
        <f>A44+1</f>
        <v/>
      </c>
      <c r="B45" s="21" t="n"/>
      <c r="C45" s="53" t="inlineStr">
        <is>
          <t>20.2.11.04-0011</t>
        </is>
      </c>
      <c r="D45" s="145" t="inlineStr">
        <is>
          <t>Распорки 125-1</t>
        </is>
      </c>
      <c r="E45" s="146" t="inlineStr">
        <is>
          <t>шт</t>
        </is>
      </c>
      <c r="F45" s="146" t="inlineStr">
        <is>
          <t>320</t>
        </is>
      </c>
      <c r="G45" s="14" t="n">
        <v>36.61</v>
      </c>
      <c r="H45" s="14">
        <f>ROUND(F45*G45,2)</f>
        <v/>
      </c>
    </row>
    <row r="46" ht="25.5" customHeight="1" s="108">
      <c r="A46" s="127">
        <f>A45+1</f>
        <v/>
      </c>
      <c r="B46" s="21" t="n"/>
      <c r="C46" s="53" t="inlineStr">
        <is>
          <t>07.2.07.04-0007</t>
        </is>
      </c>
      <c r="D46" s="145" t="inlineStr">
        <is>
          <t>Конструкции стальные индивидуальные решетчатые сварные, масса до 0,1 т</t>
        </is>
      </c>
      <c r="E46" s="146" t="inlineStr">
        <is>
          <t>т</t>
        </is>
      </c>
      <c r="F46" s="146" t="inlineStr">
        <is>
          <t>0,937</t>
        </is>
      </c>
      <c r="G46" s="14" t="n">
        <v>11500</v>
      </c>
      <c r="H46" s="14">
        <f>ROUND(F46*G46,2)</f>
        <v/>
      </c>
    </row>
    <row r="47">
      <c r="A47" s="127">
        <f>A46+1</f>
        <v/>
      </c>
      <c r="B47" s="21" t="n"/>
      <c r="C47" s="53" t="inlineStr">
        <is>
          <t>101-3721</t>
        </is>
      </c>
      <c r="D47" s="145" t="inlineStr">
        <is>
          <t>Сталь полосовая 50х4 мм, марка Ст3сп</t>
        </is>
      </c>
      <c r="E47" s="146" t="inlineStr">
        <is>
          <t>т</t>
        </is>
      </c>
      <c r="F47" s="146" t="n">
        <v>1.37788</v>
      </c>
      <c r="G47" s="14" t="n">
        <v>7396.23</v>
      </c>
      <c r="H47" s="14">
        <f>ROUND(F47*G47,2)</f>
        <v/>
      </c>
    </row>
    <row r="48">
      <c r="A48" s="127">
        <f>A47+1</f>
        <v/>
      </c>
      <c r="B48" s="21" t="n"/>
      <c r="C48" s="53" t="inlineStr">
        <is>
          <t>20.1.02.21-0071</t>
        </is>
      </c>
      <c r="D48" s="145" t="inlineStr">
        <is>
          <t>Узел крепления фиксатора : окрашенный</t>
        </is>
      </c>
      <c r="E48" s="146" t="inlineStr">
        <is>
          <t>шт</t>
        </is>
      </c>
      <c r="F48" s="146" t="n">
        <v>127</v>
      </c>
      <c r="G48" s="14" t="n">
        <v>56.95</v>
      </c>
      <c r="H48" s="14">
        <f>ROUND(F48*G48,2)</f>
        <v/>
      </c>
    </row>
    <row r="49" ht="25.5" customHeight="1" s="108">
      <c r="A49" s="127">
        <f>A48+1</f>
        <v/>
      </c>
      <c r="B49" s="21" t="n"/>
      <c r="C49" s="53" t="inlineStr">
        <is>
          <t>25.2.01.10-0003</t>
        </is>
      </c>
      <c r="D49" s="145" t="inlineStr">
        <is>
          <t>Коромысло: для анкеровки усиливающих и питающих проводов (КС- 122)</t>
        </is>
      </c>
      <c r="E49" s="146" t="inlineStr">
        <is>
          <t>шт</t>
        </is>
      </c>
      <c r="F49" s="146" t="n">
        <v>87</v>
      </c>
      <c r="G49" s="14" t="n">
        <v>81</v>
      </c>
      <c r="H49" s="14">
        <f>ROUND(F49*G49,2)</f>
        <v/>
      </c>
    </row>
    <row r="50">
      <c r="A50" s="127">
        <f>A49+1</f>
        <v/>
      </c>
      <c r="B50" s="21" t="n"/>
      <c r="C50" s="53" t="inlineStr">
        <is>
          <t>08.1.02.13-0010</t>
        </is>
      </c>
      <c r="D50" s="145" t="inlineStr">
        <is>
          <t>Рукава металлические диаметром: 27 мм РЗ-Ц-Х</t>
        </is>
      </c>
      <c r="E50" s="146" t="inlineStr">
        <is>
          <t>м</t>
        </is>
      </c>
      <c r="F50" s="146" t="n">
        <v>420</v>
      </c>
      <c r="G50" s="14" t="n">
        <v>13.56</v>
      </c>
      <c r="H50" s="14">
        <f>ROUND(F50*G50,2)</f>
        <v/>
      </c>
    </row>
    <row r="51">
      <c r="A51" s="127">
        <f>A50+1</f>
        <v/>
      </c>
      <c r="B51" s="21" t="n"/>
      <c r="C51" s="53" t="inlineStr">
        <is>
          <t>01.7.17.11-0001</t>
        </is>
      </c>
      <c r="D51" s="145" t="inlineStr">
        <is>
          <t>Бумага шлифовальная</t>
        </is>
      </c>
      <c r="E51" s="146" t="inlineStr">
        <is>
          <t>кг</t>
        </is>
      </c>
      <c r="F51" s="146" t="n">
        <v>96</v>
      </c>
      <c r="G51" s="14" t="n">
        <v>50</v>
      </c>
      <c r="H51" s="14">
        <f>ROUND(F51*G51,2)</f>
        <v/>
      </c>
    </row>
    <row r="52" ht="38.25" customHeight="1" s="108">
      <c r="A52" s="127">
        <f>A51+1</f>
        <v/>
      </c>
      <c r="B52" s="21" t="n"/>
      <c r="C52" s="53" t="inlineStr">
        <is>
          <t>21.2.03.05-0055</t>
        </is>
      </c>
      <c r="D52" s="145" t="inlineStr">
        <is>
          <t>Провода силовые для электрических установок на напряжение до 450 В с медной жилой марки: ПВ1, сечением 25 мм2</t>
        </is>
      </c>
      <c r="E52" s="146" t="inlineStr">
        <is>
          <t>1000 м</t>
        </is>
      </c>
      <c r="F52" s="146" t="n">
        <v>0.1836</v>
      </c>
      <c r="G52" s="14" t="n">
        <v>19363.45</v>
      </c>
      <c r="H52" s="14">
        <f>ROUND(F52*G52,2)</f>
        <v/>
      </c>
    </row>
    <row r="53">
      <c r="A53" s="127">
        <f>A52+1</f>
        <v/>
      </c>
      <c r="B53" s="21" t="n"/>
      <c r="C53" s="53" t="inlineStr">
        <is>
          <t>01.7.15.03-0042</t>
        </is>
      </c>
      <c r="D53" s="145" t="inlineStr">
        <is>
          <t>Болты с гайками и шайбами строительные</t>
        </is>
      </c>
      <c r="E53" s="146" t="inlineStr">
        <is>
          <t>кг</t>
        </is>
      </c>
      <c r="F53" s="146" t="n">
        <v>309.62</v>
      </c>
      <c r="G53" s="14" t="n">
        <v>9.039999999999999</v>
      </c>
      <c r="H53" s="14">
        <f>ROUND(F53*G53,2)</f>
        <v/>
      </c>
    </row>
    <row r="54">
      <c r="A54" s="127">
        <f>A53+1</f>
        <v/>
      </c>
      <c r="B54" s="21" t="n"/>
      <c r="C54" s="53" t="inlineStr">
        <is>
          <t>22.1.01.02-0003</t>
        </is>
      </c>
      <c r="D54" s="145" t="inlineStr">
        <is>
          <t>Бокс ЩРН-9 навесной (250х350х120)</t>
        </is>
      </c>
      <c r="E54" s="146" t="inlineStr">
        <is>
          <t>шт</t>
        </is>
      </c>
      <c r="F54" s="146" t="n">
        <v>30</v>
      </c>
      <c r="G54" s="14" t="n">
        <v>92.25</v>
      </c>
      <c r="H54" s="14">
        <f>ROUND(F54*G54,2)</f>
        <v/>
      </c>
    </row>
    <row r="55" ht="25.5" customHeight="1" s="108">
      <c r="A55" s="127">
        <f>A54+1</f>
        <v/>
      </c>
      <c r="B55" s="21" t="n"/>
      <c r="C55" s="53" t="inlineStr">
        <is>
          <t>08.3.07.01-0076</t>
        </is>
      </c>
      <c r="D55" s="145" t="inlineStr">
        <is>
          <t>Сталь полосовая, марка стали: Ст3сп шириной 50-200 мм толщиной 4-5 мм</t>
        </is>
      </c>
      <c r="E55" s="146" t="inlineStr">
        <is>
          <t>т</t>
        </is>
      </c>
      <c r="F55" s="146" t="n">
        <v>0.458</v>
      </c>
      <c r="G55" s="14" t="n">
        <v>5000</v>
      </c>
      <c r="H55" s="14">
        <f>ROUND(F55*G55,2)</f>
        <v/>
      </c>
    </row>
    <row r="56">
      <c r="A56" s="127">
        <f>A55+1</f>
        <v/>
      </c>
      <c r="B56" s="21" t="n"/>
      <c r="C56" s="53" t="inlineStr">
        <is>
          <t>14.4.02.09-0001</t>
        </is>
      </c>
      <c r="D56" s="145" t="inlineStr">
        <is>
          <t>Краска</t>
        </is>
      </c>
      <c r="E56" s="146" t="inlineStr">
        <is>
          <t>кг</t>
        </is>
      </c>
      <c r="F56" s="146" t="n">
        <v>71.48</v>
      </c>
      <c r="G56" s="14" t="n">
        <v>28.6</v>
      </c>
      <c r="H56" s="14">
        <f>ROUND(F56*G56,2)</f>
        <v/>
      </c>
    </row>
    <row r="57">
      <c r="A57" s="127">
        <f>A56+1</f>
        <v/>
      </c>
      <c r="B57" s="21" t="n"/>
      <c r="C57" s="53" t="inlineStr">
        <is>
          <t>20.1.02.14-0002</t>
        </is>
      </c>
      <c r="D57" s="145" t="inlineStr">
        <is>
          <t>Серьга Ср-4,5 075</t>
        </is>
      </c>
      <c r="E57" s="146" t="inlineStr">
        <is>
          <t>шт.</t>
        </is>
      </c>
      <c r="F57" s="146" t="n">
        <v>127</v>
      </c>
      <c r="G57" s="14" t="n">
        <v>11.39</v>
      </c>
      <c r="H57" s="14">
        <f>ROUND(F57*G57,2)</f>
        <v/>
      </c>
    </row>
    <row r="58" ht="25.5" customHeight="1" s="108">
      <c r="A58" s="127">
        <f>A57+1</f>
        <v/>
      </c>
      <c r="B58" s="21" t="n"/>
      <c r="C58" s="53" t="inlineStr">
        <is>
          <t>101-1755</t>
        </is>
      </c>
      <c r="D58" s="145" t="inlineStr">
        <is>
          <t>Сталь полосовая, марка стали Ст3сп шириной 50-200 мм толщиной 4-5 мм</t>
        </is>
      </c>
      <c r="E58" s="146" t="inlineStr">
        <is>
          <t>т</t>
        </is>
      </c>
      <c r="F58" s="146" t="n">
        <v>0.2603</v>
      </c>
      <c r="G58" s="14" t="n">
        <v>5000</v>
      </c>
      <c r="H58" s="14">
        <f>ROUND(F58*G58,2)</f>
        <v/>
      </c>
    </row>
    <row r="59">
      <c r="A59" s="127">
        <f>A58+1</f>
        <v/>
      </c>
      <c r="B59" s="21" t="n"/>
      <c r="C59" s="53" t="inlineStr">
        <is>
          <t>01.7.11.07-0034</t>
        </is>
      </c>
      <c r="D59" s="145" t="inlineStr">
        <is>
          <t>Электроды диаметром: 4 мм Э42А</t>
        </is>
      </c>
      <c r="E59" s="146" t="inlineStr">
        <is>
          <t>кг</t>
        </is>
      </c>
      <c r="F59" s="146" t="n">
        <v>121.75</v>
      </c>
      <c r="G59" s="14" t="n">
        <v>10.57</v>
      </c>
      <c r="H59" s="14">
        <f>ROUND(F59*G59,2)</f>
        <v/>
      </c>
    </row>
    <row r="60">
      <c r="A60" s="127">
        <f>A59+1</f>
        <v/>
      </c>
      <c r="B60" s="21" t="n"/>
      <c r="C60" s="53" t="inlineStr">
        <is>
          <t>301-0041</t>
        </is>
      </c>
      <c r="D60" s="145" t="inlineStr">
        <is>
          <t>Патрубки</t>
        </is>
      </c>
      <c r="E60" s="146" t="inlineStr">
        <is>
          <t>10 шт.</t>
        </is>
      </c>
      <c r="F60" s="146" t="n">
        <v>4.2</v>
      </c>
      <c r="G60" s="14" t="n">
        <v>277.5</v>
      </c>
      <c r="H60" s="14">
        <f>ROUND(F60*G60,2)</f>
        <v/>
      </c>
    </row>
    <row r="61">
      <c r="A61" s="127">
        <f>A60+1</f>
        <v/>
      </c>
      <c r="B61" s="21" t="n"/>
      <c r="C61" s="53" t="inlineStr">
        <is>
          <t>22.1.01.02-0002</t>
        </is>
      </c>
      <c r="D61" s="145" t="inlineStr">
        <is>
          <t>Бокс ЩРН-9 навесной (250х300х120)</t>
        </is>
      </c>
      <c r="E61" s="146" t="inlineStr">
        <is>
          <t>шт</t>
        </is>
      </c>
      <c r="F61" s="146" t="n">
        <v>11</v>
      </c>
      <c r="G61" s="14" t="n">
        <v>85.45999999999999</v>
      </c>
      <c r="H61" s="14">
        <f>ROUND(F61*G61,2)</f>
        <v/>
      </c>
    </row>
    <row r="62" ht="25.5" customHeight="1" s="108">
      <c r="A62" s="127">
        <f>A61+1</f>
        <v/>
      </c>
      <c r="B62" s="21" t="n"/>
      <c r="C62" s="53" t="inlineStr">
        <is>
          <t>08.3.07.01-0076</t>
        </is>
      </c>
      <c r="D62" s="145" t="inlineStr">
        <is>
          <t>Сталь полосовая, марка стали: Ст3сп шириной 50-200 мм толщиной 4-5 мм</t>
        </is>
      </c>
      <c r="E62" s="146" t="inlineStr">
        <is>
          <t>т</t>
        </is>
      </c>
      <c r="F62" s="146" t="n">
        <v>0.157</v>
      </c>
      <c r="G62" s="14" t="n">
        <v>5000</v>
      </c>
      <c r="H62" s="14">
        <f>ROUND(F62*G62,2)</f>
        <v/>
      </c>
    </row>
    <row r="63">
      <c r="A63" s="127">
        <f>A62+1</f>
        <v/>
      </c>
      <c r="B63" s="21" t="n"/>
      <c r="C63" s="53" t="inlineStr">
        <is>
          <t>25.2.01.17-0005</t>
        </is>
      </c>
      <c r="D63" s="145" t="inlineStr">
        <is>
          <t>Ушко: однолапчатое 012</t>
        </is>
      </c>
      <c r="E63" s="146" t="inlineStr">
        <is>
          <t>шт</t>
        </is>
      </c>
      <c r="F63" s="146" t="n">
        <v>18</v>
      </c>
      <c r="G63" s="14" t="n">
        <v>38.79</v>
      </c>
      <c r="H63" s="14">
        <f>ROUND(F63*G63,2)</f>
        <v/>
      </c>
    </row>
    <row r="64">
      <c r="A64" s="127">
        <f>A63+1</f>
        <v/>
      </c>
      <c r="B64" s="21" t="n"/>
      <c r="C64" s="53" t="inlineStr">
        <is>
          <t>01.3.01.07-0008</t>
        </is>
      </c>
      <c r="D64" s="145" t="inlineStr">
        <is>
          <t>Спирт этиловый ректификованный технический, сорт I</t>
        </is>
      </c>
      <c r="E64" s="146" t="inlineStr">
        <is>
          <t>т</t>
        </is>
      </c>
      <c r="F64" s="146" t="n">
        <v>0.0176</v>
      </c>
      <c r="G64" s="14" t="n">
        <v>38890</v>
      </c>
      <c r="H64" s="14">
        <f>ROUND(F64*G64,2)</f>
        <v/>
      </c>
    </row>
    <row r="65" ht="25.5" customHeight="1" s="108">
      <c r="A65" s="127">
        <f>A64+1</f>
        <v/>
      </c>
      <c r="B65" s="21" t="n"/>
      <c r="C65" s="53" t="inlineStr">
        <is>
          <t>999-9950</t>
        </is>
      </c>
      <c r="D65" s="145" t="inlineStr">
        <is>
          <t>Вспомогательные ненормируемые ресурсы (2% от Оплаты труда рабочих)</t>
        </is>
      </c>
      <c r="E65" s="146" t="inlineStr">
        <is>
          <t>руб.</t>
        </is>
      </c>
      <c r="F65" s="146" t="n">
        <v>617.92</v>
      </c>
      <c r="G65" s="14" t="n">
        <v>1</v>
      </c>
      <c r="H65" s="14">
        <f>ROUND(F65*G65,2)</f>
        <v/>
      </c>
    </row>
    <row r="66" ht="25.5" customHeight="1" s="108">
      <c r="A66" s="127">
        <f>A65+1</f>
        <v/>
      </c>
      <c r="B66" s="21" t="n"/>
      <c r="C66" s="53" t="inlineStr">
        <is>
          <t>01.3.01.06-0050</t>
        </is>
      </c>
      <c r="D66" s="145" t="inlineStr">
        <is>
          <t>Смазка универсальная тугоплавкая УТ (консталин жировой)</t>
        </is>
      </c>
      <c r="E66" s="146" t="inlineStr">
        <is>
          <t>т</t>
        </is>
      </c>
      <c r="F66" s="146" t="n">
        <v>0.0343</v>
      </c>
      <c r="G66" s="14" t="n">
        <v>17500</v>
      </c>
      <c r="H66" s="14">
        <f>ROUND(F66*G66,2)</f>
        <v/>
      </c>
    </row>
    <row r="67">
      <c r="A67" s="127">
        <f>A66+1</f>
        <v/>
      </c>
      <c r="B67" s="21" t="n"/>
      <c r="C67" s="53" t="inlineStr">
        <is>
          <t>101-1924</t>
        </is>
      </c>
      <c r="D67" s="145" t="inlineStr">
        <is>
          <t>Электроды диаметром 4 мм Э42А</t>
        </is>
      </c>
      <c r="E67" s="146" t="inlineStr">
        <is>
          <t>кг</t>
        </is>
      </c>
      <c r="F67" s="146" t="n">
        <v>55.7664</v>
      </c>
      <c r="G67" s="14" t="n">
        <v>10.57</v>
      </c>
      <c r="H67" s="14">
        <f>ROUND(F67*G67,2)</f>
        <v/>
      </c>
    </row>
    <row r="68">
      <c r="A68" s="127">
        <f>A67+1</f>
        <v/>
      </c>
      <c r="B68" s="21" t="n"/>
      <c r="C68" s="53" t="inlineStr">
        <is>
          <t>01.7.20.08-0031</t>
        </is>
      </c>
      <c r="D68" s="145" t="inlineStr">
        <is>
          <t>Бязь суровая арт. 6804</t>
        </is>
      </c>
      <c r="E68" s="146" t="inlineStr">
        <is>
          <t>10 м2</t>
        </is>
      </c>
      <c r="F68" s="146" t="n">
        <v>7.403</v>
      </c>
      <c r="G68" s="14" t="n">
        <v>79.09999999999999</v>
      </c>
      <c r="H68" s="14">
        <f>ROUND(F68*G68,2)</f>
        <v/>
      </c>
    </row>
    <row r="69">
      <c r="A69" s="127">
        <f>A68+1</f>
        <v/>
      </c>
      <c r="B69" s="21" t="n"/>
      <c r="C69" s="53" t="inlineStr">
        <is>
          <t>01.7.15.10-0041</t>
        </is>
      </c>
      <c r="D69" s="145" t="inlineStr">
        <is>
          <t>Скобы</t>
        </is>
      </c>
      <c r="E69" s="146" t="inlineStr">
        <is>
          <t>10 шт</t>
        </is>
      </c>
      <c r="F69" s="146" t="n">
        <v>8.4</v>
      </c>
      <c r="G69" s="14" t="n">
        <v>64.8</v>
      </c>
      <c r="H69" s="14">
        <f>ROUND(F69*G69,2)</f>
        <v/>
      </c>
    </row>
    <row r="70">
      <c r="A70" s="127">
        <f>A69+1</f>
        <v/>
      </c>
      <c r="B70" s="21" t="n"/>
      <c r="C70" s="53" t="inlineStr">
        <is>
          <t>101-2143</t>
        </is>
      </c>
      <c r="D70" s="145" t="inlineStr">
        <is>
          <t>Краска</t>
        </is>
      </c>
      <c r="E70" s="146" t="inlineStr">
        <is>
          <t>кг</t>
        </is>
      </c>
      <c r="F70" s="146" t="n">
        <v>15.95</v>
      </c>
      <c r="G70" s="14" t="n">
        <v>28.6</v>
      </c>
      <c r="H70" s="14">
        <f>ROUND(F70*G70,2)</f>
        <v/>
      </c>
    </row>
    <row r="71">
      <c r="A71" s="127">
        <f>A70+1</f>
        <v/>
      </c>
      <c r="B71" s="21" t="n"/>
      <c r="C71" s="53" t="inlineStr">
        <is>
          <t>101-1977</t>
        </is>
      </c>
      <c r="D71" s="145" t="inlineStr">
        <is>
          <t>Болты с гайками и шайбами строительные</t>
        </is>
      </c>
      <c r="E71" s="146" t="inlineStr">
        <is>
          <t>кг</t>
        </is>
      </c>
      <c r="F71" s="146" t="n">
        <v>44.999</v>
      </c>
      <c r="G71" s="14" t="n">
        <v>9.039999999999999</v>
      </c>
      <c r="H71" s="14">
        <f>ROUND(F71*G71,2)</f>
        <v/>
      </c>
    </row>
    <row r="72">
      <c r="A72" s="127">
        <f>A71+1</f>
        <v/>
      </c>
      <c r="B72" s="21" t="n"/>
      <c r="C72" s="53" t="inlineStr">
        <is>
          <t>20.2.09.13-0011</t>
        </is>
      </c>
      <c r="D72" s="145" t="inlineStr">
        <is>
          <t>Муфта</t>
        </is>
      </c>
      <c r="E72" s="146" t="inlineStr">
        <is>
          <t>шт</t>
        </is>
      </c>
      <c r="F72" s="146" t="n">
        <v>58</v>
      </c>
      <c r="G72" s="14" t="n">
        <v>5</v>
      </c>
      <c r="H72" s="14">
        <f>ROUND(F72*G72,2)</f>
        <v/>
      </c>
    </row>
    <row r="73" ht="25.5" customHeight="1" s="108">
      <c r="A73" s="127">
        <f>A72+1</f>
        <v/>
      </c>
      <c r="B73" s="21" t="n"/>
      <c r="C73" s="53" t="inlineStr">
        <is>
          <t>10.2.02.07-0109</t>
        </is>
      </c>
      <c r="D73" s="145" t="inlineStr">
        <is>
          <t>Проволока латунная марки Л68 круглая, твердая, нормальной точности, диаметром: 0,50 мм</t>
        </is>
      </c>
      <c r="E73" s="146" t="inlineStr">
        <is>
          <t>т</t>
        </is>
      </c>
      <c r="F73" s="146" t="n">
        <v>0.0033</v>
      </c>
      <c r="G73" s="14" t="n">
        <v>62000</v>
      </c>
      <c r="H73" s="14">
        <f>ROUND(F73*G73,2)</f>
        <v/>
      </c>
    </row>
    <row r="74" ht="25.5" customHeight="1" s="108">
      <c r="A74" s="127">
        <f>A73+1</f>
        <v/>
      </c>
      <c r="B74" s="21" t="n"/>
      <c r="C74" s="53" t="inlineStr">
        <is>
          <t>999-9950</t>
        </is>
      </c>
      <c r="D74" s="145" t="inlineStr">
        <is>
          <t>Вспомогательные ненормируемые материальные ресурсы (2% от оплаты труда рабочих)</t>
        </is>
      </c>
      <c r="E74" s="146" t="inlineStr">
        <is>
          <t>руб.</t>
        </is>
      </c>
      <c r="F74" s="146" t="n">
        <v>188.7056</v>
      </c>
      <c r="G74" s="14" t="n">
        <v>1</v>
      </c>
      <c r="H74" s="14">
        <f>ROUND(F74*G74,2)</f>
        <v/>
      </c>
    </row>
    <row r="75" ht="25.5" customHeight="1" s="108">
      <c r="A75" s="127">
        <f>A74+1</f>
        <v/>
      </c>
      <c r="B75" s="21" t="n"/>
      <c r="C75" s="53" t="inlineStr">
        <is>
          <t>101-1627</t>
        </is>
      </c>
      <c r="D75" s="145" t="inlineStr">
        <is>
          <t>Сталь листовая углеродистая обыкновенного качества марки ВСт3пс5 толщиной 4-6 мм</t>
        </is>
      </c>
      <c r="E75" s="146" t="inlineStr">
        <is>
          <t>т</t>
        </is>
      </c>
      <c r="F75" s="146" t="n">
        <v>0.0281</v>
      </c>
      <c r="G75" s="14" t="n">
        <v>5763</v>
      </c>
      <c r="H75" s="14">
        <f>ROUND(F75*G75,2)</f>
        <v/>
      </c>
    </row>
    <row r="76" ht="25.5" customHeight="1" s="108">
      <c r="A76" s="127">
        <f>A75+1</f>
        <v/>
      </c>
      <c r="B76" s="21" t="n"/>
      <c r="C76" s="53" t="inlineStr">
        <is>
          <t>11.1.03.06-0021</t>
        </is>
      </c>
      <c r="D76" s="145" t="inlineStr">
        <is>
          <t>Доски обрезные (береза, липа) длиной: 4-6,5 м, все ширины, толщиной 19-22 мм, II сорта</t>
        </is>
      </c>
      <c r="E76" s="146" t="inlineStr">
        <is>
          <t>м3</t>
        </is>
      </c>
      <c r="F76" s="146" t="n">
        <v>0.08799999999999999</v>
      </c>
      <c r="G76" s="14" t="n">
        <v>1784</v>
      </c>
      <c r="H76" s="14">
        <f>ROUND(F76*G76,2)</f>
        <v/>
      </c>
    </row>
    <row r="77">
      <c r="A77" s="127">
        <f>A76+1</f>
        <v/>
      </c>
      <c r="B77" s="21" t="n"/>
      <c r="C77" s="53" t="inlineStr">
        <is>
          <t>101-3914</t>
        </is>
      </c>
      <c r="D77" s="145" t="inlineStr">
        <is>
          <t>Дюбели распорные полипропиленовые</t>
        </is>
      </c>
      <c r="E77" s="146" t="inlineStr">
        <is>
          <t>100 шт.</t>
        </is>
      </c>
      <c r="F77" s="146" t="n">
        <v>1.768</v>
      </c>
      <c r="G77" s="14" t="n">
        <v>86</v>
      </c>
      <c r="H77" s="14">
        <f>ROUND(F77*G77,2)</f>
        <v/>
      </c>
    </row>
    <row r="78">
      <c r="A78" s="127">
        <f>A77+1</f>
        <v/>
      </c>
      <c r="B78" s="21" t="n"/>
      <c r="C78" s="53" t="inlineStr">
        <is>
          <t>101-0115</t>
        </is>
      </c>
      <c r="D78" s="145" t="inlineStr">
        <is>
          <t>Винты с полукруглой головкой длиной 50 мм</t>
        </is>
      </c>
      <c r="E78" s="146" t="inlineStr">
        <is>
          <t>т</t>
        </is>
      </c>
      <c r="F78" s="146" t="n">
        <v>0.0092</v>
      </c>
      <c r="G78" s="14" t="n">
        <v>12430</v>
      </c>
      <c r="H78" s="14">
        <f>ROUND(F78*G78,2)</f>
        <v/>
      </c>
    </row>
    <row r="79" ht="25.5" customHeight="1" s="108">
      <c r="A79" s="127">
        <f>A78+1</f>
        <v/>
      </c>
      <c r="B79" s="21" t="n"/>
      <c r="C79" s="53" t="inlineStr">
        <is>
          <t>101-2343</t>
        </is>
      </c>
      <c r="D79" s="145" t="inlineStr">
        <is>
          <t>Смазка универсальная тугоплавкая УТ (консталин жировой)</t>
        </is>
      </c>
      <c r="E79" s="146" t="inlineStr">
        <is>
          <t>т</t>
        </is>
      </c>
      <c r="F79" s="146" t="n">
        <v>0.0065</v>
      </c>
      <c r="G79" s="14" t="n">
        <v>17500</v>
      </c>
      <c r="H79" s="14">
        <f>ROUND(F79*G79,2)</f>
        <v/>
      </c>
    </row>
    <row r="80">
      <c r="A80" s="127">
        <f>A79+1</f>
        <v/>
      </c>
      <c r="B80" s="21" t="n"/>
      <c r="C80" s="53" t="inlineStr">
        <is>
          <t>509-0090</t>
        </is>
      </c>
      <c r="D80" s="145" t="inlineStr">
        <is>
          <t>Перемычки гибкие, тип ПГС-50</t>
        </is>
      </c>
      <c r="E80" s="146" t="inlineStr">
        <is>
          <t>шт.</t>
        </is>
      </c>
      <c r="F80" s="146" t="n">
        <v>21</v>
      </c>
      <c r="G80" s="14" t="n">
        <v>3.9</v>
      </c>
      <c r="H80" s="14">
        <f>ROUND(F80*G80,2)</f>
        <v/>
      </c>
    </row>
    <row r="81">
      <c r="A81" s="127">
        <f>A80+1</f>
        <v/>
      </c>
      <c r="B81" s="21" t="n"/>
      <c r="C81" s="53" t="inlineStr">
        <is>
          <t>01.3.02.09-0022</t>
        </is>
      </c>
      <c r="D81" s="145" t="inlineStr">
        <is>
          <t>Пропан-бутан, смесь техническая</t>
        </is>
      </c>
      <c r="E81" s="146" t="inlineStr">
        <is>
          <t>кг</t>
        </is>
      </c>
      <c r="F81" s="146" t="n">
        <v>11</v>
      </c>
      <c r="G81" s="14" t="n">
        <v>6.09</v>
      </c>
      <c r="H81" s="14">
        <f>ROUND(F81*G81,2)</f>
        <v/>
      </c>
    </row>
    <row r="82">
      <c r="A82" s="127">
        <f>A81+1</f>
        <v/>
      </c>
      <c r="B82" s="21" t="n"/>
      <c r="C82" s="53" t="inlineStr">
        <is>
          <t>20.5.04.11-0021</t>
        </is>
      </c>
      <c r="D82" s="145" t="inlineStr">
        <is>
          <t>Зажимы</t>
        </is>
      </c>
      <c r="E82" s="146" t="inlineStr">
        <is>
          <t>100 шт</t>
        </is>
      </c>
      <c r="F82" s="146" t="n">
        <v>0.03</v>
      </c>
      <c r="G82" s="14" t="n">
        <v>1776</v>
      </c>
      <c r="H82" s="14">
        <f>ROUND(F82*G82,2)</f>
        <v/>
      </c>
    </row>
    <row r="83">
      <c r="A83" s="127">
        <f>A82+1</f>
        <v/>
      </c>
      <c r="B83" s="21" t="n"/>
      <c r="C83" s="53" t="inlineStr">
        <is>
          <t>01.7.15.06-0121</t>
        </is>
      </c>
      <c r="D83" s="145" t="inlineStr">
        <is>
          <t>Гвозди строительные с плоской головкой: 1,6x50 мм</t>
        </is>
      </c>
      <c r="E83" s="146" t="inlineStr">
        <is>
          <t>т</t>
        </is>
      </c>
      <c r="F83" s="146" t="n">
        <v>0.0044</v>
      </c>
      <c r="G83" s="14" t="n">
        <v>8475</v>
      </c>
      <c r="H83" s="14">
        <f>ROUND(F83*G83,2)</f>
        <v/>
      </c>
    </row>
    <row r="84">
      <c r="A84" s="127">
        <f>A83+1</f>
        <v/>
      </c>
      <c r="B84" s="21" t="n"/>
      <c r="C84" s="53" t="inlineStr">
        <is>
          <t>509-0031</t>
        </is>
      </c>
      <c r="D84" s="145" t="inlineStr">
        <is>
          <t>Муфты соединительные</t>
        </is>
      </c>
      <c r="E84" s="146" t="inlineStr">
        <is>
          <t>шт.</t>
        </is>
      </c>
      <c r="F84" s="146" t="n">
        <v>42</v>
      </c>
      <c r="G84" s="14" t="n">
        <v>0.71</v>
      </c>
      <c r="H84" s="14">
        <f>ROUND(F84*G84,2)</f>
        <v/>
      </c>
    </row>
    <row r="85">
      <c r="A85" s="127">
        <f>A84+1</f>
        <v/>
      </c>
      <c r="B85" s="21" t="n"/>
      <c r="C85" s="53" t="inlineStr">
        <is>
          <t>101-0113</t>
        </is>
      </c>
      <c r="D85" s="145" t="inlineStr">
        <is>
          <t>Бязь суровая арт. 6804</t>
        </is>
      </c>
      <c r="E85" s="146" t="inlineStr">
        <is>
          <t>10 м2</t>
        </is>
      </c>
      <c r="F85" s="146" t="n">
        <v>0.252</v>
      </c>
      <c r="G85" s="14" t="n">
        <v>79.09999999999999</v>
      </c>
      <c r="H85" s="14">
        <f>ROUND(F85*G85,2)</f>
        <v/>
      </c>
    </row>
    <row r="86">
      <c r="A86" s="127">
        <f>A85+1</f>
        <v/>
      </c>
      <c r="B86" s="21" t="n"/>
      <c r="C86" s="53" t="inlineStr">
        <is>
          <t>101-1728</t>
        </is>
      </c>
      <c r="D86" s="145" t="inlineStr">
        <is>
          <t>Дюбели распорные с гайкой</t>
        </is>
      </c>
      <c r="E86" s="146" t="inlineStr">
        <is>
          <t>100 шт.</t>
        </is>
      </c>
      <c r="F86" s="146" t="n">
        <v>0.1256</v>
      </c>
      <c r="G86" s="14" t="n">
        <v>110</v>
      </c>
      <c r="H86" s="14">
        <f>ROUND(F86*G86,2)</f>
        <v/>
      </c>
    </row>
    <row r="87">
      <c r="A87" s="127">
        <f>A86+1</f>
        <v/>
      </c>
      <c r="B87" s="21" t="n"/>
      <c r="C87" s="53" t="inlineStr">
        <is>
          <t>01.3.02.08-0001</t>
        </is>
      </c>
      <c r="D87" s="145" t="inlineStr">
        <is>
          <t>Кислород технический: газообразный</t>
        </is>
      </c>
      <c r="E87" s="146" t="inlineStr">
        <is>
          <t>м3</t>
        </is>
      </c>
      <c r="F87" s="146" t="n">
        <v>2.2</v>
      </c>
      <c r="G87" s="14" t="n">
        <v>6.22</v>
      </c>
      <c r="H87" s="14">
        <f>ROUND(F87*G87,2)</f>
        <v/>
      </c>
    </row>
    <row r="88" ht="25.5" customHeight="1" s="108">
      <c r="A88" s="127">
        <f>A87+1</f>
        <v/>
      </c>
      <c r="B88" s="21" t="n"/>
      <c r="C88" s="53" t="inlineStr">
        <is>
          <t>101-1306</t>
        </is>
      </c>
      <c r="D88" s="145" t="inlineStr">
        <is>
          <t>Портландцемент общестроительного назначения бездобавочный, марки 500</t>
        </is>
      </c>
      <c r="E88" s="146" t="inlineStr">
        <is>
          <t>т</t>
        </is>
      </c>
      <c r="F88" s="146" t="n">
        <v>0.0283</v>
      </c>
      <c r="G88" s="14" t="n">
        <v>480</v>
      </c>
      <c r="H88" s="14">
        <f>ROUND(F88*G88,2)</f>
        <v/>
      </c>
    </row>
    <row r="89">
      <c r="A89" s="53">
        <f>A88+1</f>
        <v/>
      </c>
      <c r="B89" s="21" t="n"/>
      <c r="C89" s="53" t="inlineStr">
        <is>
          <t>509-0783</t>
        </is>
      </c>
      <c r="D89" s="145" t="inlineStr">
        <is>
          <t>Втулки изолирующие</t>
        </is>
      </c>
      <c r="E89" s="146" t="inlineStr">
        <is>
          <t>шт.</t>
        </is>
      </c>
      <c r="F89" s="146" t="n">
        <v>42</v>
      </c>
      <c r="G89" s="14" t="n">
        <v>0.27</v>
      </c>
      <c r="H89" s="14">
        <f>ROUND(F89*G89,2)</f>
        <v/>
      </c>
    </row>
    <row r="90" ht="25.5" customHeight="1" s="108">
      <c r="A90" s="53">
        <f>A89+1</f>
        <v/>
      </c>
      <c r="B90" s="21" t="n"/>
      <c r="C90" s="53" t="inlineStr">
        <is>
          <t>506-1362</t>
        </is>
      </c>
      <c r="D90" s="145" t="inlineStr">
        <is>
          <t>Припои оловянно-свинцовые бессурьмянистые марки ПОС30</t>
        </is>
      </c>
      <c r="E90" s="146" t="inlineStr">
        <is>
          <t>кг</t>
        </is>
      </c>
      <c r="F90" s="146" t="n">
        <v>0.1404</v>
      </c>
      <c r="G90" s="14" t="n">
        <v>68.05</v>
      </c>
      <c r="H90" s="14">
        <f>ROUND(F90*G90,2)</f>
        <v/>
      </c>
    </row>
    <row r="91">
      <c r="A91" s="53">
        <f>A90+1</f>
        <v/>
      </c>
      <c r="B91" s="21" t="n"/>
      <c r="C91" s="53" t="inlineStr">
        <is>
          <t>01.7.07.12-0021</t>
        </is>
      </c>
      <c r="D91" s="145" t="inlineStr">
        <is>
          <t>Пленка полиэтиленовая толщиной: 0,2-0,5 мм</t>
        </is>
      </c>
      <c r="E91" s="146" t="inlineStr">
        <is>
          <t>т</t>
        </is>
      </c>
      <c r="F91" s="146" t="n">
        <v>0.0002</v>
      </c>
      <c r="G91" s="14" t="n">
        <v>23500</v>
      </c>
      <c r="H91" s="14">
        <f>ROUND(F91*G91,2)</f>
        <v/>
      </c>
    </row>
    <row r="92">
      <c r="A92" s="53">
        <f>A91+1</f>
        <v/>
      </c>
      <c r="B92" s="21" t="n"/>
      <c r="C92" s="53" t="inlineStr">
        <is>
          <t>101-4621</t>
        </is>
      </c>
      <c r="D92" s="145" t="inlineStr">
        <is>
          <t>Шуруп самонарезающий (LN) 3,5/11 мм</t>
        </is>
      </c>
      <c r="E92" s="146" t="inlineStr">
        <is>
          <t>шт.</t>
        </is>
      </c>
      <c r="F92" s="146" t="n">
        <v>176.8</v>
      </c>
      <c r="G92" s="14" t="n">
        <v>0.02</v>
      </c>
      <c r="H92" s="14">
        <f>ROUND(F92*G92,2)</f>
        <v/>
      </c>
    </row>
    <row r="93">
      <c r="A93" s="53">
        <f>A92+1</f>
        <v/>
      </c>
      <c r="B93" s="21" t="n"/>
      <c r="C93" s="53" t="inlineStr">
        <is>
          <t>113-1786</t>
        </is>
      </c>
      <c r="D93" s="145" t="inlineStr">
        <is>
          <t>Лак битумный БТ-123</t>
        </is>
      </c>
      <c r="E93" s="146" t="inlineStr">
        <is>
          <t>т</t>
        </is>
      </c>
      <c r="F93" s="146" t="n">
        <v>0.0004</v>
      </c>
      <c r="G93" s="14" t="n">
        <v>7826.9</v>
      </c>
      <c r="H93" s="14">
        <f>ROUND(F93*G93,2)</f>
        <v/>
      </c>
    </row>
    <row r="94">
      <c r="A94" s="53">
        <f>A93+1</f>
        <v/>
      </c>
      <c r="B94" s="21" t="n"/>
      <c r="C94" s="53" t="inlineStr">
        <is>
          <t>101-2478</t>
        </is>
      </c>
      <c r="D94" s="145" t="inlineStr">
        <is>
          <t>Лента К226</t>
        </is>
      </c>
      <c r="E94" s="146" t="inlineStr">
        <is>
          <t>100 м</t>
        </is>
      </c>
      <c r="F94" s="146" t="n">
        <v>0.0132</v>
      </c>
      <c r="G94" s="14" t="n">
        <v>120</v>
      </c>
      <c r="H94" s="14">
        <f>ROUND(F94*G94,2)</f>
        <v/>
      </c>
    </row>
    <row r="95">
      <c r="A95" s="53">
        <f>A94+1</f>
        <v/>
      </c>
      <c r="B95" s="21" t="n"/>
      <c r="C95" s="53" t="inlineStr">
        <is>
          <t>101-2357</t>
        </is>
      </c>
      <c r="D95" s="145" t="inlineStr">
        <is>
          <t>Бумага шлифовальная</t>
        </is>
      </c>
      <c r="E95" s="146" t="inlineStr">
        <is>
          <t>лист</t>
        </is>
      </c>
      <c r="F95" s="146" t="n">
        <v>0.4</v>
      </c>
      <c r="G95" s="14" t="n">
        <v>3.75</v>
      </c>
      <c r="H95" s="14">
        <f>ROUND(F95*G95,2)</f>
        <v/>
      </c>
    </row>
    <row r="96" ht="25.5" customHeight="1" s="108">
      <c r="A96" s="53">
        <f>A95+1</f>
        <v/>
      </c>
      <c r="B96" s="21" t="n"/>
      <c r="C96" s="53" t="inlineStr">
        <is>
          <t>408-0141</t>
        </is>
      </c>
      <c r="D96" s="145" t="inlineStr">
        <is>
          <t>Песок природный для строительных растворов средний</t>
        </is>
      </c>
      <c r="E96" s="146" t="inlineStr">
        <is>
          <t>м3</t>
        </is>
      </c>
      <c r="F96" s="146" t="n">
        <v>0.0236</v>
      </c>
      <c r="G96" s="14" t="n">
        <v>59.99</v>
      </c>
      <c r="H96" s="14">
        <f>ROUND(F96*G96,2)</f>
        <v/>
      </c>
    </row>
    <row r="97">
      <c r="A97" s="53">
        <f>A96+1</f>
        <v/>
      </c>
      <c r="B97" s="21" t="n"/>
      <c r="C97" s="53" t="inlineStr">
        <is>
          <t>01.7.02.09-0002</t>
        </is>
      </c>
      <c r="D97" s="145" t="inlineStr">
        <is>
          <t>Шпагат бумажный</t>
        </is>
      </c>
      <c r="E97" s="146" t="inlineStr">
        <is>
          <t>кг</t>
        </is>
      </c>
      <c r="F97" s="146" t="n">
        <v>0.11</v>
      </c>
      <c r="G97" s="14" t="n">
        <v>11.5</v>
      </c>
      <c r="H97" s="14">
        <f>ROUND(F97*G97,2)</f>
        <v/>
      </c>
    </row>
    <row r="98">
      <c r="A98" s="53">
        <f>A97+1</f>
        <v/>
      </c>
      <c r="B98" s="21" t="n"/>
      <c r="C98" s="53" t="inlineStr">
        <is>
          <t>101-1481</t>
        </is>
      </c>
      <c r="D98" s="145" t="inlineStr">
        <is>
          <t>Шурупы с полукруглой головкой 4x40 мм</t>
        </is>
      </c>
      <c r="E98" s="146" t="inlineStr">
        <is>
          <t>т</t>
        </is>
      </c>
      <c r="F98" s="146" t="n">
        <v>0.0001</v>
      </c>
      <c r="G98" s="14" t="n">
        <v>12430</v>
      </c>
      <c r="H98" s="14">
        <f>ROUND(F98*G98,2)</f>
        <v/>
      </c>
    </row>
    <row r="99">
      <c r="K99" s="83" t="n"/>
    </row>
    <row r="101">
      <c r="B101" s="109" t="inlineStr">
        <is>
          <t>Составил ______________________        Е.А. Князева</t>
        </is>
      </c>
      <c r="C101" s="119" t="n"/>
    </row>
    <row r="102">
      <c r="B102" s="120" t="inlineStr">
        <is>
          <t xml:space="preserve">                         (подпись, инициалы, фамилия)</t>
        </is>
      </c>
      <c r="C102" s="119" t="n"/>
    </row>
    <row r="103">
      <c r="B103" s="109" t="n"/>
      <c r="C103" s="119" t="n"/>
    </row>
    <row r="104">
      <c r="B104" s="109" t="inlineStr">
        <is>
          <t>Проверил ______________________        А.В. Костянецкая</t>
        </is>
      </c>
      <c r="C104" s="119" t="n"/>
    </row>
    <row r="105">
      <c r="B105" s="120" t="inlineStr">
        <is>
          <t xml:space="preserve">                        (подпись, инициалы, фамилия)</t>
        </is>
      </c>
      <c r="C105" s="119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38:E38"/>
    <mergeCell ref="C5:H5"/>
    <mergeCell ref="A2:H2"/>
    <mergeCell ref="A16:E16"/>
    <mergeCell ref="A32:E32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08" min="1" max="1"/>
    <col width="36.28515625" customWidth="1" style="108" min="2" max="2"/>
    <col width="18.85546875" customWidth="1" style="108" min="3" max="3"/>
    <col width="18.28515625" customWidth="1" style="108" min="4" max="4"/>
    <col width="18.85546875" customWidth="1" style="108" min="5" max="5"/>
    <col width="9.140625" customWidth="1" style="108" min="6" max="6"/>
    <col width="12.85546875" customWidth="1" style="108" min="7" max="7"/>
    <col width="9.140625" customWidth="1" style="108" min="8" max="11"/>
    <col width="13.5703125" customWidth="1" style="108" min="12" max="12"/>
    <col width="9.140625" customWidth="1" style="108" min="13" max="13"/>
  </cols>
  <sheetData>
    <row r="1">
      <c r="B1" s="109" t="n"/>
      <c r="C1" s="109" t="n"/>
      <c r="D1" s="109" t="n"/>
      <c r="E1" s="109" t="n"/>
    </row>
    <row r="2">
      <c r="B2" s="109" t="n"/>
      <c r="C2" s="109" t="n"/>
      <c r="D2" s="109" t="n"/>
      <c r="E2" s="165" t="inlineStr">
        <is>
          <t>Приложение № 4</t>
        </is>
      </c>
    </row>
    <row r="3">
      <c r="B3" s="109" t="n"/>
      <c r="C3" s="109" t="n"/>
      <c r="D3" s="109" t="n"/>
      <c r="E3" s="109" t="n"/>
    </row>
    <row r="4">
      <c r="B4" s="109" t="n"/>
      <c r="C4" s="109" t="n"/>
      <c r="D4" s="109" t="n"/>
      <c r="E4" s="109" t="n"/>
    </row>
    <row r="5">
      <c r="B5" s="142" t="inlineStr">
        <is>
          <t>Ресурсная модель</t>
        </is>
      </c>
    </row>
    <row r="6">
      <c r="B6" s="16" t="n"/>
      <c r="C6" s="109" t="n"/>
      <c r="D6" s="109" t="n"/>
      <c r="E6" s="109" t="n"/>
    </row>
    <row r="7" ht="34.5" customHeight="1" s="108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109" t="n"/>
      <c r="D9" s="109" t="n"/>
      <c r="E9" s="109" t="n"/>
    </row>
    <row r="10" ht="51" customHeight="1" s="108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8">
        <f>'Прил.5 Расчет СМР и ОБ'!J14</f>
        <v/>
      </c>
      <c r="D11" s="47">
        <f>C11/$C$24</f>
        <v/>
      </c>
      <c r="E11" s="47">
        <f>C11/$C$40</f>
        <v/>
      </c>
    </row>
    <row r="12">
      <c r="B12" s="7" t="inlineStr">
        <is>
          <t>Эксплуатация машин основных</t>
        </is>
      </c>
      <c r="C12" s="48">
        <f>'Прил.5 Расчет СМР и ОБ'!J23</f>
        <v/>
      </c>
      <c r="D12" s="47">
        <f>C12/$C$24</f>
        <v/>
      </c>
      <c r="E12" s="47">
        <f>C12/$C$40</f>
        <v/>
      </c>
    </row>
    <row r="13">
      <c r="B13" s="7" t="inlineStr">
        <is>
          <t>Эксплуатация машин прочих</t>
        </is>
      </c>
      <c r="C13" s="48">
        <f>'Прил.5 Расчет СМР и ОБ'!J33</f>
        <v/>
      </c>
      <c r="D13" s="47">
        <f>C13/$C$24</f>
        <v/>
      </c>
      <c r="E13" s="47">
        <f>C13/$C$40</f>
        <v/>
      </c>
    </row>
    <row r="14">
      <c r="B14" s="7" t="inlineStr">
        <is>
          <t>ЭКСПЛУАТАЦИЯ МАШИН, ВСЕГО:</t>
        </is>
      </c>
      <c r="C14" s="48">
        <f>C13+C12</f>
        <v/>
      </c>
      <c r="D14" s="47">
        <f>C14/$C$24</f>
        <v/>
      </c>
      <c r="E14" s="47">
        <f>C14/$C$40</f>
        <v/>
      </c>
    </row>
    <row r="15">
      <c r="B15" s="7" t="inlineStr">
        <is>
          <t>в том числе зарплата машинистов</t>
        </is>
      </c>
      <c r="C15" s="48">
        <f>'Прил.5 Расчет СМР и ОБ'!J16</f>
        <v/>
      </c>
      <c r="D15" s="47">
        <f>C15/$C$24</f>
        <v/>
      </c>
      <c r="E15" s="47">
        <f>C15/$C$40</f>
        <v/>
      </c>
    </row>
    <row r="16">
      <c r="B16" s="7" t="inlineStr">
        <is>
          <t>Материалы основные</t>
        </is>
      </c>
      <c r="C16" s="48">
        <f>'Прил.5 Расчет СМР и ОБ'!J56</f>
        <v/>
      </c>
      <c r="D16" s="47">
        <f>C16/$C$24</f>
        <v/>
      </c>
      <c r="E16" s="47">
        <f>C16/$C$40</f>
        <v/>
      </c>
    </row>
    <row r="17">
      <c r="B17" s="7" t="inlineStr">
        <is>
          <t>Материалы прочие</t>
        </is>
      </c>
      <c r="C17" s="48">
        <f>'Прил.5 Расчет СМР и ОБ'!J109</f>
        <v/>
      </c>
      <c r="D17" s="47">
        <f>C17/$C$24</f>
        <v/>
      </c>
      <c r="E17" s="47">
        <f>C17/$C$40</f>
        <v/>
      </c>
      <c r="G17" s="17" t="n"/>
    </row>
    <row r="18">
      <c r="B18" s="7" t="inlineStr">
        <is>
          <t>МАТЕРИАЛЫ, ВСЕГО:</t>
        </is>
      </c>
      <c r="C18" s="48">
        <f>C17+C16</f>
        <v/>
      </c>
      <c r="D18" s="47">
        <f>C18/$C$24</f>
        <v/>
      </c>
      <c r="E18" s="47">
        <f>C18/$C$40</f>
        <v/>
      </c>
    </row>
    <row r="19">
      <c r="B19" s="7" t="inlineStr">
        <is>
          <t>ИТОГО</t>
        </is>
      </c>
      <c r="C19" s="48">
        <f>C18+C14+C11</f>
        <v/>
      </c>
      <c r="D19" s="47" t="n"/>
      <c r="E19" s="7" t="n"/>
    </row>
    <row r="20">
      <c r="B20" s="7" t="inlineStr">
        <is>
          <t>Сметная прибыль, руб.</t>
        </is>
      </c>
      <c r="C20" s="48">
        <f>ROUND(C21*(C11+C15),2)</f>
        <v/>
      </c>
      <c r="D20" s="47">
        <f>C20/$C$24</f>
        <v/>
      </c>
      <c r="E20" s="47">
        <f>C20/$C$40</f>
        <v/>
      </c>
    </row>
    <row r="21">
      <c r="B21" s="7" t="inlineStr">
        <is>
          <t>Сметная прибыль, %</t>
        </is>
      </c>
      <c r="C21" s="49">
        <f>'Прил.5 Расчет СМР и ОБ'!E113</f>
        <v/>
      </c>
      <c r="D21" s="47" t="n"/>
      <c r="E21" s="7" t="n"/>
    </row>
    <row r="22">
      <c r="B22" s="7" t="inlineStr">
        <is>
          <t>Накладные расходы, руб.</t>
        </is>
      </c>
      <c r="C22" s="48">
        <f>ROUND(C23*(C11+C15),2)</f>
        <v/>
      </c>
      <c r="D22" s="47">
        <f>C22/$C$24</f>
        <v/>
      </c>
      <c r="E22" s="47">
        <f>C22/$C$40</f>
        <v/>
      </c>
    </row>
    <row r="23">
      <c r="B23" s="7" t="inlineStr">
        <is>
          <t>Накладные расходы, %</t>
        </is>
      </c>
      <c r="C23" s="49">
        <f>'Прил.5 Расчет СМР и ОБ'!E112</f>
        <v/>
      </c>
      <c r="D23" s="47" t="n"/>
      <c r="E23" s="7" t="n"/>
    </row>
    <row r="24">
      <c r="B24" s="7" t="inlineStr">
        <is>
          <t>ВСЕГО СМР с НР и СП</t>
        </is>
      </c>
      <c r="C24" s="48">
        <f>C19+C20+C22</f>
        <v/>
      </c>
      <c r="D24" s="47">
        <f>C24/$C$24</f>
        <v/>
      </c>
      <c r="E24" s="47">
        <f>C24/$C$40</f>
        <v/>
      </c>
    </row>
    <row r="25" ht="25.5" customHeight="1" s="108">
      <c r="B25" s="7" t="inlineStr">
        <is>
          <t>ВСЕГО стоимость оборудования, в том числе</t>
        </is>
      </c>
      <c r="C25" s="48">
        <f>'Прил.5 Расчет СМР и ОБ'!J45</f>
        <v/>
      </c>
      <c r="D25" s="47" t="n"/>
      <c r="E25" s="47">
        <f>C25/$C$40</f>
        <v/>
      </c>
    </row>
    <row r="26" ht="25.5" customHeight="1" s="108">
      <c r="B26" s="7" t="inlineStr">
        <is>
          <t>стоимость оборудования технологического</t>
        </is>
      </c>
      <c r="C26" s="48">
        <f>C25</f>
        <v/>
      </c>
      <c r="D26" s="47" t="n"/>
      <c r="E26" s="47">
        <f>C26/$C$40</f>
        <v/>
      </c>
    </row>
    <row r="27">
      <c r="B27" s="7" t="inlineStr">
        <is>
          <t>ИТОГО (СМР + ОБОРУДОВАНИЕ)</t>
        </is>
      </c>
      <c r="C27" s="46">
        <f>C24+C25</f>
        <v/>
      </c>
      <c r="D27" s="47" t="n"/>
      <c r="E27" s="47">
        <f>C27/$C$40</f>
        <v/>
      </c>
    </row>
    <row r="28" ht="33" customHeight="1" s="108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8">
      <c r="B29" s="7" t="inlineStr">
        <is>
          <t>Временные здания и сооружения - 3,9%</t>
        </is>
      </c>
      <c r="C29" s="46">
        <f>ROUND(C24*3.9%,2)</f>
        <v/>
      </c>
      <c r="D29" s="7" t="n"/>
      <c r="E29" s="47">
        <f>C29/$C$40</f>
        <v/>
      </c>
    </row>
    <row r="30" ht="38.25" customHeight="1" s="108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ROUND((C24+C29)*2.1%,2)</f>
        <v/>
      </c>
      <c r="D30" s="7" t="n"/>
      <c r="E30" s="47">
        <f>C30/$C$40</f>
        <v/>
      </c>
    </row>
    <row r="31">
      <c r="B31" s="7" t="inlineStr">
        <is>
          <t>Пусконаладочные работы</t>
        </is>
      </c>
      <c r="C31" s="46" t="n">
        <v>164037.17</v>
      </c>
      <c r="D31" s="7" t="n"/>
      <c r="E31" s="47">
        <f>C31/$C$40</f>
        <v/>
      </c>
    </row>
    <row r="32" ht="25.5" customHeight="1" s="108">
      <c r="B32" s="7" t="inlineStr">
        <is>
          <t>Затраты по перевозке работников к месту работы и обратно</t>
        </is>
      </c>
      <c r="C32" s="46">
        <f>ROUND($C$27*0%,2)</f>
        <v/>
      </c>
      <c r="D32" s="7" t="n"/>
      <c r="E32" s="47">
        <f>C32/$C$40</f>
        <v/>
      </c>
    </row>
    <row r="33" ht="25.5" customHeight="1" s="108">
      <c r="B33" s="7" t="inlineStr">
        <is>
          <t>Затраты, связанные с осуществлением работ вахтовым методом</t>
        </is>
      </c>
      <c r="C33" s="46">
        <f>ROUND($C$27*0%,2)</f>
        <v/>
      </c>
      <c r="D33" s="7" t="n"/>
      <c r="E33" s="47">
        <f>C33/$C$40</f>
        <v/>
      </c>
    </row>
    <row r="34" ht="51" customHeight="1" s="108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6">
        <f>ROUND($C$27*0%,2)</f>
        <v/>
      </c>
      <c r="D34" s="7" t="n"/>
      <c r="E34" s="47">
        <f>C34/$C$40</f>
        <v/>
      </c>
    </row>
    <row r="35" ht="76.5" customHeight="1" s="108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6">
        <f>ROUND($C$27*0%,2)</f>
        <v/>
      </c>
      <c r="D35" s="7" t="n"/>
      <c r="E35" s="47">
        <f>C35/$C$40</f>
        <v/>
      </c>
    </row>
    <row r="36" ht="25.5" customHeight="1" s="108">
      <c r="B36" s="7" t="inlineStr">
        <is>
          <t>Строительный контроль и содержание службы заказчика - 2,14%</t>
        </is>
      </c>
      <c r="C36" s="90">
        <f>ROUND((C27+C32+C33+C34+C35+C29+C31+C30)*2.14%,2)</f>
        <v/>
      </c>
      <c r="D36" s="7" t="n"/>
      <c r="E36" s="47">
        <f>C36/$C$40</f>
        <v/>
      </c>
      <c r="G36" s="57" t="n"/>
      <c r="L36" s="18" t="n"/>
    </row>
    <row r="37">
      <c r="B37" s="7" t="inlineStr">
        <is>
          <t>Авторский надзор - 0,2%</t>
        </is>
      </c>
      <c r="C37" s="90">
        <f>ROUND((C27+C32+C33+C34+C35+C29+C31+C30)*0.2%,2)</f>
        <v/>
      </c>
      <c r="D37" s="7" t="n"/>
      <c r="E37" s="47">
        <f>C37/$C$40</f>
        <v/>
      </c>
      <c r="G37" s="57" t="n"/>
      <c r="L37" s="18" t="n"/>
    </row>
    <row r="38" ht="38.25" customHeight="1" s="108">
      <c r="B38" s="7" t="inlineStr">
        <is>
          <t>ИТОГО (СМР+ОБОРУДОВАНИЕ+ПРОЧ. ЗАТР., УЧТЕННЫЕ ПОКАЗАТЕЛЕМ)</t>
        </is>
      </c>
      <c r="C38" s="91">
        <f>C27+C32+C33+C34+C35+C29+C31+C30+C36+C37</f>
        <v/>
      </c>
      <c r="D38" s="7" t="n"/>
      <c r="E38" s="47">
        <f>C38/$C$40</f>
        <v/>
      </c>
    </row>
    <row r="39" ht="13.5" customHeight="1" s="108">
      <c r="B39" s="7" t="inlineStr">
        <is>
          <t>Непредвиденные расходы</t>
        </is>
      </c>
      <c r="C39" s="48">
        <f>ROUND(C38*3%,2)</f>
        <v/>
      </c>
      <c r="D39" s="7" t="n"/>
      <c r="E39" s="47">
        <f>C39/$C$38</f>
        <v/>
      </c>
    </row>
    <row r="40">
      <c r="B40" s="7" t="inlineStr">
        <is>
          <t>ВСЕГО:</t>
        </is>
      </c>
      <c r="C40" s="48">
        <f>C39+C38</f>
        <v/>
      </c>
      <c r="D40" s="7" t="n"/>
      <c r="E40" s="47">
        <f>C40/$C$40</f>
        <v/>
      </c>
    </row>
    <row r="41">
      <c r="B41" s="7" t="inlineStr">
        <is>
          <t>ИТОГО ПОКАЗАТЕЛЬ НА ЕД. ИЗМ.</t>
        </is>
      </c>
      <c r="C41" s="48">
        <f>C40/'Прил.5 Расчет СМР и ОБ'!E116</f>
        <v/>
      </c>
      <c r="D41" s="7" t="n"/>
      <c r="E41" s="7" t="n"/>
    </row>
    <row r="42">
      <c r="B42" s="116" t="n"/>
      <c r="C42" s="109" t="n"/>
      <c r="D42" s="109" t="n"/>
      <c r="E42" s="109" t="n"/>
    </row>
    <row r="43">
      <c r="B43" s="109" t="inlineStr">
        <is>
          <t>Составил ______________________        Е.А. Князева</t>
        </is>
      </c>
      <c r="C43" s="119" t="n"/>
      <c r="D43" s="109" t="n"/>
      <c r="E43" s="109" t="n"/>
    </row>
    <row r="44">
      <c r="B44" s="120" t="inlineStr">
        <is>
          <t xml:space="preserve">                         (подпись, инициалы, фамилия)</t>
        </is>
      </c>
      <c r="C44" s="119" t="n"/>
      <c r="D44" s="109" t="n"/>
      <c r="E44" s="109" t="n"/>
    </row>
    <row r="45">
      <c r="B45" s="109" t="n"/>
      <c r="C45" s="119" t="n"/>
      <c r="D45" s="109" t="n"/>
      <c r="E45" s="109" t="n"/>
    </row>
    <row r="46">
      <c r="B46" s="109" t="inlineStr">
        <is>
          <t>Проверил ______________________        А.В. Костянецкая</t>
        </is>
      </c>
      <c r="C46" s="119" t="n"/>
      <c r="D46" s="109" t="n"/>
      <c r="E46" s="109" t="n"/>
    </row>
    <row r="47">
      <c r="B47" s="120" t="inlineStr">
        <is>
          <t xml:space="preserve">                        (подпись, инициалы, фамилия)</t>
        </is>
      </c>
      <c r="C47" s="119" t="n"/>
      <c r="D47" s="109" t="n"/>
      <c r="E47" s="109" t="n"/>
    </row>
    <row r="49">
      <c r="B49" s="109" t="n"/>
      <c r="C49" s="109" t="n"/>
      <c r="D49" s="109" t="n"/>
      <c r="E49" s="109" t="n"/>
    </row>
    <row r="50">
      <c r="B50" s="109" t="n"/>
      <c r="C50" s="109" t="n"/>
      <c r="D50" s="109" t="n"/>
      <c r="E50" s="10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23"/>
  <sheetViews>
    <sheetView view="pageBreakPreview" topLeftCell="A110" workbookViewId="0">
      <selection activeCell="B185" sqref="B185"/>
    </sheetView>
  </sheetViews>
  <sheetFormatPr baseColWidth="8" defaultColWidth="9.140625" defaultRowHeight="15" outlineLevelRow="1"/>
  <cols>
    <col width="5.7109375" customWidth="1" style="119" min="1" max="1"/>
    <col width="22.5703125" customWidth="1" style="119" min="2" max="2"/>
    <col width="39.140625" customWidth="1" style="119" min="3" max="3"/>
    <col width="10.7109375" customWidth="1" style="119" min="4" max="4"/>
    <col width="12.7109375" customWidth="1" style="119" min="5" max="5"/>
    <col width="14.5703125" customWidth="1" style="119" min="6" max="6"/>
    <col width="13.42578125" customWidth="1" style="119" min="7" max="7"/>
    <col width="12.7109375" customWidth="1" style="119" min="8" max="8"/>
    <col width="14.5703125" customWidth="1" style="119" min="9" max="9"/>
    <col width="15.140625" customWidth="1" style="119" min="10" max="10"/>
    <col width="17.42578125" customWidth="1" style="119" min="11" max="12"/>
    <col width="10.85546875" customWidth="1" style="119" min="13" max="13"/>
    <col width="9.140625" customWidth="1" style="119" min="14" max="14"/>
  </cols>
  <sheetData>
    <row r="2" ht="15.75" customHeight="1" s="108">
      <c r="I2" s="77" t="n"/>
      <c r="J2" s="60" t="inlineStr">
        <is>
          <t>Приложение №5</t>
        </is>
      </c>
    </row>
    <row r="4" ht="12.75" customFormat="1" customHeight="1" s="109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109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26.25" customFormat="1" customHeight="1" s="109">
      <c r="A6" s="155" t="inlineStr">
        <is>
          <t>Наименование разрабатываемого показателя УНЦ</t>
        </is>
      </c>
      <c r="D6" s="155" t="inlineStr">
        <is>
          <t>Ячейка выключателя НУ 35(20)кВ, ном.ток 2500А, ном.ток отключения 25кА</t>
        </is>
      </c>
    </row>
    <row r="7" ht="12.75" customFormat="1" customHeight="1" s="109">
      <c r="A7" s="155">
        <f>'Прил.1 Сравнит табл'!B9</f>
        <v/>
      </c>
      <c r="I7" s="143" t="n"/>
      <c r="J7" s="143" t="n"/>
    </row>
    <row r="8" ht="12.75" customFormat="1" customHeight="1" s="109"/>
    <row r="9" ht="27" customHeight="1" s="108">
      <c r="A9" s="146" t="inlineStr">
        <is>
          <t>№ пп.</t>
        </is>
      </c>
      <c r="B9" s="146" t="inlineStr">
        <is>
          <t>Код ресурса</t>
        </is>
      </c>
      <c r="C9" s="146" t="inlineStr">
        <is>
          <t>Наименование</t>
        </is>
      </c>
      <c r="D9" s="146" t="inlineStr">
        <is>
          <t>Ед. изм.</t>
        </is>
      </c>
      <c r="E9" s="146" t="inlineStr">
        <is>
          <t>Кол-во единиц по проектным данным</t>
        </is>
      </c>
      <c r="F9" s="146" t="inlineStr">
        <is>
          <t>Сметная стоимость в ценах на 01.01.2000 (руб.)</t>
        </is>
      </c>
      <c r="G9" s="173" t="n"/>
      <c r="H9" s="146" t="inlineStr">
        <is>
          <t>Удельный вес, %</t>
        </is>
      </c>
      <c r="I9" s="146" t="inlineStr">
        <is>
          <t>Сметная стоимость в ценах на 01.01.2023 (руб.)</t>
        </is>
      </c>
      <c r="J9" s="173" t="n"/>
    </row>
    <row r="10" ht="28.5" customHeight="1" s="108">
      <c r="A10" s="175" t="n"/>
      <c r="B10" s="175" t="n"/>
      <c r="C10" s="175" t="n"/>
      <c r="D10" s="175" t="n"/>
      <c r="E10" s="175" t="n"/>
      <c r="F10" s="146" t="inlineStr">
        <is>
          <t>на ед. изм.</t>
        </is>
      </c>
      <c r="G10" s="146" t="inlineStr">
        <is>
          <t>общая</t>
        </is>
      </c>
      <c r="H10" s="175" t="n"/>
      <c r="I10" s="146" t="inlineStr">
        <is>
          <t>на ед. изм.</t>
        </is>
      </c>
      <c r="J10" s="146" t="inlineStr">
        <is>
          <t>общая</t>
        </is>
      </c>
    </row>
    <row r="11">
      <c r="A11" s="146" t="n">
        <v>1</v>
      </c>
      <c r="B11" s="146" t="n">
        <v>2</v>
      </c>
      <c r="C11" s="146" t="n">
        <v>3</v>
      </c>
      <c r="D11" s="146" t="n">
        <v>4</v>
      </c>
      <c r="E11" s="146" t="n">
        <v>5</v>
      </c>
      <c r="F11" s="146" t="n">
        <v>6</v>
      </c>
      <c r="G11" s="146" t="n">
        <v>7</v>
      </c>
      <c r="H11" s="146" t="n">
        <v>8</v>
      </c>
      <c r="I11" s="146" t="n">
        <v>9</v>
      </c>
      <c r="J11" s="146" t="n">
        <v>10</v>
      </c>
    </row>
    <row r="12">
      <c r="A12" s="146" t="n"/>
      <c r="B12" s="137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95" t="n"/>
      <c r="J12" s="95" t="n"/>
    </row>
    <row r="13" ht="25.5" customHeight="1" s="108">
      <c r="A13" s="146" t="n">
        <v>1</v>
      </c>
      <c r="B13" s="53" t="inlineStr">
        <is>
          <t>1-4-0</t>
        </is>
      </c>
      <c r="C13" s="88" t="inlineStr">
        <is>
          <t>Затраты труда рабочих (средний разряд работы 4,0)</t>
        </is>
      </c>
      <c r="D13" s="146" t="inlineStr">
        <is>
          <t>чел.-ч.</t>
        </is>
      </c>
      <c r="E13" s="96">
        <f>G13/F13</f>
        <v/>
      </c>
      <c r="F13" s="14" t="n">
        <v>9.619999999999999</v>
      </c>
      <c r="G13" s="14">
        <f>Прил.3!H12</f>
        <v/>
      </c>
      <c r="H13" s="150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19">
      <c r="A14" s="146" t="n"/>
      <c r="B14" s="146" t="n"/>
      <c r="C14" s="137" t="inlineStr">
        <is>
          <t>Итого по разделу "Затраты труда рабочих-строителей"</t>
        </is>
      </c>
      <c r="D14" s="146" t="inlineStr">
        <is>
          <t>чел.-ч.</t>
        </is>
      </c>
      <c r="E14" s="96">
        <f>SUM(E13:E13)</f>
        <v/>
      </c>
      <c r="F14" s="14" t="n"/>
      <c r="G14" s="14">
        <f>SUM(G13:G13)</f>
        <v/>
      </c>
      <c r="H14" s="150" t="n">
        <v>1</v>
      </c>
      <c r="I14" s="14" t="n"/>
      <c r="J14" s="14">
        <f>SUM(J13:J13)</f>
        <v/>
      </c>
      <c r="K14" s="52" t="n"/>
      <c r="L14" s="87" t="n"/>
    </row>
    <row r="15" ht="14.25" customFormat="1" customHeight="1" s="119">
      <c r="A15" s="146" t="n"/>
      <c r="B15" s="145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95" t="n"/>
      <c r="J15" s="95" t="n"/>
    </row>
    <row r="16" ht="14.25" customFormat="1" customHeight="1" s="119">
      <c r="A16" s="146" t="n">
        <v>2</v>
      </c>
      <c r="B16" s="146" t="n">
        <v>2</v>
      </c>
      <c r="C16" s="145" t="inlineStr">
        <is>
          <t>Затраты труда машинистов</t>
        </is>
      </c>
      <c r="D16" s="146" t="inlineStr">
        <is>
          <t>чел.-ч.</t>
        </is>
      </c>
      <c r="E16" s="96" t="n">
        <v>857.52</v>
      </c>
      <c r="F16" s="14">
        <f>G16/E16</f>
        <v/>
      </c>
      <c r="G16" s="14" t="n">
        <v>10278.71</v>
      </c>
      <c r="H16" s="150" t="n">
        <v>1</v>
      </c>
      <c r="I16" s="14">
        <f>ROUND(F16*Прил.10!D10,2)</f>
        <v/>
      </c>
      <c r="J16" s="14">
        <f>ROUND(I16*E16,2)</f>
        <v/>
      </c>
      <c r="L16" s="55" t="n"/>
    </row>
    <row r="17" ht="14.25" customFormat="1" customHeight="1" s="119">
      <c r="A17" s="146" t="n"/>
      <c r="B17" s="137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50" t="n"/>
      <c r="J17" s="150" t="n"/>
    </row>
    <row r="18" ht="14.25" customFormat="1" customHeight="1" s="119">
      <c r="A18" s="146" t="n"/>
      <c r="B18" s="145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95" t="n"/>
      <c r="J18" s="95" t="n"/>
    </row>
    <row r="19" ht="25.5" customFormat="1" customHeight="1" s="119">
      <c r="A19" s="146" t="n">
        <v>3</v>
      </c>
      <c r="B19" s="53" t="inlineStr">
        <is>
          <t>91.05.05-014</t>
        </is>
      </c>
      <c r="C19" s="145" t="inlineStr">
        <is>
          <t>Краны на автомобильном ходу, грузоподъемность 10 т</t>
        </is>
      </c>
      <c r="D19" s="146" t="inlineStr">
        <is>
          <t>маш.час</t>
        </is>
      </c>
      <c r="E19" s="96" t="n">
        <v>387.02</v>
      </c>
      <c r="F19" s="163" t="n">
        <v>111.99</v>
      </c>
      <c r="G19" s="14">
        <f>ROUND(E19*F19,2)</f>
        <v/>
      </c>
      <c r="H19" s="150">
        <f>G19/$G$34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19">
      <c r="A20" s="146" t="n">
        <v>4</v>
      </c>
      <c r="B20" s="53" t="inlineStr">
        <is>
          <t>91.10.01-002</t>
        </is>
      </c>
      <c r="C20" s="145" t="inlineStr">
        <is>
          <t>Агрегаты наполнительно-опрессовочные до 300 м3/ч</t>
        </is>
      </c>
      <c r="D20" s="146" t="inlineStr">
        <is>
          <t>маш.час</t>
        </is>
      </c>
      <c r="E20" s="96" t="n">
        <v>47.18</v>
      </c>
      <c r="F20" s="163" t="n">
        <v>287.99</v>
      </c>
      <c r="G20" s="14">
        <f>ROUND(E20*F20,2)</f>
        <v/>
      </c>
      <c r="H20" s="150">
        <f>G20/$G$34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19">
      <c r="A21" s="146" t="n">
        <v>5</v>
      </c>
      <c r="B21" s="53" t="inlineStr">
        <is>
          <t>91.06.06-042</t>
        </is>
      </c>
      <c r="C21" s="145" t="inlineStr">
        <is>
          <t>Подъемники гидравлические, высота подъема 10 м</t>
        </is>
      </c>
      <c r="D21" s="146" t="inlineStr">
        <is>
          <t>маш.час</t>
        </is>
      </c>
      <c r="E21" s="96" t="n">
        <v>295.17</v>
      </c>
      <c r="F21" s="163" t="n">
        <v>29.6</v>
      </c>
      <c r="G21" s="14">
        <f>ROUND(E21*F21,2)</f>
        <v/>
      </c>
      <c r="H21" s="150">
        <f>G21/$G$34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19">
      <c r="A22" s="146" t="n">
        <v>6</v>
      </c>
      <c r="B22" s="53" t="inlineStr">
        <is>
          <t>91.06.03-058</t>
        </is>
      </c>
      <c r="C22" s="145" t="inlineStr">
        <is>
          <t>Лебедки электрические тяговым усилием 156,96 кН (16 т)</t>
        </is>
      </c>
      <c r="D22" s="146" t="inlineStr">
        <is>
          <t>маш.час</t>
        </is>
      </c>
      <c r="E22" s="96" t="n">
        <v>47.18</v>
      </c>
      <c r="F22" s="163" t="n">
        <v>131.44</v>
      </c>
      <c r="G22" s="14">
        <f>ROUND(E22*F22,2)</f>
        <v/>
      </c>
      <c r="H22" s="150">
        <f>G22/$G$34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19">
      <c r="A23" s="146" t="n"/>
      <c r="B23" s="146" t="n"/>
      <c r="C23" s="145" t="inlineStr">
        <is>
          <t>Итого основные машины и механизмы</t>
        </is>
      </c>
      <c r="D23" s="146" t="n"/>
      <c r="E23" s="97" t="n"/>
      <c r="F23" s="14" t="n"/>
      <c r="G23" s="14">
        <f>SUM(G19:G22)</f>
        <v/>
      </c>
      <c r="H23" s="150">
        <f>G23/G34</f>
        <v/>
      </c>
      <c r="I23" s="14" t="n"/>
      <c r="J23" s="14">
        <f>SUM(J19:J22)</f>
        <v/>
      </c>
      <c r="L23" s="52" t="n"/>
    </row>
    <row r="24" outlineLevel="1" ht="38.25" customFormat="1" customHeight="1" s="119">
      <c r="A24" s="146" t="n">
        <v>7</v>
      </c>
      <c r="B24" s="53" t="n">
        <v>21102</v>
      </c>
      <c r="C24" s="145" t="inlineStr">
        <is>
          <t>Краны на автомобильном ходу при работе на монтаже технологического оборудования 10 т</t>
        </is>
      </c>
      <c r="D24" s="146" t="inlineStr">
        <is>
          <t>маш.час</t>
        </is>
      </c>
      <c r="E24" s="96" t="n">
        <v>26.68</v>
      </c>
      <c r="F24" s="163" t="n">
        <v>134.65</v>
      </c>
      <c r="G24" s="14">
        <f>ROUND(E24*F24,2)</f>
        <v/>
      </c>
      <c r="H24" s="150">
        <f>G24/$G$34</f>
        <v/>
      </c>
      <c r="I24" s="14">
        <f>ROUND(F24*Прил.10!$D$11,2)</f>
        <v/>
      </c>
      <c r="J24" s="14">
        <f>ROUND(I24*E24,2)</f>
        <v/>
      </c>
      <c r="L24" s="52" t="n"/>
    </row>
    <row r="25" outlineLevel="1" ht="25.5" customFormat="1" customHeight="1" s="119">
      <c r="A25" s="146" t="n">
        <v>8</v>
      </c>
      <c r="B25" s="53" t="inlineStr">
        <is>
          <t>91.14.02-001</t>
        </is>
      </c>
      <c r="C25" s="145" t="inlineStr">
        <is>
          <t>Автомобили бортовые, грузоподъемность: до 5 т</t>
        </is>
      </c>
      <c r="D25" s="146" t="inlineStr">
        <is>
          <t>маш.час</t>
        </is>
      </c>
      <c r="E25" s="96" t="n">
        <v>54.29</v>
      </c>
      <c r="F25" s="163" t="n">
        <v>65.70999999999999</v>
      </c>
      <c r="G25" s="14">
        <f>ROUND(E25*F25,2)</f>
        <v/>
      </c>
      <c r="H25" s="150">
        <f>G25/$G$34</f>
        <v/>
      </c>
      <c r="I25" s="14">
        <f>ROUND(F25*Прил.10!$D$11,2)</f>
        <v/>
      </c>
      <c r="J25" s="14">
        <f>ROUND(I25*E25,2)</f>
        <v/>
      </c>
      <c r="L25" s="52" t="n"/>
    </row>
    <row r="26" outlineLevel="1" ht="25.5" customFormat="1" customHeight="1" s="119">
      <c r="A26" s="146" t="n">
        <v>9</v>
      </c>
      <c r="B26" s="53" t="n">
        <v>400001</v>
      </c>
      <c r="C26" s="145" t="inlineStr">
        <is>
          <t>Автомобили бортовые, грузоподъемность до 5 т</t>
        </is>
      </c>
      <c r="D26" s="146" t="inlineStr">
        <is>
          <t>маш.час</t>
        </is>
      </c>
      <c r="E26" s="96" t="n">
        <v>16.68</v>
      </c>
      <c r="F26" s="163" t="n">
        <v>87.17</v>
      </c>
      <c r="G26" s="14">
        <f>ROUND(E26*F26,2)</f>
        <v/>
      </c>
      <c r="H26" s="150">
        <f>G26/$G$34</f>
        <v/>
      </c>
      <c r="I26" s="14">
        <f>ROUND(F26*Прил.10!$D$11,2)</f>
        <v/>
      </c>
      <c r="J26" s="14">
        <f>ROUND(I26*E26,2)</f>
        <v/>
      </c>
      <c r="L26" s="52" t="n"/>
    </row>
    <row r="27" outlineLevel="1" ht="25.5" customFormat="1" customHeight="1" s="119">
      <c r="A27" s="146" t="n">
        <v>10</v>
      </c>
      <c r="B27" s="53" t="n">
        <v>40502</v>
      </c>
      <c r="C27" s="145" t="inlineStr">
        <is>
          <t>Установки для сварки ручной дуговой (постоянного тока)</t>
        </is>
      </c>
      <c r="D27" s="146" t="inlineStr">
        <is>
          <t>маш.час</t>
        </is>
      </c>
      <c r="E27" s="96" t="n">
        <v>140.38</v>
      </c>
      <c r="F27" s="163" t="n">
        <v>8.1</v>
      </c>
      <c r="G27" s="14">
        <f>ROUND(E27*F27,2)</f>
        <v/>
      </c>
      <c r="H27" s="150">
        <f>G27/$G$34</f>
        <v/>
      </c>
      <c r="I27" s="14">
        <f>ROUND(F27*Прил.10!$D$11,2)</f>
        <v/>
      </c>
      <c r="J27" s="14">
        <f>ROUND(I27*E27,2)</f>
        <v/>
      </c>
      <c r="L27" s="52" t="n"/>
    </row>
    <row r="28" outlineLevel="1" ht="25.5" customFormat="1" customHeight="1" s="119">
      <c r="A28" s="146" t="n">
        <v>11</v>
      </c>
      <c r="B28" s="53" t="inlineStr">
        <is>
          <t>91.17.04-233</t>
        </is>
      </c>
      <c r="C28" s="145" t="inlineStr">
        <is>
          <t>Установки для сварки: ручной дуговой (постоянного тока)</t>
        </is>
      </c>
      <c r="D28" s="146" t="inlineStr">
        <is>
          <t>маш.час</t>
        </is>
      </c>
      <c r="E28" s="96" t="n">
        <v>80.56</v>
      </c>
      <c r="F28" s="163" t="n">
        <v>8.1</v>
      </c>
      <c r="G28" s="14">
        <f>ROUND(E28*F28,2)</f>
        <v/>
      </c>
      <c r="H28" s="150">
        <f>G28/$G$34</f>
        <v/>
      </c>
      <c r="I28" s="14">
        <f>ROUND(F28*Прил.10!$D$11,2)</f>
        <v/>
      </c>
      <c r="J28" s="14">
        <f>ROUND(I28*E28,2)</f>
        <v/>
      </c>
      <c r="L28" s="52" t="n"/>
    </row>
    <row r="29" outlineLevel="1" ht="25.5" customFormat="1" customHeight="1" s="119">
      <c r="A29" s="146" t="n">
        <v>12</v>
      </c>
      <c r="B29" s="53" t="n">
        <v>30203</v>
      </c>
      <c r="C29" s="145" t="inlineStr">
        <is>
          <t>Домкраты гидравлические грузоподъемностью 63-100 т</t>
        </is>
      </c>
      <c r="D29" s="146" t="inlineStr">
        <is>
          <t>маш.час</t>
        </is>
      </c>
      <c r="E29" s="96" t="n">
        <v>120.26</v>
      </c>
      <c r="F29" s="163" t="n">
        <v>0.9</v>
      </c>
      <c r="G29" s="14">
        <f>ROUND(E29*F29,2)</f>
        <v/>
      </c>
      <c r="H29" s="150">
        <f>G29/$G$34</f>
        <v/>
      </c>
      <c r="I29" s="14">
        <f>ROUND(F29*Прил.10!$D$11,2)</f>
        <v/>
      </c>
      <c r="J29" s="14">
        <f>ROUND(I29*E29,2)</f>
        <v/>
      </c>
      <c r="L29" s="52" t="n"/>
    </row>
    <row r="30" outlineLevel="1" ht="25.5" customFormat="1" customHeight="1" s="119">
      <c r="A30" s="146" t="n">
        <v>13</v>
      </c>
      <c r="B30" s="53" t="inlineStr">
        <is>
          <t>91.06.01-003</t>
        </is>
      </c>
      <c r="C30" s="145" t="inlineStr">
        <is>
          <t>Домкраты гидравлические, грузоподъемность 63-100 т</t>
        </is>
      </c>
      <c r="D30" s="146" t="inlineStr">
        <is>
          <t>маш.час</t>
        </is>
      </c>
      <c r="E30" s="96" t="n">
        <v>94.22</v>
      </c>
      <c r="F30" s="163" t="n">
        <v>0.9</v>
      </c>
      <c r="G30" s="14">
        <f>ROUND(E30*F30,2)</f>
        <v/>
      </c>
      <c r="H30" s="150">
        <f>G30/$G$34</f>
        <v/>
      </c>
      <c r="I30" s="14">
        <f>ROUND(F30*Прил.10!$D$11,2)</f>
        <v/>
      </c>
      <c r="J30" s="14">
        <f>ROUND(I30*E30,2)</f>
        <v/>
      </c>
      <c r="L30" s="52" t="n"/>
    </row>
    <row r="31" outlineLevel="1" ht="14.25" customFormat="1" customHeight="1" s="119">
      <c r="A31" s="146" t="n">
        <v>14</v>
      </c>
      <c r="B31" s="53" t="n">
        <v>331451</v>
      </c>
      <c r="C31" s="145" t="inlineStr">
        <is>
          <t>Перфораторы электрические</t>
        </is>
      </c>
      <c r="D31" s="146" t="inlineStr">
        <is>
          <t>маш.час</t>
        </is>
      </c>
      <c r="E31" s="96" t="n">
        <v>14.91</v>
      </c>
      <c r="F31" s="163" t="n">
        <v>2.08</v>
      </c>
      <c r="G31" s="14">
        <f>ROUND(E31*F31,2)</f>
        <v/>
      </c>
      <c r="H31" s="150">
        <f>G31/$G$34</f>
        <v/>
      </c>
      <c r="I31" s="14">
        <f>ROUND(F31*Прил.10!$D$11,2)</f>
        <v/>
      </c>
      <c r="J31" s="14">
        <f>ROUND(I31*E31,2)</f>
        <v/>
      </c>
      <c r="L31" s="52" t="n"/>
    </row>
    <row r="32" outlineLevel="1" ht="25.5" customFormat="1" customHeight="1" s="119">
      <c r="A32" s="146" t="n">
        <v>15</v>
      </c>
      <c r="B32" s="53" t="n">
        <v>30402</v>
      </c>
      <c r="C32" s="145" t="inlineStr">
        <is>
          <t>Лебедки электрические тяговым усилием до 12,26 кН (1,25 т)</t>
        </is>
      </c>
      <c r="D32" s="146" t="inlineStr">
        <is>
          <t>маш.час</t>
        </is>
      </c>
      <c r="E32" s="96" t="n">
        <v>1.19</v>
      </c>
      <c r="F32" s="163" t="n">
        <v>3.28</v>
      </c>
      <c r="G32" s="14">
        <f>ROUND(E32*F32,2)</f>
        <v/>
      </c>
      <c r="H32" s="150">
        <f>G32/$G$34</f>
        <v/>
      </c>
      <c r="I32" s="14">
        <f>ROUND(F32*Прил.10!$D$11,2)</f>
        <v/>
      </c>
      <c r="J32" s="14">
        <f>ROUND(I32*E32,2)</f>
        <v/>
      </c>
      <c r="L32" s="52" t="n"/>
    </row>
    <row r="33" ht="14.25" customFormat="1" customHeight="1" s="119">
      <c r="A33" s="146" t="n"/>
      <c r="B33" s="146" t="n"/>
      <c r="C33" s="145" t="inlineStr">
        <is>
          <t>Итого прочие машины и механизмы</t>
        </is>
      </c>
      <c r="D33" s="146" t="n"/>
      <c r="E33" s="147" t="n"/>
      <c r="F33" s="14" t="n"/>
      <c r="G33" s="14">
        <f>SUM(G24:G32)</f>
        <v/>
      </c>
      <c r="H33" s="150">
        <f>G33/G34</f>
        <v/>
      </c>
      <c r="I33" s="14" t="n"/>
      <c r="J33" s="14">
        <f>SUM(J24:J32)</f>
        <v/>
      </c>
      <c r="K33" s="52" t="n"/>
      <c r="L33" s="52" t="n"/>
    </row>
    <row r="34" ht="25.5" customFormat="1" customHeight="1" s="119">
      <c r="A34" s="146" t="n"/>
      <c r="B34" s="156" t="n"/>
      <c r="C34" s="98" t="inlineStr">
        <is>
          <t>Итого по разделу «Машины и механизмы»</t>
        </is>
      </c>
      <c r="D34" s="156" t="n"/>
      <c r="E34" s="99" t="n"/>
      <c r="F34" s="100" t="n"/>
      <c r="G34" s="100">
        <f>G23+G33</f>
        <v/>
      </c>
      <c r="H34" s="101" t="n">
        <v>1</v>
      </c>
      <c r="I34" s="100" t="n"/>
      <c r="J34" s="100">
        <f>J23+J33</f>
        <v/>
      </c>
    </row>
    <row r="35">
      <c r="A35" s="158" t="n"/>
      <c r="B35" s="137" t="inlineStr">
        <is>
          <t xml:space="preserve">Оборудование </t>
        </is>
      </c>
      <c r="C35" s="172" t="n"/>
      <c r="D35" s="172" t="n"/>
      <c r="E35" s="172" t="n"/>
      <c r="F35" s="172" t="n"/>
      <c r="G35" s="172" t="n"/>
      <c r="H35" s="172" t="n"/>
      <c r="I35" s="172" t="n"/>
      <c r="J35" s="173" t="n"/>
    </row>
    <row r="36" ht="15" customHeight="1" s="108">
      <c r="A36" s="146" t="n"/>
      <c r="B36" s="151" t="inlineStr">
        <is>
          <t>Основное оборудование</t>
        </is>
      </c>
    </row>
    <row r="37" ht="25.5" customHeight="1" s="108">
      <c r="A37" s="146" t="n">
        <v>16</v>
      </c>
      <c r="B37" s="53" t="inlineStr">
        <is>
          <t>БЦ.1.35</t>
        </is>
      </c>
      <c r="C37" s="145" t="inlineStr">
        <is>
          <t>Выключатель НУ 35(20)кВ, 2500А, 25кА</t>
        </is>
      </c>
      <c r="D37" s="146" t="inlineStr">
        <is>
          <t>шт.</t>
        </is>
      </c>
      <c r="E37" s="96" t="n">
        <v>1</v>
      </c>
      <c r="F37" s="148">
        <f>ROUND(I37/Прил.10!$D$13,2)</f>
        <v/>
      </c>
      <c r="G37" s="14">
        <f>ROUND(E37*F37,2)</f>
        <v/>
      </c>
      <c r="H37" s="150">
        <f>G37/$G$44</f>
        <v/>
      </c>
      <c r="I37" s="14" t="n">
        <v>1245283.02</v>
      </c>
      <c r="J37" s="14">
        <f>ROUND(I37*E37,2)</f>
        <v/>
      </c>
    </row>
    <row r="38" ht="25.5" customHeight="1" s="108">
      <c r="A38" s="146" t="n">
        <v>17</v>
      </c>
      <c r="B38" s="53" t="inlineStr">
        <is>
          <t>БЦ.61.536</t>
        </is>
      </c>
      <c r="C38" s="145" t="inlineStr">
        <is>
          <t>Разъединитель трёхполюсный с двумя заземляющими ножами 2000А, 31,5кА</t>
        </is>
      </c>
      <c r="D38" s="146" t="inlineStr">
        <is>
          <t>шт.</t>
        </is>
      </c>
      <c r="E38" s="96" t="n">
        <v>2</v>
      </c>
      <c r="F38" s="148">
        <f>ROUND(I38/Прил.10!$D$13,2)</f>
        <v/>
      </c>
      <c r="G38" s="14">
        <f>ROUND(E38*F38,2)</f>
        <v/>
      </c>
      <c r="H38" s="150">
        <f>G38/$G$44</f>
        <v/>
      </c>
      <c r="I38" s="14" t="n">
        <v>1102616</v>
      </c>
      <c r="J38" s="14">
        <f>ROUND(I38*E38,2)</f>
        <v/>
      </c>
    </row>
    <row r="39">
      <c r="A39" s="146" t="n">
        <v>18</v>
      </c>
      <c r="B39" s="53" t="inlineStr">
        <is>
          <t>БЦ.16.114</t>
        </is>
      </c>
      <c r="C39" s="145" t="inlineStr">
        <is>
          <t>Трансформатор напряжения 35кВ, 960 ВА</t>
        </is>
      </c>
      <c r="D39" s="146" t="inlineStr">
        <is>
          <t>шт.</t>
        </is>
      </c>
      <c r="E39" s="96" t="n">
        <v>3</v>
      </c>
      <c r="F39" s="148">
        <f>ROUND(I39/Прил.10!$D$13,2)</f>
        <v/>
      </c>
      <c r="G39" s="14">
        <f>ROUND(E39*F39,2)</f>
        <v/>
      </c>
      <c r="H39" s="150">
        <f>G39/$G$44</f>
        <v/>
      </c>
      <c r="I39" s="14" t="n">
        <v>342000</v>
      </c>
      <c r="J39" s="14">
        <f>ROUND(I39*E39,2)</f>
        <v/>
      </c>
    </row>
    <row r="40">
      <c r="A40" s="146" t="n"/>
      <c r="B40" s="146" t="n"/>
      <c r="C40" s="12" t="inlineStr">
        <is>
          <t>Итого основное оборудование</t>
        </is>
      </c>
      <c r="D40" s="157" t="n"/>
      <c r="E40" s="104" t="n"/>
      <c r="F40" s="105" t="n"/>
      <c r="G40" s="14">
        <f>SUM(G37:G39)</f>
        <v/>
      </c>
      <c r="H40" s="150">
        <f>G40/$G$44</f>
        <v/>
      </c>
      <c r="I40" s="14" t="n"/>
      <c r="J40" s="14">
        <f>SUM(J37:J39)</f>
        <v/>
      </c>
      <c r="K40" s="52" t="n"/>
    </row>
    <row r="41" outlineLevel="1" ht="38.25" customHeight="1" s="108">
      <c r="A41" s="146" t="n">
        <v>19</v>
      </c>
      <c r="B41" s="146" t="inlineStr">
        <is>
          <t>БЦ.63.536</t>
        </is>
      </c>
      <c r="C41" s="145" t="inlineStr">
        <is>
          <t>Разъединитель трёхполюсный с одним комплектом заземляющих ножей 2000А, 31,5кА</t>
        </is>
      </c>
      <c r="D41" s="146" t="inlineStr">
        <is>
          <t>шт.</t>
        </is>
      </c>
      <c r="E41" s="96" t="n">
        <v>1</v>
      </c>
      <c r="F41" s="148">
        <f>ROUND(I41/Прил.10!$D$13,2)</f>
        <v/>
      </c>
      <c r="G41" s="14">
        <f>ROUND(E41*F41,2)</f>
        <v/>
      </c>
      <c r="H41" s="150">
        <f>G41/$G$44</f>
        <v/>
      </c>
      <c r="I41" s="14" t="n">
        <v>1004652.8</v>
      </c>
      <c r="J41" s="14">
        <f>ROUND(I41*E41,2)</f>
        <v/>
      </c>
      <c r="K41" s="52" t="n"/>
    </row>
    <row r="42" outlineLevel="1" s="108">
      <c r="A42" s="146" t="n">
        <v>20</v>
      </c>
      <c r="B42" s="146" t="inlineStr">
        <is>
          <t>БЦ.60.41</t>
        </is>
      </c>
      <c r="C42" s="145" t="inlineStr">
        <is>
          <t xml:space="preserve">Ограничитель напряжения ОПН-35 </t>
        </is>
      </c>
      <c r="D42" s="146" t="inlineStr">
        <is>
          <t>шт.</t>
        </is>
      </c>
      <c r="E42" s="96" t="n">
        <v>3</v>
      </c>
      <c r="F42" s="148">
        <f>ROUND(I42/Прил.10!$D$13,2)</f>
        <v/>
      </c>
      <c r="G42" s="14">
        <f>ROUND(E42*F42,2)</f>
        <v/>
      </c>
      <c r="H42" s="150">
        <f>G42/$G$44</f>
        <v/>
      </c>
      <c r="I42" s="14" t="n">
        <v>34170</v>
      </c>
      <c r="J42" s="14">
        <f>ROUND(I42*E42,2)</f>
        <v/>
      </c>
      <c r="K42" s="52" t="n"/>
    </row>
    <row r="43">
      <c r="A43" s="146" t="n"/>
      <c r="B43" s="146" t="n"/>
      <c r="C43" s="145" t="inlineStr">
        <is>
          <t>Итого прочее оборудование</t>
        </is>
      </c>
      <c r="D43" s="146" t="n"/>
      <c r="E43" s="147" t="n"/>
      <c r="F43" s="148" t="n"/>
      <c r="G43" s="14">
        <f>SUM(G41:G42)</f>
        <v/>
      </c>
      <c r="H43" s="150">
        <f>G43/$G$44</f>
        <v/>
      </c>
      <c r="I43" s="14" t="n"/>
      <c r="J43" s="14">
        <f>SUM(J41:J42)</f>
        <v/>
      </c>
      <c r="K43" s="52" t="n"/>
    </row>
    <row r="44">
      <c r="A44" s="146" t="n"/>
      <c r="B44" s="146" t="n"/>
      <c r="C44" s="137" t="inlineStr">
        <is>
          <t>Итого по разделу «Оборудование»</t>
        </is>
      </c>
      <c r="D44" s="146" t="n"/>
      <c r="E44" s="147" t="n"/>
      <c r="F44" s="148" t="n"/>
      <c r="G44" s="14">
        <f>G43+G40</f>
        <v/>
      </c>
      <c r="H44" s="150">
        <f>(G40+G43)/G44</f>
        <v/>
      </c>
      <c r="I44" s="14" t="n"/>
      <c r="J44" s="14">
        <f>J43+J40</f>
        <v/>
      </c>
    </row>
    <row r="45" ht="25.5" customHeight="1" s="108">
      <c r="A45" s="146" t="n"/>
      <c r="B45" s="146" t="n"/>
      <c r="C45" s="145" t="inlineStr">
        <is>
          <t>в том числе технологическое оборудование</t>
        </is>
      </c>
      <c r="D45" s="146" t="n"/>
      <c r="E45" s="147" t="n"/>
      <c r="F45" s="148" t="n"/>
      <c r="G45" s="14">
        <f>'Прил.6 Расчет ОБ'!G17</f>
        <v/>
      </c>
      <c r="H45" s="150">
        <f>G45/$G$44</f>
        <v/>
      </c>
      <c r="I45" s="14" t="n"/>
      <c r="J45" s="14">
        <f>ROUND(G45*Прил.10!$D$13,2)</f>
        <v/>
      </c>
      <c r="K45" s="52" t="n"/>
    </row>
    <row r="46" ht="14.25" customFormat="1" customHeight="1" s="119">
      <c r="A46" s="146" t="n"/>
      <c r="B46" s="178" t="inlineStr">
        <is>
          <t>Материалы</t>
        </is>
      </c>
      <c r="J46" s="179" t="n"/>
      <c r="K46" s="52" t="n"/>
    </row>
    <row r="47" ht="14.25" customFormat="1" customHeight="1" s="119">
      <c r="A47" s="146" t="n"/>
      <c r="B47" s="145" t="inlineStr">
        <is>
          <t>Основные материалы</t>
        </is>
      </c>
      <c r="C47" s="172" t="n"/>
      <c r="D47" s="172" t="n"/>
      <c r="E47" s="172" t="n"/>
      <c r="F47" s="172" t="n"/>
      <c r="G47" s="172" t="n"/>
      <c r="H47" s="173" t="n"/>
      <c r="I47" s="150" t="n"/>
      <c r="J47" s="150" t="n"/>
    </row>
    <row r="48" ht="25.5" customFormat="1" customHeight="1" s="119">
      <c r="A48" s="146" t="n">
        <v>21</v>
      </c>
      <c r="B48" s="146" t="inlineStr">
        <is>
          <t>21.2.01.02-0090</t>
        </is>
      </c>
      <c r="C48" s="145" t="inlineStr">
        <is>
          <t>Провод неизолированный для воздушных линий электропередачи АС 150/19</t>
        </is>
      </c>
      <c r="D48" s="146" t="inlineStr">
        <is>
          <t>т</t>
        </is>
      </c>
      <c r="E48" s="96" t="n">
        <v>5.219493</v>
      </c>
      <c r="F48" s="163" t="n">
        <v>32762.18</v>
      </c>
      <c r="G48" s="14">
        <f>ROUND(E48*F48,2)</f>
        <v/>
      </c>
      <c r="H48" s="150">
        <f>G48/$G$110</f>
        <v/>
      </c>
      <c r="I48" s="14">
        <f>ROUND(F48*Прил.10!$D$12,2)</f>
        <v/>
      </c>
      <c r="J48" s="14">
        <f>ROUND(I48*E48,2)</f>
        <v/>
      </c>
    </row>
    <row r="49" ht="51" customFormat="1" customHeight="1" s="119">
      <c r="A49" s="146" t="n">
        <v>22</v>
      </c>
      <c r="B49" s="53" t="inlineStr">
        <is>
          <t>20.5.04.04-0061</t>
        </is>
      </c>
      <c r="C49" s="145" t="inlineStr">
        <is>
          <t>Зажимы натяжные болтовые НБН алюминиевые для крепления многопроволочных проводов сечением 95-120 мм2</t>
        </is>
      </c>
      <c r="D49" s="146" t="inlineStr">
        <is>
          <t>шт</t>
        </is>
      </c>
      <c r="E49" s="96" t="n">
        <v>192</v>
      </c>
      <c r="F49" s="163" t="n">
        <v>389.85</v>
      </c>
      <c r="G49" s="14">
        <f>ROUND(E49*F49,2)</f>
        <v/>
      </c>
      <c r="H49" s="150">
        <f>G49/$G$110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19">
      <c r="A50" s="146" t="n">
        <v>23</v>
      </c>
      <c r="B50" s="53" t="inlineStr">
        <is>
          <t>08.1.02.20-0001</t>
        </is>
      </c>
      <c r="C50" s="145" t="inlineStr">
        <is>
          <t>Звено соединительное, диаметр 28 мм</t>
        </is>
      </c>
      <c r="D50" s="146" t="inlineStr">
        <is>
          <t>шт</t>
        </is>
      </c>
      <c r="E50" s="96" t="n">
        <v>192</v>
      </c>
      <c r="F50" s="163" t="n">
        <v>248.78</v>
      </c>
      <c r="G50" s="14">
        <f>ROUND(E50*F50,2)</f>
        <v/>
      </c>
      <c r="H50" s="150">
        <f>G50/$G$110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19">
      <c r="A51" s="146" t="n">
        <v>24</v>
      </c>
      <c r="B51" s="53" t="inlineStr">
        <is>
          <t>25.2.01.06-0101</t>
        </is>
      </c>
      <c r="C51" s="145" t="inlineStr">
        <is>
          <t>Зажим фиксирующий (КС-049-5) (КС-329)</t>
        </is>
      </c>
      <c r="D51" s="146" t="inlineStr">
        <is>
          <t>шт</t>
        </is>
      </c>
      <c r="E51" s="96" t="n">
        <v>476</v>
      </c>
      <c r="F51" s="163" t="n">
        <v>66.68000000000001</v>
      </c>
      <c r="G51" s="14">
        <f>ROUND(E51*F51,2)</f>
        <v/>
      </c>
      <c r="H51" s="150">
        <f>G51/$G$110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19">
      <c r="A52" s="146" t="n">
        <v>25</v>
      </c>
      <c r="B52" s="53" t="inlineStr">
        <is>
          <t>20.1.02.22-0003</t>
        </is>
      </c>
      <c r="C52" s="145" t="inlineStr">
        <is>
          <t>Ушко двухлапчатое У2-12-16</t>
        </is>
      </c>
      <c r="D52" s="146" t="inlineStr">
        <is>
          <t>шт</t>
        </is>
      </c>
      <c r="E52" s="96" t="n">
        <v>87</v>
      </c>
      <c r="F52" s="163" t="n">
        <v>194.37</v>
      </c>
      <c r="G52" s="14">
        <f>ROUND(E52*F52,2)</f>
        <v/>
      </c>
      <c r="H52" s="150">
        <f>G52/$G$110</f>
        <v/>
      </c>
      <c r="I52" s="14">
        <f>ROUND(F52*Прил.10!$D$12,2)</f>
        <v/>
      </c>
      <c r="J52" s="14">
        <f>ROUND(I52*E52,2)</f>
        <v/>
      </c>
    </row>
    <row r="53" ht="14.25" customFormat="1" customHeight="1" s="119">
      <c r="A53" s="146" t="n">
        <v>26</v>
      </c>
      <c r="B53" s="53" t="inlineStr">
        <is>
          <t>20.2.08.05-0017</t>
        </is>
      </c>
      <c r="C53" s="145" t="inlineStr">
        <is>
          <t>Профиль монтажный</t>
        </is>
      </c>
      <c r="D53" s="146" t="inlineStr">
        <is>
          <t>шт</t>
        </is>
      </c>
      <c r="E53" s="96" t="n">
        <v>221</v>
      </c>
      <c r="F53" s="163" t="n">
        <v>66.81999999999999</v>
      </c>
      <c r="G53" s="14">
        <f>ROUND(E53*F53,2)</f>
        <v/>
      </c>
      <c r="H53" s="150">
        <f>G53/$G$110</f>
        <v/>
      </c>
      <c r="I53" s="14">
        <f>ROUND(F53*Прил.10!$D$12,2)</f>
        <v/>
      </c>
      <c r="J53" s="14">
        <f>ROUND(I53*E53,2)</f>
        <v/>
      </c>
    </row>
    <row r="54" ht="14.25" customFormat="1" customHeight="1" s="119">
      <c r="A54" s="146" t="n">
        <v>27</v>
      </c>
      <c r="B54" s="53" t="inlineStr">
        <is>
          <t>20.2.11.04-0011</t>
        </is>
      </c>
      <c r="C54" s="145" t="inlineStr">
        <is>
          <t>Распорки 125-1</t>
        </is>
      </c>
      <c r="D54" s="146" t="inlineStr">
        <is>
          <t>шт</t>
        </is>
      </c>
      <c r="E54" s="96" t="n">
        <v>320</v>
      </c>
      <c r="F54" s="163" t="n">
        <v>36.61</v>
      </c>
      <c r="G54" s="14">
        <f>ROUND(E54*F54,2)</f>
        <v/>
      </c>
      <c r="H54" s="150">
        <f>G54/$G$110</f>
        <v/>
      </c>
      <c r="I54" s="14">
        <f>ROUND(F54*Прил.10!$D$12,2)</f>
        <v/>
      </c>
      <c r="J54" s="14">
        <f>ROUND(I54*E54,2)</f>
        <v/>
      </c>
    </row>
    <row r="55" ht="25.5" customFormat="1" customHeight="1" s="119">
      <c r="A55" s="146" t="n">
        <v>28</v>
      </c>
      <c r="B55" s="53" t="inlineStr">
        <is>
          <t>07.2.07.04-0007</t>
        </is>
      </c>
      <c r="C55" s="145" t="inlineStr">
        <is>
          <t>Конструкции стальные индивидуальные решетчатые сварные, масса до 0,1 т</t>
        </is>
      </c>
      <c r="D55" s="146" t="inlineStr">
        <is>
          <t>т</t>
        </is>
      </c>
      <c r="E55" s="96" t="n">
        <v>0.9370000000000001</v>
      </c>
      <c r="F55" s="163" t="n">
        <v>11500</v>
      </c>
      <c r="G55" s="14">
        <f>ROUND(E55*F55,2)</f>
        <v/>
      </c>
      <c r="H55" s="150">
        <f>G55/$G$110</f>
        <v/>
      </c>
      <c r="I55" s="14">
        <f>ROUND(F55*Прил.10!$D$12,2)</f>
        <v/>
      </c>
      <c r="J55" s="14">
        <f>ROUND(I55*E55,2)</f>
        <v/>
      </c>
    </row>
    <row r="56" ht="14.25" customFormat="1" customHeight="1" s="119">
      <c r="A56" s="146" t="n"/>
      <c r="B56" s="146" t="n"/>
      <c r="C56" s="145" t="inlineStr">
        <is>
          <t>Итого основные материалы</t>
        </is>
      </c>
      <c r="D56" s="146" t="n"/>
      <c r="E56" s="96" t="n"/>
      <c r="F56" s="148" t="n"/>
      <c r="G56" s="14">
        <f>SUM(G48:G55)</f>
        <v/>
      </c>
      <c r="H56" s="150">
        <f>G56/$G$110</f>
        <v/>
      </c>
      <c r="I56" s="14" t="n"/>
      <c r="J56" s="14">
        <f>SUM(J48:J55)</f>
        <v/>
      </c>
      <c r="K56" s="52" t="n"/>
    </row>
    <row r="57" outlineLevel="1" ht="14.25" customFormat="1" customHeight="1" s="119">
      <c r="A57" s="146" t="n">
        <v>29</v>
      </c>
      <c r="B57" s="53" t="inlineStr">
        <is>
          <t>101-3721</t>
        </is>
      </c>
      <c r="C57" s="145" t="inlineStr">
        <is>
          <t>Сталь полосовая 50х4 мм, марка Ст3сп</t>
        </is>
      </c>
      <c r="D57" s="146" t="inlineStr">
        <is>
          <t>т</t>
        </is>
      </c>
      <c r="E57" s="96" t="n">
        <v>1.37788</v>
      </c>
      <c r="F57" s="163" t="n">
        <v>7396.23</v>
      </c>
      <c r="G57" s="14">
        <f>ROUND(F57*E57,2)</f>
        <v/>
      </c>
      <c r="H57" s="150">
        <f>G57/$G$110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19">
      <c r="A58" s="146" t="n">
        <v>30</v>
      </c>
      <c r="B58" s="53" t="inlineStr">
        <is>
          <t>20.1.02.21-0071</t>
        </is>
      </c>
      <c r="C58" s="145" t="inlineStr">
        <is>
          <t>Узел крепления фиксатора : окрашенный</t>
        </is>
      </c>
      <c r="D58" s="146" t="inlineStr">
        <is>
          <t>шт</t>
        </is>
      </c>
      <c r="E58" s="96" t="n">
        <v>127</v>
      </c>
      <c r="F58" s="163" t="n">
        <v>56.95</v>
      </c>
      <c r="G58" s="14">
        <f>ROUND(F58*E58,2)</f>
        <v/>
      </c>
      <c r="H58" s="150">
        <f>G58/$G$110</f>
        <v/>
      </c>
      <c r="I58" s="14">
        <f>ROUND(F58*Прил.10!$D$12,2)</f>
        <v/>
      </c>
      <c r="J58" s="14">
        <f>ROUND(I58*E58,2)</f>
        <v/>
      </c>
    </row>
    <row r="59" outlineLevel="1" ht="25.5" customFormat="1" customHeight="1" s="119">
      <c r="A59" s="146" t="n">
        <v>31</v>
      </c>
      <c r="B59" s="53" t="inlineStr">
        <is>
          <t>25.2.01.10-0003</t>
        </is>
      </c>
      <c r="C59" s="145" t="inlineStr">
        <is>
          <t>Коромысло: для анкеровки усиливающих и питающих проводов (КС- 122)</t>
        </is>
      </c>
      <c r="D59" s="146" t="inlineStr">
        <is>
          <t>шт</t>
        </is>
      </c>
      <c r="E59" s="96" t="n">
        <v>87</v>
      </c>
      <c r="F59" s="163" t="n">
        <v>81</v>
      </c>
      <c r="G59" s="14">
        <f>ROUND(F59*E59,2)</f>
        <v/>
      </c>
      <c r="H59" s="150">
        <f>G59/$G$110</f>
        <v/>
      </c>
      <c r="I59" s="14">
        <f>ROUND(F59*Прил.10!$D$12,2)</f>
        <v/>
      </c>
      <c r="J59" s="14">
        <f>ROUND(I59*E59,2)</f>
        <v/>
      </c>
    </row>
    <row r="60" outlineLevel="1" ht="25.5" customFormat="1" customHeight="1" s="119">
      <c r="A60" s="146" t="n">
        <v>32</v>
      </c>
      <c r="B60" s="53" t="inlineStr">
        <is>
          <t>08.1.02.13-0010</t>
        </is>
      </c>
      <c r="C60" s="145" t="inlineStr">
        <is>
          <t>Рукава металлические диаметром: 27 мм РЗ-Ц-Х</t>
        </is>
      </c>
      <c r="D60" s="146" t="inlineStr">
        <is>
          <t>м</t>
        </is>
      </c>
      <c r="E60" s="96" t="n">
        <v>420</v>
      </c>
      <c r="F60" s="163" t="n">
        <v>13.56</v>
      </c>
      <c r="G60" s="14">
        <f>ROUND(F60*E60,2)</f>
        <v/>
      </c>
      <c r="H60" s="150">
        <f>G60/$G$110</f>
        <v/>
      </c>
      <c r="I60" s="14">
        <f>ROUND(F60*Прил.10!$D$12,2)</f>
        <v/>
      </c>
      <c r="J60" s="14">
        <f>ROUND(I60*E60,2)</f>
        <v/>
      </c>
    </row>
    <row r="61" outlineLevel="1" ht="14.25" customFormat="1" customHeight="1" s="119">
      <c r="A61" s="146" t="n">
        <v>33</v>
      </c>
      <c r="B61" s="53" t="inlineStr">
        <is>
          <t>01.7.17.11-0001</t>
        </is>
      </c>
      <c r="C61" s="145" t="inlineStr">
        <is>
          <t>Бумага шлифовальная</t>
        </is>
      </c>
      <c r="D61" s="146" t="inlineStr">
        <is>
          <t>кг</t>
        </is>
      </c>
      <c r="E61" s="96" t="n">
        <v>96</v>
      </c>
      <c r="F61" s="163" t="n">
        <v>50</v>
      </c>
      <c r="G61" s="14">
        <f>ROUND(F61*E61,2)</f>
        <v/>
      </c>
      <c r="H61" s="150">
        <f>G61/$G$110</f>
        <v/>
      </c>
      <c r="I61" s="14">
        <f>ROUND(F61*Прил.10!$D$12,2)</f>
        <v/>
      </c>
      <c r="J61" s="14">
        <f>ROUND(I61*E61,2)</f>
        <v/>
      </c>
    </row>
    <row r="62" outlineLevel="1" ht="51" customFormat="1" customHeight="1" s="119">
      <c r="A62" s="146" t="n">
        <v>34</v>
      </c>
      <c r="B62" s="53" t="inlineStr">
        <is>
          <t>21.2.03.05-0055</t>
        </is>
      </c>
      <c r="C62" s="145" t="inlineStr">
        <is>
          <t>Провода силовые для электрических установок на напряжение до 450 В с медной жилой марки: ПВ1, сечением 25 мм2</t>
        </is>
      </c>
      <c r="D62" s="146" t="inlineStr">
        <is>
          <t>1000 м</t>
        </is>
      </c>
      <c r="E62" s="96" t="n">
        <v>0.1836</v>
      </c>
      <c r="F62" s="163" t="n">
        <v>19363.45</v>
      </c>
      <c r="G62" s="14">
        <f>ROUND(F62*E62,2)</f>
        <v/>
      </c>
      <c r="H62" s="150">
        <f>G62/$G$110</f>
        <v/>
      </c>
      <c r="I62" s="14">
        <f>ROUND(F62*Прил.10!$D$12,2)</f>
        <v/>
      </c>
      <c r="J62" s="14">
        <f>ROUND(I62*E62,2)</f>
        <v/>
      </c>
    </row>
    <row r="63" outlineLevel="1" ht="14.25" customFormat="1" customHeight="1" s="119">
      <c r="A63" s="146" t="n">
        <v>35</v>
      </c>
      <c r="B63" s="53" t="inlineStr">
        <is>
          <t>01.7.15.03-0042</t>
        </is>
      </c>
      <c r="C63" s="145" t="inlineStr">
        <is>
          <t>Болты с гайками и шайбами строительные</t>
        </is>
      </c>
      <c r="D63" s="146" t="inlineStr">
        <is>
          <t>кг</t>
        </is>
      </c>
      <c r="E63" s="96" t="n">
        <v>309.62</v>
      </c>
      <c r="F63" s="163" t="n">
        <v>9.039999999999999</v>
      </c>
      <c r="G63" s="14">
        <f>ROUND(F63*E63,2)</f>
        <v/>
      </c>
      <c r="H63" s="150">
        <f>G63/$G$110</f>
        <v/>
      </c>
      <c r="I63" s="14">
        <f>ROUND(F63*Прил.10!$D$12,2)</f>
        <v/>
      </c>
      <c r="J63" s="14">
        <f>ROUND(I63*E63,2)</f>
        <v/>
      </c>
    </row>
    <row r="64" outlineLevel="1" ht="14.25" customFormat="1" customHeight="1" s="119">
      <c r="A64" s="146" t="n">
        <v>36</v>
      </c>
      <c r="B64" s="53" t="inlineStr">
        <is>
          <t>22.1.01.02-0003</t>
        </is>
      </c>
      <c r="C64" s="145" t="inlineStr">
        <is>
          <t>Бокс ЩРН-9 навесной (250х350х120)</t>
        </is>
      </c>
      <c r="D64" s="146" t="inlineStr">
        <is>
          <t>шт</t>
        </is>
      </c>
      <c r="E64" s="96" t="n">
        <v>30</v>
      </c>
      <c r="F64" s="163" t="n">
        <v>92.25</v>
      </c>
      <c r="G64" s="14">
        <f>ROUND(F64*E64,2)</f>
        <v/>
      </c>
      <c r="H64" s="150">
        <f>G64/$G$110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19">
      <c r="A65" s="146" t="n">
        <v>37</v>
      </c>
      <c r="B65" s="53" t="inlineStr">
        <is>
          <t>08.3.07.01-0076</t>
        </is>
      </c>
      <c r="C65" s="145" t="inlineStr">
        <is>
          <t>Сталь полосовая, марка стали: Ст3сп шириной 50-200 мм толщиной 4-5 мм</t>
        </is>
      </c>
      <c r="D65" s="146" t="inlineStr">
        <is>
          <t>т</t>
        </is>
      </c>
      <c r="E65" s="96" t="n">
        <v>0.458</v>
      </c>
      <c r="F65" s="163" t="n">
        <v>5000</v>
      </c>
      <c r="G65" s="14">
        <f>ROUND(F65*E65,2)</f>
        <v/>
      </c>
      <c r="H65" s="150">
        <f>G65/$G$110</f>
        <v/>
      </c>
      <c r="I65" s="14">
        <f>ROUND(F65*Прил.10!$D$12,2)</f>
        <v/>
      </c>
      <c r="J65" s="14">
        <f>ROUND(I65*E65,2)</f>
        <v/>
      </c>
    </row>
    <row r="66" outlineLevel="1" ht="14.25" customFormat="1" customHeight="1" s="119">
      <c r="A66" s="146" t="n">
        <v>38</v>
      </c>
      <c r="B66" s="53" t="inlineStr">
        <is>
          <t>14.4.02.09-0001</t>
        </is>
      </c>
      <c r="C66" s="145" t="inlineStr">
        <is>
          <t>Краска</t>
        </is>
      </c>
      <c r="D66" s="146" t="inlineStr">
        <is>
          <t>кг</t>
        </is>
      </c>
      <c r="E66" s="96" t="n">
        <v>71.48</v>
      </c>
      <c r="F66" s="163" t="n">
        <v>28.6</v>
      </c>
      <c r="G66" s="14">
        <f>ROUND(F66*E66,2)</f>
        <v/>
      </c>
      <c r="H66" s="150">
        <f>G66/$G$110</f>
        <v/>
      </c>
      <c r="I66" s="14">
        <f>ROUND(F66*Прил.10!$D$12,2)</f>
        <v/>
      </c>
      <c r="J66" s="14">
        <f>ROUND(I66*E66,2)</f>
        <v/>
      </c>
    </row>
    <row r="67" outlineLevel="1" ht="14.25" customFormat="1" customHeight="1" s="119">
      <c r="A67" s="146" t="n">
        <v>39</v>
      </c>
      <c r="B67" s="53" t="inlineStr">
        <is>
          <t>20.1.02.14-0002</t>
        </is>
      </c>
      <c r="C67" s="145" t="inlineStr">
        <is>
          <t>Серьга Ср-4,5 075</t>
        </is>
      </c>
      <c r="D67" s="146" t="inlineStr">
        <is>
          <t>шт.</t>
        </is>
      </c>
      <c r="E67" s="96" t="n">
        <v>127</v>
      </c>
      <c r="F67" s="163" t="n">
        <v>11.39</v>
      </c>
      <c r="G67" s="14">
        <f>ROUND(F67*E67,2)</f>
        <v/>
      </c>
      <c r="H67" s="150">
        <f>G67/$G$110</f>
        <v/>
      </c>
      <c r="I67" s="14">
        <f>ROUND(F67*Прил.10!$D$12,2)</f>
        <v/>
      </c>
      <c r="J67" s="14">
        <f>ROUND(I67*E67,2)</f>
        <v/>
      </c>
    </row>
    <row r="68" outlineLevel="1" ht="25.5" customFormat="1" customHeight="1" s="119">
      <c r="A68" s="146" t="n">
        <v>40</v>
      </c>
      <c r="B68" s="53" t="inlineStr">
        <is>
          <t>101-1755</t>
        </is>
      </c>
      <c r="C68" s="145" t="inlineStr">
        <is>
          <t>Сталь полосовая, марка стали Ст3сп шириной 50-200 мм толщиной 4-5 мм</t>
        </is>
      </c>
      <c r="D68" s="146" t="inlineStr">
        <is>
          <t>т</t>
        </is>
      </c>
      <c r="E68" s="96" t="n">
        <v>0.2603</v>
      </c>
      <c r="F68" s="163" t="n">
        <v>5000</v>
      </c>
      <c r="G68" s="14">
        <f>ROUND(F68*E68,2)</f>
        <v/>
      </c>
      <c r="H68" s="150">
        <f>G68/$G$110</f>
        <v/>
      </c>
      <c r="I68" s="14">
        <f>ROUND(F68*Прил.10!$D$12,2)</f>
        <v/>
      </c>
      <c r="J68" s="14">
        <f>ROUND(I68*E68,2)</f>
        <v/>
      </c>
    </row>
    <row r="69" outlineLevel="1" ht="14.25" customFormat="1" customHeight="1" s="119">
      <c r="A69" s="146" t="n">
        <v>41</v>
      </c>
      <c r="B69" s="53" t="inlineStr">
        <is>
          <t>01.7.11.07-0034</t>
        </is>
      </c>
      <c r="C69" s="145" t="inlineStr">
        <is>
          <t>Электроды диаметром: 4 мм Э42А</t>
        </is>
      </c>
      <c r="D69" s="146" t="inlineStr">
        <is>
          <t>кг</t>
        </is>
      </c>
      <c r="E69" s="96" t="n">
        <v>121.75</v>
      </c>
      <c r="F69" s="163" t="n">
        <v>10.57</v>
      </c>
      <c r="G69" s="14">
        <f>ROUND(F69*E69,2)</f>
        <v/>
      </c>
      <c r="H69" s="150">
        <f>G69/$G$110</f>
        <v/>
      </c>
      <c r="I69" s="14">
        <f>ROUND(F69*Прил.10!$D$12,2)</f>
        <v/>
      </c>
      <c r="J69" s="14">
        <f>ROUND(I69*E69,2)</f>
        <v/>
      </c>
    </row>
    <row r="70" outlineLevel="1" ht="14.25" customFormat="1" customHeight="1" s="119">
      <c r="A70" s="146" t="n">
        <v>42</v>
      </c>
      <c r="B70" s="53" t="inlineStr">
        <is>
          <t>301-0041</t>
        </is>
      </c>
      <c r="C70" s="145" t="inlineStr">
        <is>
          <t>Патрубки</t>
        </is>
      </c>
      <c r="D70" s="146" t="inlineStr">
        <is>
          <t>10 шт.</t>
        </is>
      </c>
      <c r="E70" s="96" t="n">
        <v>4.2</v>
      </c>
      <c r="F70" s="163" t="n">
        <v>277.5</v>
      </c>
      <c r="G70" s="14">
        <f>ROUND(F70*E70,2)</f>
        <v/>
      </c>
      <c r="H70" s="150">
        <f>G70/$G$110</f>
        <v/>
      </c>
      <c r="I70" s="14">
        <f>ROUND(F70*Прил.10!$D$12,2)</f>
        <v/>
      </c>
      <c r="J70" s="14">
        <f>ROUND(I70*E70,2)</f>
        <v/>
      </c>
    </row>
    <row r="71" outlineLevel="1" ht="14.25" customFormat="1" customHeight="1" s="119">
      <c r="A71" s="146" t="n">
        <v>43</v>
      </c>
      <c r="B71" s="53" t="inlineStr">
        <is>
          <t>22.1.01.02-0002</t>
        </is>
      </c>
      <c r="C71" s="145" t="inlineStr">
        <is>
          <t>Бокс ЩРН-9 навесной (250х300х120)</t>
        </is>
      </c>
      <c r="D71" s="146" t="inlineStr">
        <is>
          <t>шт</t>
        </is>
      </c>
      <c r="E71" s="96" t="n">
        <v>11</v>
      </c>
      <c r="F71" s="163" t="n">
        <v>85.45999999999999</v>
      </c>
      <c r="G71" s="14">
        <f>ROUND(F71*E71,2)</f>
        <v/>
      </c>
      <c r="H71" s="150">
        <f>G71/$G$110</f>
        <v/>
      </c>
      <c r="I71" s="14">
        <f>ROUND(F71*Прил.10!$D$12,2)</f>
        <v/>
      </c>
      <c r="J71" s="14">
        <f>ROUND(I71*E71,2)</f>
        <v/>
      </c>
    </row>
    <row r="72" outlineLevel="1" ht="25.5" customFormat="1" customHeight="1" s="119">
      <c r="A72" s="146" t="n">
        <v>44</v>
      </c>
      <c r="B72" s="53" t="inlineStr">
        <is>
          <t>08.3.07.01-0076</t>
        </is>
      </c>
      <c r="C72" s="145" t="inlineStr">
        <is>
          <t>Сталь полосовая, марка стали: Ст3сп шириной 50-200 мм толщиной 4-5 мм</t>
        </is>
      </c>
      <c r="D72" s="146" t="inlineStr">
        <is>
          <t>т</t>
        </is>
      </c>
      <c r="E72" s="96" t="n">
        <v>0.157</v>
      </c>
      <c r="F72" s="163" t="n">
        <v>5000</v>
      </c>
      <c r="G72" s="14">
        <f>ROUND(F72*E72,2)</f>
        <v/>
      </c>
      <c r="H72" s="150">
        <f>G72/$G$110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19">
      <c r="A73" s="146" t="n">
        <v>45</v>
      </c>
      <c r="B73" s="53" t="inlineStr">
        <is>
          <t>25.2.01.17-0005</t>
        </is>
      </c>
      <c r="C73" s="145" t="inlineStr">
        <is>
          <t>Ушко: однолапчатое 012</t>
        </is>
      </c>
      <c r="D73" s="146" t="inlineStr">
        <is>
          <t>шт</t>
        </is>
      </c>
      <c r="E73" s="96" t="n">
        <v>18</v>
      </c>
      <c r="F73" s="163" t="n">
        <v>38.79</v>
      </c>
      <c r="G73" s="14">
        <f>ROUND(F73*E73,2)</f>
        <v/>
      </c>
      <c r="H73" s="150">
        <f>G73/$G$110</f>
        <v/>
      </c>
      <c r="I73" s="14">
        <f>ROUND(F73*Прил.10!$D$12,2)</f>
        <v/>
      </c>
      <c r="J73" s="14">
        <f>ROUND(I73*E73,2)</f>
        <v/>
      </c>
    </row>
    <row r="74" outlineLevel="1" ht="25.5" customFormat="1" customHeight="1" s="119">
      <c r="A74" s="146" t="n">
        <v>46</v>
      </c>
      <c r="B74" s="53" t="inlineStr">
        <is>
          <t>01.3.01.07-0008</t>
        </is>
      </c>
      <c r="C74" s="145" t="inlineStr">
        <is>
          <t>Спирт этиловый ректификованный технический, сорт I</t>
        </is>
      </c>
      <c r="D74" s="146" t="inlineStr">
        <is>
          <t>т</t>
        </is>
      </c>
      <c r="E74" s="96" t="n">
        <v>0.0176</v>
      </c>
      <c r="F74" s="163" t="n">
        <v>38890</v>
      </c>
      <c r="G74" s="14">
        <f>ROUND(F74*E74,2)</f>
        <v/>
      </c>
      <c r="H74" s="150">
        <f>G74/$G$110</f>
        <v/>
      </c>
      <c r="I74" s="14">
        <f>ROUND(F74*Прил.10!$D$12,2)</f>
        <v/>
      </c>
      <c r="J74" s="14">
        <f>ROUND(I74*E74,2)</f>
        <v/>
      </c>
    </row>
    <row r="75" outlineLevel="1" ht="25.5" customFormat="1" customHeight="1" s="119">
      <c r="A75" s="146" t="n">
        <v>47</v>
      </c>
      <c r="B75" s="53" t="inlineStr">
        <is>
          <t>999-9950</t>
        </is>
      </c>
      <c r="C75" s="145" t="inlineStr">
        <is>
          <t>Вспомогательные ненормируемые ресурсы (2% от Оплаты труда рабочих)</t>
        </is>
      </c>
      <c r="D75" s="146" t="inlineStr">
        <is>
          <t>руб.</t>
        </is>
      </c>
      <c r="E75" s="96" t="n">
        <v>617.92</v>
      </c>
      <c r="F75" s="163" t="n">
        <v>1</v>
      </c>
      <c r="G75" s="14">
        <f>ROUND(F75*E75,2)</f>
        <v/>
      </c>
      <c r="H75" s="150">
        <f>G75/$G$110</f>
        <v/>
      </c>
      <c r="I75" s="14">
        <f>ROUND(F75*Прил.10!$D$12,2)</f>
        <v/>
      </c>
      <c r="J75" s="14">
        <f>ROUND(I75*E75,2)</f>
        <v/>
      </c>
    </row>
    <row r="76" outlineLevel="1" ht="25.5" customFormat="1" customHeight="1" s="119">
      <c r="A76" s="146" t="n">
        <v>48</v>
      </c>
      <c r="B76" s="53" t="inlineStr">
        <is>
          <t>01.3.01.06-0050</t>
        </is>
      </c>
      <c r="C76" s="145" t="inlineStr">
        <is>
          <t>Смазка универсальная тугоплавкая УТ (консталин жировой)</t>
        </is>
      </c>
      <c r="D76" s="146" t="inlineStr">
        <is>
          <t>т</t>
        </is>
      </c>
      <c r="E76" s="96" t="n">
        <v>0.0343</v>
      </c>
      <c r="F76" s="163" t="n">
        <v>17500</v>
      </c>
      <c r="G76" s="14">
        <f>ROUND(F76*E76,2)</f>
        <v/>
      </c>
      <c r="H76" s="150">
        <f>G76/$G$110</f>
        <v/>
      </c>
      <c r="I76" s="14">
        <f>ROUND(F76*Прил.10!$D$12,2)</f>
        <v/>
      </c>
      <c r="J76" s="14">
        <f>ROUND(I76*E76,2)</f>
        <v/>
      </c>
    </row>
    <row r="77" outlineLevel="1" ht="14.25" customFormat="1" customHeight="1" s="119">
      <c r="A77" s="146" t="n">
        <v>49</v>
      </c>
      <c r="B77" s="53" t="inlineStr">
        <is>
          <t>101-1924</t>
        </is>
      </c>
      <c r="C77" s="145" t="inlineStr">
        <is>
          <t>Электроды диаметром 4 мм Э42А</t>
        </is>
      </c>
      <c r="D77" s="146" t="inlineStr">
        <is>
          <t>кг</t>
        </is>
      </c>
      <c r="E77" s="96" t="n">
        <v>55.7664</v>
      </c>
      <c r="F77" s="163" t="n">
        <v>10.57</v>
      </c>
      <c r="G77" s="14">
        <f>ROUND(F77*E77,2)</f>
        <v/>
      </c>
      <c r="H77" s="150">
        <f>G77/$G$110</f>
        <v/>
      </c>
      <c r="I77" s="14">
        <f>ROUND(F77*Прил.10!$D$12,2)</f>
        <v/>
      </c>
      <c r="J77" s="14">
        <f>ROUND(I77*E77,2)</f>
        <v/>
      </c>
    </row>
    <row r="78" outlineLevel="1" ht="14.25" customFormat="1" customHeight="1" s="119">
      <c r="A78" s="146" t="n">
        <v>50</v>
      </c>
      <c r="B78" s="53" t="inlineStr">
        <is>
          <t>01.7.20.08-0031</t>
        </is>
      </c>
      <c r="C78" s="145" t="inlineStr">
        <is>
          <t>Бязь суровая арт. 6804</t>
        </is>
      </c>
      <c r="D78" s="146" t="inlineStr">
        <is>
          <t>10 м2</t>
        </is>
      </c>
      <c r="E78" s="96" t="n">
        <v>7.403</v>
      </c>
      <c r="F78" s="163" t="n">
        <v>79.09999999999999</v>
      </c>
      <c r="G78" s="14">
        <f>ROUND(F78*E78,2)</f>
        <v/>
      </c>
      <c r="H78" s="150">
        <f>G78/$G$110</f>
        <v/>
      </c>
      <c r="I78" s="14">
        <f>ROUND(F78*Прил.10!$D$12,2)</f>
        <v/>
      </c>
      <c r="J78" s="14">
        <f>ROUND(I78*E78,2)</f>
        <v/>
      </c>
    </row>
    <row r="79" outlineLevel="1" ht="14.25" customFormat="1" customHeight="1" s="119">
      <c r="A79" s="146" t="n">
        <v>51</v>
      </c>
      <c r="B79" s="53" t="inlineStr">
        <is>
          <t>01.7.15.10-0041</t>
        </is>
      </c>
      <c r="C79" s="145" t="inlineStr">
        <is>
          <t>Скобы</t>
        </is>
      </c>
      <c r="D79" s="146" t="inlineStr">
        <is>
          <t>10 шт</t>
        </is>
      </c>
      <c r="E79" s="96" t="n">
        <v>8.4</v>
      </c>
      <c r="F79" s="163" t="n">
        <v>64.8</v>
      </c>
      <c r="G79" s="14">
        <f>ROUND(F79*E79,2)</f>
        <v/>
      </c>
      <c r="H79" s="150">
        <f>G79/$G$110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19">
      <c r="A80" s="146" t="n">
        <v>52</v>
      </c>
      <c r="B80" s="53" t="inlineStr">
        <is>
          <t>101-2143</t>
        </is>
      </c>
      <c r="C80" s="145" t="inlineStr">
        <is>
          <t>Краска</t>
        </is>
      </c>
      <c r="D80" s="146" t="inlineStr">
        <is>
          <t>кг</t>
        </is>
      </c>
      <c r="E80" s="96" t="n">
        <v>15.95</v>
      </c>
      <c r="F80" s="163" t="n">
        <v>28.6</v>
      </c>
      <c r="G80" s="14">
        <f>ROUND(F80*E80,2)</f>
        <v/>
      </c>
      <c r="H80" s="150">
        <f>G80/$G$110</f>
        <v/>
      </c>
      <c r="I80" s="14">
        <f>ROUND(F80*Прил.10!$D$12,2)</f>
        <v/>
      </c>
      <c r="J80" s="14">
        <f>ROUND(I80*E80,2)</f>
        <v/>
      </c>
    </row>
    <row r="81" outlineLevel="1" ht="14.25" customFormat="1" customHeight="1" s="119">
      <c r="A81" s="146" t="n">
        <v>53</v>
      </c>
      <c r="B81" s="53" t="inlineStr">
        <is>
          <t>101-1977</t>
        </is>
      </c>
      <c r="C81" s="145" t="inlineStr">
        <is>
          <t>Болты с гайками и шайбами строительные</t>
        </is>
      </c>
      <c r="D81" s="146" t="inlineStr">
        <is>
          <t>кг</t>
        </is>
      </c>
      <c r="E81" s="96" t="n">
        <v>44.999</v>
      </c>
      <c r="F81" s="163" t="n">
        <v>9.039999999999999</v>
      </c>
      <c r="G81" s="14">
        <f>ROUND(F81*E81,2)</f>
        <v/>
      </c>
      <c r="H81" s="150">
        <f>G81/$G$110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19">
      <c r="A82" s="146" t="n">
        <v>54</v>
      </c>
      <c r="B82" s="53" t="inlineStr">
        <is>
          <t>20.2.09.13-0011</t>
        </is>
      </c>
      <c r="C82" s="145" t="inlineStr">
        <is>
          <t>Муфта</t>
        </is>
      </c>
      <c r="D82" s="146" t="inlineStr">
        <is>
          <t>шт</t>
        </is>
      </c>
      <c r="E82" s="96" t="n">
        <v>58</v>
      </c>
      <c r="F82" s="163" t="n">
        <v>5</v>
      </c>
      <c r="G82" s="14">
        <f>ROUND(F82*E82,2)</f>
        <v/>
      </c>
      <c r="H82" s="150">
        <f>G82/$G$110</f>
        <v/>
      </c>
      <c r="I82" s="14">
        <f>ROUND(F82*Прил.10!$D$12,2)</f>
        <v/>
      </c>
      <c r="J82" s="14">
        <f>ROUND(I82*E82,2)</f>
        <v/>
      </c>
    </row>
    <row r="83" outlineLevel="1" ht="38.25" customFormat="1" customHeight="1" s="119">
      <c r="A83" s="146" t="n">
        <v>55</v>
      </c>
      <c r="B83" s="53" t="inlineStr">
        <is>
          <t>10.2.02.07-0109</t>
        </is>
      </c>
      <c r="C83" s="145" t="inlineStr">
        <is>
          <t>Проволока латунная марки Л68 круглая, твердая, нормальной точности, диаметром: 0,50 мм</t>
        </is>
      </c>
      <c r="D83" s="146" t="inlineStr">
        <is>
          <t>т</t>
        </is>
      </c>
      <c r="E83" s="96" t="n">
        <v>0.0033</v>
      </c>
      <c r="F83" s="163" t="n">
        <v>62000</v>
      </c>
      <c r="G83" s="14">
        <f>ROUND(F83*E83,2)</f>
        <v/>
      </c>
      <c r="H83" s="150">
        <f>G83/$G$110</f>
        <v/>
      </c>
      <c r="I83" s="14">
        <f>ROUND(F83*Прил.10!$D$12,2)</f>
        <v/>
      </c>
      <c r="J83" s="14">
        <f>ROUND(I83*E83,2)</f>
        <v/>
      </c>
    </row>
    <row r="84" outlineLevel="1" ht="38.25" customFormat="1" customHeight="1" s="119">
      <c r="A84" s="146" t="n">
        <v>56</v>
      </c>
      <c r="B84" s="53" t="inlineStr">
        <is>
          <t>999-9950</t>
        </is>
      </c>
      <c r="C84" s="145" t="inlineStr">
        <is>
          <t>Вспомогательные ненормируемые материальные ресурсы (2% от оплаты труда рабочих)</t>
        </is>
      </c>
      <c r="D84" s="146" t="inlineStr">
        <is>
          <t>руб.</t>
        </is>
      </c>
      <c r="E84" s="96" t="n">
        <v>188.7056</v>
      </c>
      <c r="F84" s="163" t="n">
        <v>1</v>
      </c>
      <c r="G84" s="14">
        <f>ROUND(F84*E84,2)</f>
        <v/>
      </c>
      <c r="H84" s="150">
        <f>G84/$G$110</f>
        <v/>
      </c>
      <c r="I84" s="14">
        <f>ROUND(F84*Прил.10!$D$12,2)</f>
        <v/>
      </c>
      <c r="J84" s="14">
        <f>ROUND(I84*E84,2)</f>
        <v/>
      </c>
    </row>
    <row r="85" outlineLevel="1" ht="38.25" customFormat="1" customHeight="1" s="119">
      <c r="A85" s="146" t="n">
        <v>57</v>
      </c>
      <c r="B85" s="53" t="inlineStr">
        <is>
          <t>101-1627</t>
        </is>
      </c>
      <c r="C85" s="145" t="inlineStr">
        <is>
          <t>Сталь листовая углеродистая обыкновенного качества марки ВСт3пс5 толщиной 4-6 мм</t>
        </is>
      </c>
      <c r="D85" s="146" t="inlineStr">
        <is>
          <t>т</t>
        </is>
      </c>
      <c r="E85" s="96" t="n">
        <v>0.0281</v>
      </c>
      <c r="F85" s="163" t="n">
        <v>5763</v>
      </c>
      <c r="G85" s="14">
        <f>ROUND(F85*E85,2)</f>
        <v/>
      </c>
      <c r="H85" s="150">
        <f>G85/$G$110</f>
        <v/>
      </c>
      <c r="I85" s="14">
        <f>ROUND(F85*Прил.10!$D$12,2)</f>
        <v/>
      </c>
      <c r="J85" s="14">
        <f>ROUND(I85*E85,2)</f>
        <v/>
      </c>
    </row>
    <row r="86" outlineLevel="1" ht="38.25" customFormat="1" customHeight="1" s="119">
      <c r="A86" s="146" t="n">
        <v>58</v>
      </c>
      <c r="B86" s="53" t="inlineStr">
        <is>
          <t>11.1.03.06-0021</t>
        </is>
      </c>
      <c r="C86" s="145" t="inlineStr">
        <is>
          <t>Доски обрезные (береза, липа) длиной: 4-6,5 м, все ширины, толщиной 19-22 мм, II сорта</t>
        </is>
      </c>
      <c r="D86" s="146" t="inlineStr">
        <is>
          <t>м3</t>
        </is>
      </c>
      <c r="E86" s="96" t="n">
        <v>0.08799999999999999</v>
      </c>
      <c r="F86" s="163" t="n">
        <v>1784</v>
      </c>
      <c r="G86" s="14">
        <f>ROUND(F86*E86,2)</f>
        <v/>
      </c>
      <c r="H86" s="150">
        <f>G86/$G$110</f>
        <v/>
      </c>
      <c r="I86" s="14">
        <f>ROUND(F86*Прил.10!$D$12,2)</f>
        <v/>
      </c>
      <c r="J86" s="14">
        <f>ROUND(I86*E86,2)</f>
        <v/>
      </c>
    </row>
    <row r="87" outlineLevel="1" ht="14.25" customFormat="1" customHeight="1" s="119">
      <c r="A87" s="146" t="n">
        <v>59</v>
      </c>
      <c r="B87" s="53" t="inlineStr">
        <is>
          <t>101-3914</t>
        </is>
      </c>
      <c r="C87" s="145" t="inlineStr">
        <is>
          <t>Дюбели распорные полипропиленовые</t>
        </is>
      </c>
      <c r="D87" s="146" t="inlineStr">
        <is>
          <t>100 шт.</t>
        </is>
      </c>
      <c r="E87" s="96" t="n">
        <v>1.768</v>
      </c>
      <c r="F87" s="163" t="n">
        <v>86</v>
      </c>
      <c r="G87" s="14">
        <f>ROUND(F87*E87,2)</f>
        <v/>
      </c>
      <c r="H87" s="150">
        <f>G87/$G$110</f>
        <v/>
      </c>
      <c r="I87" s="14">
        <f>ROUND(F87*Прил.10!$D$12,2)</f>
        <v/>
      </c>
      <c r="J87" s="14">
        <f>ROUND(I87*E87,2)</f>
        <v/>
      </c>
    </row>
    <row r="88" outlineLevel="1" ht="25.5" customFormat="1" customHeight="1" s="119">
      <c r="A88" s="146" t="n">
        <v>60</v>
      </c>
      <c r="B88" s="53" t="inlineStr">
        <is>
          <t>101-0115</t>
        </is>
      </c>
      <c r="C88" s="145" t="inlineStr">
        <is>
          <t>Винты с полукруглой головкой длиной 50 мм</t>
        </is>
      </c>
      <c r="D88" s="146" t="inlineStr">
        <is>
          <t>т</t>
        </is>
      </c>
      <c r="E88" s="96" t="n">
        <v>0.0092</v>
      </c>
      <c r="F88" s="163" t="n">
        <v>12430</v>
      </c>
      <c r="G88" s="14">
        <f>ROUND(F88*E88,2)</f>
        <v/>
      </c>
      <c r="H88" s="150">
        <f>G88/$G$110</f>
        <v/>
      </c>
      <c r="I88" s="14">
        <f>ROUND(F88*Прил.10!$D$12,2)</f>
        <v/>
      </c>
      <c r="J88" s="14">
        <f>ROUND(I88*E88,2)</f>
        <v/>
      </c>
    </row>
    <row r="89" outlineLevel="1" ht="25.5" customFormat="1" customHeight="1" s="119">
      <c r="A89" s="146" t="n">
        <v>61</v>
      </c>
      <c r="B89" s="53" t="inlineStr">
        <is>
          <t>101-2343</t>
        </is>
      </c>
      <c r="C89" s="145" t="inlineStr">
        <is>
          <t>Смазка универсальная тугоплавкая УТ (консталин жировой)</t>
        </is>
      </c>
      <c r="D89" s="146" t="inlineStr">
        <is>
          <t>т</t>
        </is>
      </c>
      <c r="E89" s="96" t="n">
        <v>0.0065</v>
      </c>
      <c r="F89" s="163" t="n">
        <v>17500</v>
      </c>
      <c r="G89" s="14">
        <f>ROUND(F89*E89,2)</f>
        <v/>
      </c>
      <c r="H89" s="150">
        <f>G89/$G$110</f>
        <v/>
      </c>
      <c r="I89" s="14">
        <f>ROUND(F89*Прил.10!$D$12,2)</f>
        <v/>
      </c>
      <c r="J89" s="14">
        <f>ROUND(I89*E89,2)</f>
        <v/>
      </c>
    </row>
    <row r="90" outlineLevel="1" ht="14.25" customFormat="1" customHeight="1" s="119">
      <c r="A90" s="146" t="n">
        <v>62</v>
      </c>
      <c r="B90" s="53" t="inlineStr">
        <is>
          <t>509-0090</t>
        </is>
      </c>
      <c r="C90" s="145" t="inlineStr">
        <is>
          <t>Перемычки гибкие, тип ПГС-50</t>
        </is>
      </c>
      <c r="D90" s="146" t="inlineStr">
        <is>
          <t>шт.</t>
        </is>
      </c>
      <c r="E90" s="96" t="n">
        <v>21</v>
      </c>
      <c r="F90" s="163" t="n">
        <v>3.9</v>
      </c>
      <c r="G90" s="14">
        <f>ROUND(F90*E90,2)</f>
        <v/>
      </c>
      <c r="H90" s="150">
        <f>G90/$G$110</f>
        <v/>
      </c>
      <c r="I90" s="14">
        <f>ROUND(F90*Прил.10!$D$12,2)</f>
        <v/>
      </c>
      <c r="J90" s="14">
        <f>ROUND(I90*E90,2)</f>
        <v/>
      </c>
    </row>
    <row r="91" outlineLevel="1" ht="14.25" customFormat="1" customHeight="1" s="119">
      <c r="A91" s="146" t="n">
        <v>63</v>
      </c>
      <c r="B91" s="53" t="inlineStr">
        <is>
          <t>01.3.02.09-0022</t>
        </is>
      </c>
      <c r="C91" s="145" t="inlineStr">
        <is>
          <t>Пропан-бутан, смесь техническая</t>
        </is>
      </c>
      <c r="D91" s="146" t="inlineStr">
        <is>
          <t>кг</t>
        </is>
      </c>
      <c r="E91" s="96" t="n">
        <v>11</v>
      </c>
      <c r="F91" s="163" t="n">
        <v>6.09</v>
      </c>
      <c r="G91" s="14">
        <f>ROUND(F91*E91,2)</f>
        <v/>
      </c>
      <c r="H91" s="150">
        <f>G91/$G$110</f>
        <v/>
      </c>
      <c r="I91" s="14">
        <f>ROUND(F91*Прил.10!$D$12,2)</f>
        <v/>
      </c>
      <c r="J91" s="14">
        <f>ROUND(I91*E91,2)</f>
        <v/>
      </c>
    </row>
    <row r="92" outlineLevel="1" ht="14.25" customFormat="1" customHeight="1" s="119">
      <c r="A92" s="146" t="n">
        <v>64</v>
      </c>
      <c r="B92" s="53" t="inlineStr">
        <is>
          <t>20.5.04.11-0021</t>
        </is>
      </c>
      <c r="C92" s="145" t="inlineStr">
        <is>
          <t>Зажимы</t>
        </is>
      </c>
      <c r="D92" s="146" t="inlineStr">
        <is>
          <t>100 шт</t>
        </is>
      </c>
      <c r="E92" s="96" t="n">
        <v>0.03</v>
      </c>
      <c r="F92" s="163" t="n">
        <v>1776</v>
      </c>
      <c r="G92" s="14">
        <f>ROUND(F92*E92,2)</f>
        <v/>
      </c>
      <c r="H92" s="150">
        <f>G92/$G$110</f>
        <v/>
      </c>
      <c r="I92" s="14">
        <f>ROUND(F92*Прил.10!$D$12,2)</f>
        <v/>
      </c>
      <c r="J92" s="14">
        <f>ROUND(I92*E92,2)</f>
        <v/>
      </c>
    </row>
    <row r="93" outlineLevel="1" ht="25.5" customFormat="1" customHeight="1" s="119">
      <c r="A93" s="146" t="n">
        <v>65</v>
      </c>
      <c r="B93" s="53" t="inlineStr">
        <is>
          <t>01.7.15.06-0121</t>
        </is>
      </c>
      <c r="C93" s="145" t="inlineStr">
        <is>
          <t>Гвозди строительные с плоской головкой: 1,6x50 мм</t>
        </is>
      </c>
      <c r="D93" s="146" t="inlineStr">
        <is>
          <t>т</t>
        </is>
      </c>
      <c r="E93" s="96" t="n">
        <v>0.0044</v>
      </c>
      <c r="F93" s="163" t="n">
        <v>8475</v>
      </c>
      <c r="G93" s="14">
        <f>ROUND(F93*E93,2)</f>
        <v/>
      </c>
      <c r="H93" s="150">
        <f>G93/$G$110</f>
        <v/>
      </c>
      <c r="I93" s="14">
        <f>ROUND(F93*Прил.10!$D$12,2)</f>
        <v/>
      </c>
      <c r="J93" s="14">
        <f>ROUND(I93*E93,2)</f>
        <v/>
      </c>
    </row>
    <row r="94" outlineLevel="1" ht="14.25" customFormat="1" customHeight="1" s="119">
      <c r="A94" s="146" t="n">
        <v>66</v>
      </c>
      <c r="B94" s="53" t="inlineStr">
        <is>
          <t>509-0031</t>
        </is>
      </c>
      <c r="C94" s="145" t="inlineStr">
        <is>
          <t>Муфты соединительные</t>
        </is>
      </c>
      <c r="D94" s="146" t="inlineStr">
        <is>
          <t>шт.</t>
        </is>
      </c>
      <c r="E94" s="96" t="n">
        <v>42</v>
      </c>
      <c r="F94" s="163" t="n">
        <v>0.71</v>
      </c>
      <c r="G94" s="14">
        <f>ROUND(F94*E94,2)</f>
        <v/>
      </c>
      <c r="H94" s="150">
        <f>G94/$G$110</f>
        <v/>
      </c>
      <c r="I94" s="14">
        <f>ROUND(F94*Прил.10!$D$12,2)</f>
        <v/>
      </c>
      <c r="J94" s="14">
        <f>ROUND(I94*E94,2)</f>
        <v/>
      </c>
    </row>
    <row r="95" outlineLevel="1" ht="14.25" customFormat="1" customHeight="1" s="119">
      <c r="A95" s="146" t="n">
        <v>67</v>
      </c>
      <c r="B95" s="53" t="inlineStr">
        <is>
          <t>101-0113</t>
        </is>
      </c>
      <c r="C95" s="145" t="inlineStr">
        <is>
          <t>Бязь суровая арт. 6804</t>
        </is>
      </c>
      <c r="D95" s="146" t="inlineStr">
        <is>
          <t>10 м2</t>
        </is>
      </c>
      <c r="E95" s="96" t="n">
        <v>0.252</v>
      </c>
      <c r="F95" s="163" t="n">
        <v>79.09999999999999</v>
      </c>
      <c r="G95" s="14">
        <f>ROUND(F95*E95,2)</f>
        <v/>
      </c>
      <c r="H95" s="150">
        <f>G95/$G$110</f>
        <v/>
      </c>
      <c r="I95" s="14">
        <f>ROUND(F95*Прил.10!$D$12,2)</f>
        <v/>
      </c>
      <c r="J95" s="14">
        <f>ROUND(I95*E95,2)</f>
        <v/>
      </c>
    </row>
    <row r="96" outlineLevel="1" ht="14.25" customFormat="1" customHeight="1" s="119">
      <c r="A96" s="146" t="n">
        <v>68</v>
      </c>
      <c r="B96" s="53" t="inlineStr">
        <is>
          <t>101-1728</t>
        </is>
      </c>
      <c r="C96" s="145" t="inlineStr">
        <is>
          <t>Дюбели распорные с гайкой</t>
        </is>
      </c>
      <c r="D96" s="146" t="inlineStr">
        <is>
          <t>100 шт.</t>
        </is>
      </c>
      <c r="E96" s="96" t="n">
        <v>0.1256</v>
      </c>
      <c r="F96" s="163" t="n">
        <v>110</v>
      </c>
      <c r="G96" s="14">
        <f>ROUND(F96*E96,2)</f>
        <v/>
      </c>
      <c r="H96" s="150">
        <f>G96/$G$110</f>
        <v/>
      </c>
      <c r="I96" s="14">
        <f>ROUND(F96*Прил.10!$D$12,2)</f>
        <v/>
      </c>
      <c r="J96" s="14">
        <f>ROUND(I96*E96,2)</f>
        <v/>
      </c>
    </row>
    <row r="97" outlineLevel="1" ht="14.25" customFormat="1" customHeight="1" s="119">
      <c r="A97" s="146" t="n">
        <v>69</v>
      </c>
      <c r="B97" s="53" t="inlineStr">
        <is>
          <t>01.3.02.08-0001</t>
        </is>
      </c>
      <c r="C97" s="145" t="inlineStr">
        <is>
          <t>Кислород технический: газообразный</t>
        </is>
      </c>
      <c r="D97" s="146" t="inlineStr">
        <is>
          <t>м3</t>
        </is>
      </c>
      <c r="E97" s="96" t="n">
        <v>2.2</v>
      </c>
      <c r="F97" s="163" t="n">
        <v>6.22</v>
      </c>
      <c r="G97" s="14">
        <f>ROUND(F97*E97,2)</f>
        <v/>
      </c>
      <c r="H97" s="150">
        <f>G97/$G$110</f>
        <v/>
      </c>
      <c r="I97" s="14">
        <f>ROUND(F97*Прил.10!$D$12,2)</f>
        <v/>
      </c>
      <c r="J97" s="14">
        <f>ROUND(I97*E97,2)</f>
        <v/>
      </c>
    </row>
    <row r="98" outlineLevel="1" ht="25.5" customFormat="1" customHeight="1" s="119">
      <c r="A98" s="146" t="n">
        <v>70</v>
      </c>
      <c r="B98" s="53" t="inlineStr">
        <is>
          <t>101-1306</t>
        </is>
      </c>
      <c r="C98" s="145" t="inlineStr">
        <is>
          <t>Портландцемент общестроительного назначения бездобавочный, марки 500</t>
        </is>
      </c>
      <c r="D98" s="146" t="inlineStr">
        <is>
          <t>т</t>
        </is>
      </c>
      <c r="E98" s="96" t="n">
        <v>0.0283</v>
      </c>
      <c r="F98" s="163" t="n">
        <v>480</v>
      </c>
      <c r="G98" s="14">
        <f>ROUND(F98*E98,2)</f>
        <v/>
      </c>
      <c r="H98" s="150">
        <f>G98/$G$110</f>
        <v/>
      </c>
      <c r="I98" s="14">
        <f>ROUND(F98*Прил.10!$D$12,2)</f>
        <v/>
      </c>
      <c r="J98" s="14">
        <f>ROUND(I98*E98,2)</f>
        <v/>
      </c>
    </row>
    <row r="99" outlineLevel="1" ht="14.25" customFormat="1" customHeight="1" s="119">
      <c r="A99" s="146" t="n">
        <v>71</v>
      </c>
      <c r="B99" s="53" t="inlineStr">
        <is>
          <t>509-0783</t>
        </is>
      </c>
      <c r="C99" s="145" t="inlineStr">
        <is>
          <t>Втулки изолирующие</t>
        </is>
      </c>
      <c r="D99" s="146" t="inlineStr">
        <is>
          <t>шт.</t>
        </is>
      </c>
      <c r="E99" s="96" t="n">
        <v>42</v>
      </c>
      <c r="F99" s="163" t="n">
        <v>0.27</v>
      </c>
      <c r="G99" s="14">
        <f>ROUND(F99*E99,2)</f>
        <v/>
      </c>
      <c r="H99" s="150">
        <f>G99/$G$110</f>
        <v/>
      </c>
      <c r="I99" s="14">
        <f>ROUND(F99*Прил.10!$D$12,2)</f>
        <v/>
      </c>
      <c r="J99" s="14">
        <f>ROUND(I99*E99,2)</f>
        <v/>
      </c>
    </row>
    <row r="100" outlineLevel="1" ht="25.5" customFormat="1" customHeight="1" s="119">
      <c r="A100" s="146" t="n">
        <v>72</v>
      </c>
      <c r="B100" s="53" t="inlineStr">
        <is>
          <t>506-1362</t>
        </is>
      </c>
      <c r="C100" s="145" t="inlineStr">
        <is>
          <t>Припои оловянно-свинцовые бессурьмянистые марки ПОС30</t>
        </is>
      </c>
      <c r="D100" s="146" t="inlineStr">
        <is>
          <t>кг</t>
        </is>
      </c>
      <c r="E100" s="96" t="n">
        <v>0.1404</v>
      </c>
      <c r="F100" s="163" t="n">
        <v>68.05</v>
      </c>
      <c r="G100" s="14">
        <f>ROUND(F100*E100,2)</f>
        <v/>
      </c>
      <c r="H100" s="150">
        <f>G100/$G$110</f>
        <v/>
      </c>
      <c r="I100" s="14">
        <f>ROUND(F100*Прил.10!$D$12,2)</f>
        <v/>
      </c>
      <c r="J100" s="14">
        <f>ROUND(I100*E100,2)</f>
        <v/>
      </c>
    </row>
    <row r="101" outlineLevel="1" ht="25.5" customFormat="1" customHeight="1" s="119">
      <c r="A101" s="146" t="n">
        <v>73</v>
      </c>
      <c r="B101" s="53" t="inlineStr">
        <is>
          <t>01.7.07.12-0021</t>
        </is>
      </c>
      <c r="C101" s="145" t="inlineStr">
        <is>
          <t>Пленка полиэтиленовая толщиной: 0,2-0,5 мм</t>
        </is>
      </c>
      <c r="D101" s="146" t="inlineStr">
        <is>
          <t>т</t>
        </is>
      </c>
      <c r="E101" s="96" t="n">
        <v>0.0002</v>
      </c>
      <c r="F101" s="163" t="n">
        <v>23500</v>
      </c>
      <c r="G101" s="14">
        <f>ROUND(F101*E101,2)</f>
        <v/>
      </c>
      <c r="H101" s="150">
        <f>G101/$G$110</f>
        <v/>
      </c>
      <c r="I101" s="14">
        <f>ROUND(F101*Прил.10!$D$12,2)</f>
        <v/>
      </c>
      <c r="J101" s="14">
        <f>ROUND(I101*E101,2)</f>
        <v/>
      </c>
    </row>
    <row r="102" outlineLevel="1" ht="14.25" customFormat="1" customHeight="1" s="119">
      <c r="A102" s="146" t="n">
        <v>74</v>
      </c>
      <c r="B102" s="53" t="inlineStr">
        <is>
          <t>101-4621</t>
        </is>
      </c>
      <c r="C102" s="145" t="inlineStr">
        <is>
          <t>Шуруп самонарезающий (LN) 3,5/11 мм</t>
        </is>
      </c>
      <c r="D102" s="146" t="inlineStr">
        <is>
          <t>шт.</t>
        </is>
      </c>
      <c r="E102" s="96" t="n">
        <v>176.8</v>
      </c>
      <c r="F102" s="163" t="n">
        <v>0.02</v>
      </c>
      <c r="G102" s="14">
        <f>ROUND(F102*E102,2)</f>
        <v/>
      </c>
      <c r="H102" s="150">
        <f>G102/$G$110</f>
        <v/>
      </c>
      <c r="I102" s="14">
        <f>ROUND(F102*Прил.10!$D$12,2)</f>
        <v/>
      </c>
      <c r="J102" s="14">
        <f>ROUND(I102*E102,2)</f>
        <v/>
      </c>
    </row>
    <row r="103" outlineLevel="1" ht="14.25" customFormat="1" customHeight="1" s="119">
      <c r="A103" s="146" t="n">
        <v>75</v>
      </c>
      <c r="B103" s="53" t="inlineStr">
        <is>
          <t>113-1786</t>
        </is>
      </c>
      <c r="C103" s="145" t="inlineStr">
        <is>
          <t>Лак битумный БТ-123</t>
        </is>
      </c>
      <c r="D103" s="146" t="inlineStr">
        <is>
          <t>т</t>
        </is>
      </c>
      <c r="E103" s="96" t="n">
        <v>0.0004</v>
      </c>
      <c r="F103" s="163" t="n">
        <v>7826.9</v>
      </c>
      <c r="G103" s="14">
        <f>ROUND(F103*E103,2)</f>
        <v/>
      </c>
      <c r="H103" s="150">
        <f>G103/$G$110</f>
        <v/>
      </c>
      <c r="I103" s="14">
        <f>ROUND(F103*Прил.10!$D$12,2)</f>
        <v/>
      </c>
      <c r="J103" s="14">
        <f>ROUND(I103*E103,2)</f>
        <v/>
      </c>
    </row>
    <row r="104" outlineLevel="1" ht="14.25" customFormat="1" customHeight="1" s="119">
      <c r="A104" s="146" t="n">
        <v>76</v>
      </c>
      <c r="B104" s="53" t="inlineStr">
        <is>
          <t>101-2478</t>
        </is>
      </c>
      <c r="C104" s="145" t="inlineStr">
        <is>
          <t>Лента К226</t>
        </is>
      </c>
      <c r="D104" s="146" t="inlineStr">
        <is>
          <t>100 м</t>
        </is>
      </c>
      <c r="E104" s="96" t="n">
        <v>0.0132</v>
      </c>
      <c r="F104" s="163" t="n">
        <v>120</v>
      </c>
      <c r="G104" s="14">
        <f>ROUND(F104*E104,2)</f>
        <v/>
      </c>
      <c r="H104" s="150">
        <f>G104/$G$110</f>
        <v/>
      </c>
      <c r="I104" s="14">
        <f>ROUND(F104*Прил.10!$D$12,2)</f>
        <v/>
      </c>
      <c r="J104" s="14">
        <f>ROUND(I104*E104,2)</f>
        <v/>
      </c>
    </row>
    <row r="105" outlineLevel="1" ht="14.25" customFormat="1" customHeight="1" s="119">
      <c r="A105" s="146" t="n">
        <v>77</v>
      </c>
      <c r="B105" s="53" t="inlineStr">
        <is>
          <t>101-2357</t>
        </is>
      </c>
      <c r="C105" s="145" t="inlineStr">
        <is>
          <t>Бумага шлифовальная</t>
        </is>
      </c>
      <c r="D105" s="146" t="inlineStr">
        <is>
          <t>лист</t>
        </is>
      </c>
      <c r="E105" s="96" t="n">
        <v>0.4</v>
      </c>
      <c r="F105" s="163" t="n">
        <v>3.75</v>
      </c>
      <c r="G105" s="14">
        <f>ROUND(F105*E105,2)</f>
        <v/>
      </c>
      <c r="H105" s="150">
        <f>G105/$G$110</f>
        <v/>
      </c>
      <c r="I105" s="14">
        <f>ROUND(F105*Прил.10!$D$12,2)</f>
        <v/>
      </c>
      <c r="J105" s="14">
        <f>ROUND(I105*E105,2)</f>
        <v/>
      </c>
    </row>
    <row r="106" outlineLevel="1" ht="25.5" customFormat="1" customHeight="1" s="119">
      <c r="A106" s="146" t="n">
        <v>78</v>
      </c>
      <c r="B106" s="53" t="inlineStr">
        <is>
          <t>408-0141</t>
        </is>
      </c>
      <c r="C106" s="145" t="inlineStr">
        <is>
          <t>Песок природный для строительных растворов средний</t>
        </is>
      </c>
      <c r="D106" s="146" t="inlineStr">
        <is>
          <t>м3</t>
        </is>
      </c>
      <c r="E106" s="96" t="n">
        <v>0.0236</v>
      </c>
      <c r="F106" s="163" t="n">
        <v>59.99</v>
      </c>
      <c r="G106" s="14">
        <f>ROUND(F106*E106,2)</f>
        <v/>
      </c>
      <c r="H106" s="150">
        <f>G106/$G$110</f>
        <v/>
      </c>
      <c r="I106" s="14">
        <f>ROUND(F106*Прил.10!$D$12,2)</f>
        <v/>
      </c>
      <c r="J106" s="14">
        <f>ROUND(I106*E106,2)</f>
        <v/>
      </c>
    </row>
    <row r="107" outlineLevel="1" ht="14.25" customFormat="1" customHeight="1" s="119">
      <c r="A107" s="146" t="n">
        <v>79</v>
      </c>
      <c r="B107" s="53" t="inlineStr">
        <is>
          <t>01.7.02.09-0002</t>
        </is>
      </c>
      <c r="C107" s="145" t="inlineStr">
        <is>
          <t>Шпагат бумажный</t>
        </is>
      </c>
      <c r="D107" s="146" t="inlineStr">
        <is>
          <t>кг</t>
        </is>
      </c>
      <c r="E107" s="96" t="n">
        <v>0.11</v>
      </c>
      <c r="F107" s="163" t="n">
        <v>11.5</v>
      </c>
      <c r="G107" s="14">
        <f>ROUND(F107*E107,2)</f>
        <v/>
      </c>
      <c r="H107" s="150">
        <f>G107/$G$110</f>
        <v/>
      </c>
      <c r="I107" s="14">
        <f>ROUND(F107*Прил.10!$D$12,2)</f>
        <v/>
      </c>
      <c r="J107" s="14">
        <f>ROUND(I107*E107,2)</f>
        <v/>
      </c>
    </row>
    <row r="108" outlineLevel="1" ht="14.25" customFormat="1" customHeight="1" s="119">
      <c r="A108" s="146" t="n">
        <v>80</v>
      </c>
      <c r="B108" s="53" t="inlineStr">
        <is>
          <t>101-1481</t>
        </is>
      </c>
      <c r="C108" s="145" t="inlineStr">
        <is>
          <t>Шурупы с полукруглой головкой 4x40 мм</t>
        </is>
      </c>
      <c r="D108" s="146" t="inlineStr">
        <is>
          <t>т</t>
        </is>
      </c>
      <c r="E108" s="96" t="n">
        <v>0.0001</v>
      </c>
      <c r="F108" s="163" t="n">
        <v>12430</v>
      </c>
      <c r="G108" s="14">
        <f>ROUND(F108*E108,2)</f>
        <v/>
      </c>
      <c r="H108" s="150">
        <f>G108/$G$110</f>
        <v/>
      </c>
      <c r="I108" s="14">
        <f>ROUND(F108*Прил.10!$D$12,2)</f>
        <v/>
      </c>
      <c r="J108" s="14">
        <f>ROUND(I108*E108,2)</f>
        <v/>
      </c>
    </row>
    <row r="109" ht="14.25" customFormat="1" customHeight="1" s="119">
      <c r="A109" s="146" t="n"/>
      <c r="B109" s="146" t="n"/>
      <c r="C109" s="145" t="inlineStr">
        <is>
          <t>Итого прочие материалы</t>
        </is>
      </c>
      <c r="D109" s="146" t="n"/>
      <c r="E109" s="147" t="n"/>
      <c r="F109" s="148" t="n"/>
      <c r="G109" s="14">
        <f>SUM(G57:G108)</f>
        <v/>
      </c>
      <c r="H109" s="150">
        <f>G109/G110</f>
        <v/>
      </c>
      <c r="I109" s="14" t="n"/>
      <c r="J109" s="14">
        <f>SUM(J57:J108)</f>
        <v/>
      </c>
    </row>
    <row r="110" ht="14.25" customFormat="1" customHeight="1" s="119">
      <c r="A110" s="146" t="n"/>
      <c r="B110" s="146" t="n"/>
      <c r="C110" s="137" t="inlineStr">
        <is>
          <t>Итого по разделу «Материалы»</t>
        </is>
      </c>
      <c r="D110" s="146" t="n"/>
      <c r="E110" s="147" t="n"/>
      <c r="F110" s="148" t="n"/>
      <c r="G110" s="14">
        <f>G56+G109</f>
        <v/>
      </c>
      <c r="H110" s="150" t="n">
        <v>1</v>
      </c>
      <c r="I110" s="148" t="n"/>
      <c r="J110" s="14">
        <f>J56+J109</f>
        <v/>
      </c>
    </row>
    <row r="111" ht="14.25" customFormat="1" customHeight="1" s="119">
      <c r="A111" s="146" t="n"/>
      <c r="B111" s="146" t="n"/>
      <c r="C111" s="145" t="inlineStr">
        <is>
          <t>ИТОГО ПО РМ</t>
        </is>
      </c>
      <c r="D111" s="146" t="n"/>
      <c r="E111" s="147" t="n"/>
      <c r="F111" s="148" t="n"/>
      <c r="G111" s="14">
        <f>G14+G34+G110</f>
        <v/>
      </c>
      <c r="H111" s="150" t="n"/>
      <c r="I111" s="148" t="n"/>
      <c r="J111" s="14">
        <f>J14+J34+J110</f>
        <v/>
      </c>
    </row>
    <row r="112" ht="14.25" customFormat="1" customHeight="1" s="119">
      <c r="A112" s="146" t="n"/>
      <c r="B112" s="146" t="n"/>
      <c r="C112" s="145" t="inlineStr">
        <is>
          <t>Накладные расходы</t>
        </is>
      </c>
      <c r="D112" s="146" t="inlineStr">
        <is>
          <t>%</t>
        </is>
      </c>
      <c r="E112" s="106">
        <f>ROUND(G112/(G14+G16),2)</f>
        <v/>
      </c>
      <c r="F112" s="148" t="n"/>
      <c r="G112" s="14" t="n">
        <v>50604</v>
      </c>
      <c r="H112" s="150" t="n"/>
      <c r="I112" s="148" t="n"/>
      <c r="J112" s="14">
        <f>ROUND(E112*(J14+J16),2)</f>
        <v/>
      </c>
      <c r="K112" s="54" t="n"/>
    </row>
    <row r="113" ht="14.25" customFormat="1" customHeight="1" s="119">
      <c r="A113" s="146" t="n"/>
      <c r="B113" s="146" t="n"/>
      <c r="C113" s="145" t="inlineStr">
        <is>
          <t>Сметная прибыль</t>
        </is>
      </c>
      <c r="D113" s="146" t="inlineStr">
        <is>
          <t>%</t>
        </is>
      </c>
      <c r="E113" s="106">
        <f>ROUND(G113/(G14+G16),2)</f>
        <v/>
      </c>
      <c r="F113" s="148" t="n"/>
      <c r="G113" s="14" t="n">
        <v>32893</v>
      </c>
      <c r="H113" s="150" t="n"/>
      <c r="I113" s="148" t="n"/>
      <c r="J113" s="14">
        <f>ROUND(E113*(J14+J16),2)</f>
        <v/>
      </c>
      <c r="K113" s="54" t="n"/>
    </row>
    <row r="114" ht="14.25" customFormat="1" customHeight="1" s="119">
      <c r="A114" s="146" t="n"/>
      <c r="B114" s="146" t="n"/>
      <c r="C114" s="145" t="inlineStr">
        <is>
          <t>Итого СМР (с НР и СП)</t>
        </is>
      </c>
      <c r="D114" s="146" t="n"/>
      <c r="E114" s="147" t="n"/>
      <c r="F114" s="148" t="n"/>
      <c r="G114" s="14">
        <f>G14+G34+G110+G112+G113</f>
        <v/>
      </c>
      <c r="H114" s="150" t="n"/>
      <c r="I114" s="148" t="n"/>
      <c r="J114" s="14">
        <f>J14+J34+J110+J112+J113</f>
        <v/>
      </c>
      <c r="L114" s="55" t="n"/>
    </row>
    <row r="115" ht="14.25" customFormat="1" customHeight="1" s="119">
      <c r="A115" s="146" t="n"/>
      <c r="B115" s="146" t="n"/>
      <c r="C115" s="145" t="inlineStr">
        <is>
          <t>ВСЕГО СМР + ОБОРУДОВАНИЕ</t>
        </is>
      </c>
      <c r="D115" s="146" t="n"/>
      <c r="E115" s="147" t="n"/>
      <c r="F115" s="148" t="n"/>
      <c r="G115" s="14">
        <f>G114+G44</f>
        <v/>
      </c>
      <c r="H115" s="150" t="n"/>
      <c r="I115" s="148" t="n"/>
      <c r="J115" s="14">
        <f>J114+J44</f>
        <v/>
      </c>
      <c r="L115" s="54" t="n"/>
    </row>
    <row r="116" ht="14.25" customFormat="1" customHeight="1" s="119">
      <c r="A116" s="146" t="n"/>
      <c r="B116" s="146" t="n"/>
      <c r="C116" s="145" t="inlineStr">
        <is>
          <t>ИТОГО ПОКАЗАТЕЛЬ НА ЕД. ИЗМ.</t>
        </is>
      </c>
      <c r="D116" s="146" t="inlineStr">
        <is>
          <t>ед.</t>
        </is>
      </c>
      <c r="E116" s="114" t="n">
        <v>1</v>
      </c>
      <c r="F116" s="148" t="n"/>
      <c r="G116" s="14">
        <f>G115/E116</f>
        <v/>
      </c>
      <c r="H116" s="150" t="n"/>
      <c r="I116" s="148" t="n"/>
      <c r="J116" s="14">
        <f>J115/E116</f>
        <v/>
      </c>
      <c r="L116" s="54" t="n"/>
    </row>
    <row r="118" ht="14.25" customFormat="1" customHeight="1" s="119">
      <c r="A118" s="117" t="n"/>
    </row>
    <row r="119" ht="14.25" customFormat="1" customHeight="1" s="119">
      <c r="A119" s="109" t="inlineStr">
        <is>
          <t>Составил ______________________        Е.А. Князева</t>
        </is>
      </c>
    </row>
    <row r="120" ht="14.25" customFormat="1" customHeight="1" s="119">
      <c r="A120" s="120" t="inlineStr">
        <is>
          <t xml:space="preserve">                         (подпись, инициалы, фамилия)</t>
        </is>
      </c>
    </row>
    <row r="121" ht="14.25" customFormat="1" customHeight="1" s="119">
      <c r="A121" s="109" t="n"/>
    </row>
    <row r="122" ht="14.25" customFormat="1" customHeight="1" s="119">
      <c r="A122" s="109" t="inlineStr">
        <is>
          <t>Проверил ______________________        А.В. Костянецкая</t>
        </is>
      </c>
    </row>
    <row r="123" ht="14.25" customFormat="1" customHeight="1" s="119">
      <c r="A123" s="120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47:H47"/>
    <mergeCell ref="B9:B10"/>
    <mergeCell ref="D9:D10"/>
    <mergeCell ref="B18:H18"/>
    <mergeCell ref="B36:J36"/>
    <mergeCell ref="B12:H12"/>
    <mergeCell ref="D6:J6"/>
    <mergeCell ref="B35:J35"/>
    <mergeCell ref="F9:G9"/>
    <mergeCell ref="A4:H4"/>
    <mergeCell ref="B17:H17"/>
    <mergeCell ref="A9:A10"/>
    <mergeCell ref="B46:J46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08" min="1" max="1"/>
    <col width="14.85546875" customWidth="1" style="108" min="2" max="2"/>
    <col width="39.140625" customWidth="1" style="108" min="3" max="3"/>
    <col width="8.28515625" customWidth="1" style="108" min="4" max="4"/>
    <col width="13.5703125" customWidth="1" style="108" min="5" max="5"/>
    <col width="12.42578125" customWidth="1" style="108" min="6" max="6"/>
    <col width="14.140625" customWidth="1" style="108" min="7" max="7"/>
  </cols>
  <sheetData>
    <row r="1">
      <c r="A1" s="165" t="inlineStr">
        <is>
          <t>Приложение №6</t>
        </is>
      </c>
    </row>
    <row r="2" ht="21.75" customHeight="1" s="108">
      <c r="A2" s="165" t="n"/>
      <c r="B2" s="165" t="n"/>
      <c r="C2" s="165" t="n"/>
      <c r="D2" s="165" t="n"/>
      <c r="E2" s="165" t="n"/>
      <c r="F2" s="165" t="n"/>
      <c r="G2" s="165" t="n"/>
    </row>
    <row r="3">
      <c r="A3" s="142" t="inlineStr">
        <is>
          <t>Расчет стоимости оборудования</t>
        </is>
      </c>
    </row>
    <row r="4" ht="25.5" customHeight="1" s="108">
      <c r="A4" s="164">
        <f>'Прил.1 Сравнит табл'!B7</f>
        <v/>
      </c>
    </row>
    <row r="5">
      <c r="A5" s="109" t="n"/>
      <c r="B5" s="109" t="n"/>
      <c r="C5" s="109" t="n"/>
      <c r="D5" s="109" t="n"/>
      <c r="E5" s="109" t="n"/>
      <c r="F5" s="109" t="n"/>
      <c r="G5" s="109" t="n"/>
    </row>
    <row r="6" ht="30" customHeight="1" s="108">
      <c r="A6" s="166" t="inlineStr">
        <is>
          <t>№ пп.</t>
        </is>
      </c>
      <c r="B6" s="166" t="inlineStr">
        <is>
          <t>Код ресурса</t>
        </is>
      </c>
      <c r="C6" s="166" t="inlineStr">
        <is>
          <t>Наименование</t>
        </is>
      </c>
      <c r="D6" s="166" t="inlineStr">
        <is>
          <t>Ед. изм.</t>
        </is>
      </c>
      <c r="E6" s="146" t="inlineStr">
        <is>
          <t>Кол-во единиц по проектным данным</t>
        </is>
      </c>
      <c r="F6" s="166" t="inlineStr">
        <is>
          <t>Сметная стоимость в ценах на 01.01.2000 (руб.)</t>
        </is>
      </c>
      <c r="G6" s="173" t="n"/>
    </row>
    <row r="7">
      <c r="A7" s="175" t="n"/>
      <c r="B7" s="175" t="n"/>
      <c r="C7" s="175" t="n"/>
      <c r="D7" s="175" t="n"/>
      <c r="E7" s="175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 s="108">
      <c r="A9" s="7" t="n"/>
      <c r="B9" s="145" t="inlineStr">
        <is>
          <t>ИНЖЕНЕРНОЕ ОБОРУДОВАНИЕ</t>
        </is>
      </c>
      <c r="C9" s="172" t="n"/>
      <c r="D9" s="172" t="n"/>
      <c r="E9" s="172" t="n"/>
      <c r="F9" s="172" t="n"/>
      <c r="G9" s="173" t="n"/>
    </row>
    <row r="10" ht="27" customHeight="1" s="108">
      <c r="A10" s="146" t="n"/>
      <c r="B10" s="137" t="n"/>
      <c r="C10" s="145" t="inlineStr">
        <is>
          <t>ИТОГО ИНЖЕНЕРНОЕ ОБОРУДОВАНИЕ</t>
        </is>
      </c>
      <c r="D10" s="137" t="n"/>
      <c r="E10" s="8" t="n"/>
      <c r="F10" s="148" t="n"/>
      <c r="G10" s="148" t="n">
        <v>0</v>
      </c>
    </row>
    <row r="11">
      <c r="A11" s="146" t="n"/>
      <c r="B11" s="145" t="inlineStr">
        <is>
          <t>ТЕХНОЛОГИЧЕСКОЕ ОБОРУДОВАНИЕ</t>
        </is>
      </c>
      <c r="C11" s="172" t="n"/>
      <c r="D11" s="172" t="n"/>
      <c r="E11" s="172" t="n"/>
      <c r="F11" s="172" t="n"/>
      <c r="G11" s="173" t="n"/>
    </row>
    <row r="12" ht="25.5" customHeight="1" s="108">
      <c r="A12" s="146" t="n">
        <v>1</v>
      </c>
      <c r="B12" s="53">
        <f>'Прил.5 Расчет СМР и ОБ'!B37</f>
        <v/>
      </c>
      <c r="C12" s="89">
        <f>'Прил.5 Расчет СМР и ОБ'!C37</f>
        <v/>
      </c>
      <c r="D12" s="53">
        <f>'Прил.5 Расчет СМР и ОБ'!D37</f>
        <v/>
      </c>
      <c r="E12" s="53">
        <f>'Прил.5 Расчет СМР и ОБ'!E37</f>
        <v/>
      </c>
      <c r="F12" s="14">
        <f>'Прил.5 Расчет СМР и ОБ'!F37</f>
        <v/>
      </c>
      <c r="G12" s="14">
        <f>ROUND(E12*F12,2)</f>
        <v/>
      </c>
    </row>
    <row r="13" ht="25.5" customHeight="1" s="108">
      <c r="A13" s="146">
        <f>A12+1</f>
        <v/>
      </c>
      <c r="B13" s="53">
        <f>'Прил.5 Расчет СМР и ОБ'!B38</f>
        <v/>
      </c>
      <c r="C13" s="89">
        <f>'Прил.5 Расчет СМР и ОБ'!C38</f>
        <v/>
      </c>
      <c r="D13" s="53">
        <f>'Прил.5 Расчет СМР и ОБ'!D38</f>
        <v/>
      </c>
      <c r="E13" s="53">
        <f>'Прил.5 Расчет СМР и ОБ'!E38</f>
        <v/>
      </c>
      <c r="F13" s="14">
        <f>'Прил.5 Расчет СМР и ОБ'!F38</f>
        <v/>
      </c>
      <c r="G13" s="14">
        <f>ROUND(E13*F13,2)</f>
        <v/>
      </c>
    </row>
    <row r="14">
      <c r="A14" s="146">
        <f>A13+1</f>
        <v/>
      </c>
      <c r="B14" s="53">
        <f>'Прил.5 Расчет СМР и ОБ'!B39</f>
        <v/>
      </c>
      <c r="C14" s="89">
        <f>'Прил.5 Расчет СМР и ОБ'!C39</f>
        <v/>
      </c>
      <c r="D14" s="53">
        <f>'Прил.5 Расчет СМР и ОБ'!D39</f>
        <v/>
      </c>
      <c r="E14" s="53">
        <f>'Прил.5 Расчет СМР и ОБ'!E39</f>
        <v/>
      </c>
      <c r="F14" s="14">
        <f>'Прил.5 Расчет СМР и ОБ'!F39</f>
        <v/>
      </c>
      <c r="G14" s="14">
        <f>ROUND(E14*F14,2)</f>
        <v/>
      </c>
    </row>
    <row r="15" ht="25.5" customHeight="1" s="108">
      <c r="A15" s="146">
        <f>A14+1</f>
        <v/>
      </c>
      <c r="B15" s="53">
        <f>'Прил.5 Расчет СМР и ОБ'!B41</f>
        <v/>
      </c>
      <c r="C15" s="89">
        <f>'Прил.5 Расчет СМР и ОБ'!C41</f>
        <v/>
      </c>
      <c r="D15" s="53">
        <f>'Прил.5 Расчет СМР и ОБ'!D41</f>
        <v/>
      </c>
      <c r="E15" s="53">
        <f>'Прил.5 Расчет СМР и ОБ'!E41</f>
        <v/>
      </c>
      <c r="F15" s="14">
        <f>'Прил.5 Расчет СМР и ОБ'!F41</f>
        <v/>
      </c>
      <c r="G15" s="14">
        <f>ROUND(E15*F15,2)</f>
        <v/>
      </c>
    </row>
    <row r="16" ht="25.5" customHeight="1" s="108">
      <c r="A16" s="146">
        <f>A15+1</f>
        <v/>
      </c>
      <c r="B16" s="53">
        <f>'Прил.5 Расчет СМР и ОБ'!B42</f>
        <v/>
      </c>
      <c r="C16" s="89">
        <f>'Прил.5 Расчет СМР и ОБ'!C42</f>
        <v/>
      </c>
      <c r="D16" s="53">
        <f>'Прил.5 Расчет СМР и ОБ'!D42</f>
        <v/>
      </c>
      <c r="E16" s="53">
        <f>'Прил.5 Расчет СМР и ОБ'!E42</f>
        <v/>
      </c>
      <c r="F16" s="14">
        <f>'Прил.5 Расчет СМР и ОБ'!F42</f>
        <v/>
      </c>
      <c r="G16" s="14">
        <f>ROUND(E16*F16,2)</f>
        <v/>
      </c>
    </row>
    <row r="17" ht="25.5" customHeight="1" s="108">
      <c r="A17" s="146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48" t="n"/>
      <c r="G17" s="14">
        <f>SUM(G12:G16)</f>
        <v/>
      </c>
    </row>
    <row r="18" ht="19.5" customHeight="1" s="108">
      <c r="A18" s="146" t="n"/>
      <c r="B18" s="145" t="n"/>
      <c r="C18" s="145" t="inlineStr">
        <is>
          <t>Всего по разделу «Оборудование»</t>
        </is>
      </c>
      <c r="D18" s="145" t="n"/>
      <c r="E18" s="163" t="n"/>
      <c r="F18" s="148" t="n"/>
      <c r="G18" s="14">
        <f>G10+G17</f>
        <v/>
      </c>
    </row>
    <row r="19">
      <c r="A19" s="117" t="n"/>
      <c r="B19" s="118" t="n"/>
      <c r="C19" s="117" t="n"/>
      <c r="D19" s="117" t="n"/>
      <c r="E19" s="117" t="n"/>
      <c r="F19" s="117" t="n"/>
      <c r="G19" s="117" t="n"/>
    </row>
    <row r="20">
      <c r="A20" s="109" t="inlineStr">
        <is>
          <t>Составил ______________________        Е.А. Князева</t>
        </is>
      </c>
      <c r="B20" s="119" t="n"/>
      <c r="C20" s="119" t="n"/>
      <c r="D20" s="117" t="n"/>
      <c r="E20" s="117" t="n"/>
      <c r="F20" s="117" t="n"/>
      <c r="G20" s="117" t="n"/>
    </row>
    <row r="21">
      <c r="A21" s="120" t="inlineStr">
        <is>
          <t xml:space="preserve">                         (подпись, инициалы, фамилия)</t>
        </is>
      </c>
      <c r="B21" s="119" t="n"/>
      <c r="C21" s="119" t="n"/>
      <c r="D21" s="117" t="n"/>
      <c r="E21" s="117" t="n"/>
      <c r="F21" s="117" t="n"/>
      <c r="G21" s="117" t="n"/>
    </row>
    <row r="22">
      <c r="A22" s="109" t="n"/>
      <c r="B22" s="119" t="n"/>
      <c r="C22" s="119" t="n"/>
      <c r="D22" s="117" t="n"/>
      <c r="E22" s="117" t="n"/>
      <c r="F22" s="117" t="n"/>
      <c r="G22" s="117" t="n"/>
    </row>
    <row r="23">
      <c r="A23" s="109" t="inlineStr">
        <is>
          <t>Проверил ______________________        А.В. Костянецкая</t>
        </is>
      </c>
      <c r="B23" s="119" t="n"/>
      <c r="C23" s="119" t="n"/>
      <c r="D23" s="117" t="n"/>
      <c r="E23" s="117" t="n"/>
      <c r="F23" s="117" t="n"/>
      <c r="G23" s="117" t="n"/>
    </row>
    <row r="24">
      <c r="A24" s="120" t="inlineStr">
        <is>
          <t xml:space="preserve">                        (подпись, инициалы, фамилия)</t>
        </is>
      </c>
      <c r="B24" s="119" t="n"/>
      <c r="C24" s="119" t="n"/>
      <c r="D24" s="117" t="n"/>
      <c r="E24" s="117" t="n"/>
      <c r="F24" s="117" t="n"/>
      <c r="G24" s="1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08" min="1" max="1"/>
    <col width="29.7109375" customWidth="1" style="108" min="2" max="2"/>
    <col width="39.140625" customWidth="1" style="108" min="3" max="3"/>
    <col width="24.5703125" customWidth="1" style="108" min="4" max="4"/>
    <col width="8.85546875" customWidth="1" style="108" min="5" max="5"/>
  </cols>
  <sheetData>
    <row r="1">
      <c r="B1" s="109" t="n"/>
      <c r="C1" s="109" t="n"/>
      <c r="D1" s="165" t="inlineStr">
        <is>
          <t>Приложение №7</t>
        </is>
      </c>
    </row>
    <row r="2">
      <c r="A2" s="165" t="n"/>
      <c r="B2" s="165" t="n"/>
      <c r="C2" s="165" t="n"/>
      <c r="D2" s="165" t="n"/>
    </row>
    <row r="3" ht="24.75" customHeight="1" s="108">
      <c r="A3" s="142" t="inlineStr">
        <is>
          <t>Расчет показателя УНЦ</t>
        </is>
      </c>
    </row>
    <row r="4" ht="24.75" customHeight="1" s="108">
      <c r="A4" s="142" t="n"/>
      <c r="B4" s="142" t="n"/>
      <c r="C4" s="142" t="n"/>
      <c r="D4" s="142" t="n"/>
    </row>
    <row r="5" ht="45" customHeight="1" s="108">
      <c r="A5" s="155" t="inlineStr">
        <is>
          <t xml:space="preserve">Наименование разрабатываемого показателя УНЦ - </t>
        </is>
      </c>
      <c r="D5" s="155">
        <f>'Прил.5 Расчет СМР и ОБ'!D6:J6</f>
        <v/>
      </c>
    </row>
    <row r="6" ht="19.9" customHeight="1" s="108">
      <c r="A6" s="155" t="inlineStr">
        <is>
          <t>Единица измерения  — 1 ячейка</t>
        </is>
      </c>
      <c r="D6" s="155" t="n"/>
    </row>
    <row r="7">
      <c r="A7" s="109" t="n"/>
      <c r="B7" s="109" t="n"/>
      <c r="C7" s="109" t="n"/>
      <c r="D7" s="109" t="n"/>
    </row>
    <row r="8" ht="14.45" customHeight="1" s="108">
      <c r="A8" s="146" t="inlineStr">
        <is>
          <t>Код показателя</t>
        </is>
      </c>
      <c r="B8" s="146" t="inlineStr">
        <is>
          <t>Наименование показателя</t>
        </is>
      </c>
      <c r="C8" s="146" t="inlineStr">
        <is>
          <t>Наименование РМ, входящих в состав показателя</t>
        </is>
      </c>
      <c r="D8" s="146" t="inlineStr">
        <is>
          <t>Норматив цены на 01.01.2023, тыс.руб.</t>
        </is>
      </c>
    </row>
    <row r="9" ht="15" customHeight="1" s="108">
      <c r="A9" s="175" t="n"/>
      <c r="B9" s="175" t="n"/>
      <c r="C9" s="175" t="n"/>
      <c r="D9" s="175" t="n"/>
    </row>
    <row r="10">
      <c r="A10" s="146" t="n">
        <v>1</v>
      </c>
      <c r="B10" s="146" t="n">
        <v>2</v>
      </c>
      <c r="C10" s="146" t="n">
        <v>3</v>
      </c>
      <c r="D10" s="146" t="n">
        <v>4</v>
      </c>
    </row>
    <row r="11" ht="41.45" customHeight="1" s="108">
      <c r="A11" s="146" t="inlineStr">
        <is>
          <t>В2-06-1</t>
        </is>
      </c>
      <c r="B11" s="146" t="inlineStr">
        <is>
          <t>УНЦ ячейки выключателя НУ 6-35 кВ</t>
        </is>
      </c>
      <c r="C11" s="114">
        <f>D5</f>
        <v/>
      </c>
      <c r="D11" s="115">
        <f>'Прил.4 РМ'!C41/1000</f>
        <v/>
      </c>
      <c r="E11" s="116" t="n"/>
    </row>
    <row r="12" ht="15.75" customHeight="1" s="108">
      <c r="A12" s="117" t="n"/>
      <c r="B12" s="118" t="n"/>
      <c r="C12" s="117" t="n"/>
      <c r="D12" s="117" t="n"/>
    </row>
    <row r="13">
      <c r="A13" s="109" t="inlineStr">
        <is>
          <t>Составил ______________________      Е.А. Князева</t>
        </is>
      </c>
      <c r="B13" s="119" t="n"/>
      <c r="C13" s="119" t="n"/>
      <c r="D13" s="117" t="n"/>
    </row>
    <row r="14">
      <c r="A14" s="120" t="inlineStr">
        <is>
          <t xml:space="preserve">                         (подпись, инициалы, фамилия)</t>
        </is>
      </c>
      <c r="B14" s="119" t="n"/>
      <c r="C14" s="119" t="n"/>
      <c r="D14" s="117" t="n"/>
    </row>
    <row r="15">
      <c r="A15" s="109" t="n"/>
      <c r="B15" s="119" t="n"/>
      <c r="C15" s="119" t="n"/>
      <c r="D15" s="117" t="n"/>
    </row>
    <row r="16">
      <c r="A16" s="109" t="inlineStr">
        <is>
          <t>Проверил ______________________        А.В. Костянецкая</t>
        </is>
      </c>
      <c r="B16" s="119" t="n"/>
      <c r="C16" s="119" t="n"/>
      <c r="D16" s="117" t="n"/>
    </row>
    <row r="17">
      <c r="A17" s="120" t="inlineStr">
        <is>
          <t xml:space="preserve">                        (подпись, инициалы, фамилия)</t>
        </is>
      </c>
      <c r="B17" s="119" t="n"/>
      <c r="C17" s="119" t="n"/>
      <c r="D17" s="1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0" zoomScale="60" zoomScaleNormal="100" workbookViewId="0">
      <selection activeCell="C24" sqref="C24"/>
    </sheetView>
  </sheetViews>
  <sheetFormatPr baseColWidth="8" defaultRowHeight="15"/>
  <cols>
    <col width="40.7109375" customWidth="1" style="108" min="2" max="2"/>
    <col width="37" customWidth="1" style="108" min="3" max="3"/>
    <col width="32" customWidth="1" style="108" min="4" max="4"/>
  </cols>
  <sheetData>
    <row r="4" ht="15.75" customHeight="1" s="108">
      <c r="B4" s="130" t="inlineStr">
        <is>
          <t>Приложение № 10</t>
        </is>
      </c>
    </row>
    <row r="5" ht="18.75" customHeight="1" s="108">
      <c r="B5" s="35" t="n"/>
    </row>
    <row r="6" ht="15.75" customHeight="1" s="108">
      <c r="B6" s="135" t="inlineStr">
        <is>
          <t>Используемые индексы изменений сметной стоимости и нормы сопутствующих затрат</t>
        </is>
      </c>
    </row>
    <row r="7" ht="18.75" customHeight="1" s="108">
      <c r="B7" s="36" t="n"/>
    </row>
    <row r="8" ht="47.25" customHeight="1" s="108">
      <c r="B8" s="134" t="inlineStr">
        <is>
          <t>Наименование индекса / норм сопутствующих затрат</t>
        </is>
      </c>
      <c r="C8" s="134" t="inlineStr">
        <is>
          <t>Дата применения и обоснование индекса / норм сопутствующих затрат</t>
        </is>
      </c>
      <c r="D8" s="134" t="inlineStr">
        <is>
          <t>Размер индекса / норма сопутствующих затрат</t>
        </is>
      </c>
    </row>
    <row r="9" ht="15.75" customHeight="1" s="108">
      <c r="B9" s="134" t="n">
        <v>1</v>
      </c>
      <c r="C9" s="134" t="n">
        <v>2</v>
      </c>
      <c r="D9" s="134" t="n">
        <v>3</v>
      </c>
    </row>
    <row r="10" ht="45" customHeight="1" s="108">
      <c r="B10" s="134" t="inlineStr">
        <is>
          <t xml:space="preserve">Индекс изменения сметной стоимости на 1 квартал 2023 года. ОЗП </t>
        </is>
      </c>
      <c r="C10" s="134" t="inlineStr">
        <is>
          <t>Письмо Минстроя России от 30.03.2023г. №17106-ИФ/09  прил.1</t>
        </is>
      </c>
      <c r="D10" s="134" t="n">
        <v>44.29</v>
      </c>
    </row>
    <row r="11" ht="29.25" customHeight="1" s="108">
      <c r="B11" s="134" t="inlineStr">
        <is>
          <t>Индекс изменения сметной стоимости на 1 квартал 2023 года. ЭМ</t>
        </is>
      </c>
      <c r="C11" s="134" t="inlineStr">
        <is>
          <t>Письмо Минстроя России от 30.03.2023г. №17106-ИФ/09  прил.1</t>
        </is>
      </c>
      <c r="D11" s="134" t="n">
        <v>13.47</v>
      </c>
    </row>
    <row r="12" ht="29.25" customHeight="1" s="108">
      <c r="B12" s="134" t="inlineStr">
        <is>
          <t>Индекс изменения сметной стоимости на 1 квартал 2023 года. МАТ</t>
        </is>
      </c>
      <c r="C12" s="134" t="inlineStr">
        <is>
          <t>Письмо Минстроя России от 30.03.2023г. №17106-ИФ/09  прил.1</t>
        </is>
      </c>
      <c r="D12" s="134" t="n">
        <v>8.039999999999999</v>
      </c>
    </row>
    <row r="13" ht="30.75" customHeight="1" s="108">
      <c r="B13" s="134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4" t="n">
        <v>6.26</v>
      </c>
    </row>
    <row r="14" ht="89.25" customHeight="1" s="108">
      <c r="B14" s="134" t="inlineStr">
        <is>
          <t>Временные здания и сооружения</t>
        </is>
      </c>
      <c r="C14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1" t="n">
        <v>0.039</v>
      </c>
    </row>
    <row r="15" ht="78.75" customHeight="1" s="108">
      <c r="B15" s="134" t="inlineStr">
        <is>
          <t>Дополнительные затраты при производстве строительно-монтажных работ в зимнее время</t>
        </is>
      </c>
      <c r="C15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1" t="n">
        <v>0.021</v>
      </c>
    </row>
    <row r="16" ht="34.5" customHeight="1" s="108">
      <c r="B16" s="134" t="inlineStr">
        <is>
          <t>Пусконаладочные работы</t>
        </is>
      </c>
      <c r="C16" s="134" t="n"/>
      <c r="D16" s="134" t="inlineStr">
        <is>
          <t>Расчёт</t>
        </is>
      </c>
    </row>
    <row r="17" ht="31.5" customHeight="1" s="108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41" t="n">
        <v>0.0214</v>
      </c>
    </row>
    <row r="18" ht="31.5" customHeight="1" s="108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41" t="n">
        <v>0.002</v>
      </c>
    </row>
    <row r="19" ht="24" customHeight="1" s="108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41" t="n">
        <v>0.03</v>
      </c>
    </row>
    <row r="20" ht="18.75" customHeight="1" s="108">
      <c r="B20" s="36" t="n"/>
    </row>
    <row r="21" ht="18.75" customHeight="1" s="108">
      <c r="B21" s="36" t="n"/>
    </row>
    <row r="22" ht="18.75" customHeight="1" s="108">
      <c r="B22" s="36" t="n"/>
    </row>
    <row r="23" ht="18.75" customHeight="1" s="108">
      <c r="B23" s="36" t="n"/>
    </row>
    <row r="26">
      <c r="B26" s="109" t="inlineStr">
        <is>
          <t>Составил ______________________        Е.А. Князева</t>
        </is>
      </c>
      <c r="C26" s="119" t="n"/>
    </row>
    <row r="27">
      <c r="B27" s="120" t="inlineStr">
        <is>
          <t xml:space="preserve">                         (подпись, инициалы, фамилия)</t>
        </is>
      </c>
      <c r="C27" s="119" t="n"/>
    </row>
    <row r="28">
      <c r="B28" s="109" t="n"/>
      <c r="C28" s="119" t="n"/>
    </row>
    <row r="29">
      <c r="B29" s="109" t="inlineStr">
        <is>
          <t>Проверил ______________________        А.В. Костянецкая</t>
        </is>
      </c>
      <c r="C29" s="119" t="n"/>
    </row>
    <row r="30">
      <c r="B30" s="120" t="inlineStr">
        <is>
          <t xml:space="preserve">                        (подпись, инициалы, фамилия)</t>
        </is>
      </c>
      <c r="C30" s="11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6" sqref="I16"/>
    </sheetView>
  </sheetViews>
  <sheetFormatPr baseColWidth="8" defaultRowHeight="15"/>
  <cols>
    <col width="9.140625" customWidth="1" style="108" min="1" max="1"/>
    <col width="44.85546875" customWidth="1" style="108" min="2" max="2"/>
    <col width="13" customWidth="1" style="108" min="3" max="3"/>
    <col width="22.85546875" customWidth="1" style="108" min="4" max="4"/>
    <col width="21.5703125" customWidth="1" style="108" min="5" max="5"/>
    <col width="43.85546875" customWidth="1" style="108" min="6" max="6"/>
    <col width="9.140625" customWidth="1" style="108" min="7" max="7"/>
  </cols>
  <sheetData>
    <row r="2" ht="18" customHeight="1" s="108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8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 s="108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08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4</v>
      </c>
      <c r="F10" s="24" t="inlineStr">
        <is>
          <t>РТМ</t>
        </is>
      </c>
      <c r="G10" s="27" t="n"/>
    </row>
    <row r="11" ht="75" customHeight="1" s="108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08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08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2025-01-24T11:54:36Z</dcterms:modified>
  <cp:lastModifiedBy>Danil</cp:lastModifiedBy>
  <cp:lastPrinted>2023-11-24T08:51:25Z</cp:lastPrinted>
</cp:coreProperties>
</file>