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3" t="inlineStr">
        <is>
          <t>Приложение № 1</t>
        </is>
      </c>
    </row>
    <row r="4" ht="18.75" customHeight="1" s="173">
      <c r="B4" s="214" t="inlineStr">
        <is>
          <t>Сравнительная таблица отбора объекта-представителя</t>
        </is>
      </c>
    </row>
    <row r="5" ht="84" customHeight="1" s="17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7" t="n"/>
      <c r="C6" s="127" t="n"/>
      <c r="D6" s="127" t="n"/>
    </row>
    <row r="7" ht="64.5" customHeight="1" s="173">
      <c r="B7" s="212" t="inlineStr">
        <is>
          <t>Наименование разрабатываемого показателя УНЦ - Ячейка выключателя КРУ 35кВ, ном.ток 2500А, ном.ток отключения 31,5кА</t>
        </is>
      </c>
    </row>
    <row r="8" ht="31.5" customHeight="1" s="173">
      <c r="B8" s="212" t="inlineStr">
        <is>
          <t>Сопоставимый уровень цен: 4 квартал 2016 г.</t>
        </is>
      </c>
    </row>
    <row r="9" ht="15.75" customHeight="1" s="173">
      <c r="B9" s="212" t="inlineStr">
        <is>
          <t>Единица измерения  — 1 ячейка</t>
        </is>
      </c>
    </row>
    <row r="10" ht="18.75" customHeight="1" s="173">
      <c r="B10" s="144" t="n"/>
    </row>
    <row r="11" ht="15.75" customHeight="1" s="173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>Объект-представитель</t>
        </is>
      </c>
    </row>
    <row r="12" ht="31.5" customHeight="1" s="173">
      <c r="B12" s="219" t="n">
        <v>1</v>
      </c>
      <c r="C12" s="146" t="inlineStr">
        <is>
          <t>Наименование объекта-представителя</t>
        </is>
      </c>
      <c r="D12" s="219" t="inlineStr">
        <is>
          <t>ПС 220 кВ Вектор</t>
        </is>
      </c>
    </row>
    <row r="13" ht="47.25" customHeight="1" s="173">
      <c r="B13" s="219" t="n">
        <v>2</v>
      </c>
      <c r="C13" s="146" t="inlineStr">
        <is>
          <t>Наименование субъекта Российской Федерации</t>
        </is>
      </c>
      <c r="D13" s="219" t="inlineStr">
        <is>
          <t>Тюменская область 
ХМАО — Югра
Нефтеюганский район</t>
        </is>
      </c>
    </row>
    <row r="14" ht="15.75" customHeight="1" s="173">
      <c r="B14" s="219" t="n">
        <v>3</v>
      </c>
      <c r="C14" s="146" t="inlineStr">
        <is>
          <t>Климатический район и подрайон</t>
        </is>
      </c>
      <c r="D14" s="219" t="inlineStr">
        <is>
          <t>IД</t>
        </is>
      </c>
    </row>
    <row r="15" ht="15.75" customHeight="1" s="173">
      <c r="B15" s="219" t="n">
        <v>4</v>
      </c>
      <c r="C15" s="146" t="inlineStr">
        <is>
          <t>Мощность объекта</t>
        </is>
      </c>
      <c r="D15" s="219" t="n">
        <v>1</v>
      </c>
    </row>
    <row r="16" ht="100.5" customHeight="1" s="173">
      <c r="B16" s="219" t="n">
        <v>5</v>
      </c>
      <c r="C16" s="14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Выключатель вакуумный 35 кВ</t>
        </is>
      </c>
    </row>
    <row r="17" ht="78.75" customHeight="1" s="173">
      <c r="B17" s="219" t="n">
        <v>6</v>
      </c>
      <c r="C17" s="14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</row>
    <row r="18" ht="15.75" customHeight="1" s="173">
      <c r="B18" s="148" t="inlineStr">
        <is>
          <t>6.1</t>
        </is>
      </c>
      <c r="C18" s="146" t="inlineStr">
        <is>
          <t>строительно-монтажные работы</t>
        </is>
      </c>
      <c r="D18" s="201" t="n">
        <v>2551.06</v>
      </c>
    </row>
    <row r="19" ht="15.75" customHeight="1" s="173">
      <c r="B19" s="148" t="inlineStr">
        <is>
          <t>6.2</t>
        </is>
      </c>
      <c r="C19" s="146" t="inlineStr">
        <is>
          <t>оборудование и инвентарь</t>
        </is>
      </c>
      <c r="D19" s="201" t="n">
        <v>3952.25</v>
      </c>
    </row>
    <row r="20" ht="15.75" customHeight="1" s="173">
      <c r="B20" s="148" t="inlineStr">
        <is>
          <t>6.3</t>
        </is>
      </c>
      <c r="C20" s="146" t="inlineStr">
        <is>
          <t>пусконаладочные работы</t>
        </is>
      </c>
      <c r="D20" s="201" t="n">
        <v>0</v>
      </c>
    </row>
    <row r="21" ht="31.5" customHeight="1" s="173">
      <c r="B21" s="148" t="inlineStr">
        <is>
          <t>6.4</t>
        </is>
      </c>
      <c r="C21" s="146" t="inlineStr">
        <is>
          <t>прочие и лимитированные затраты</t>
        </is>
      </c>
      <c r="D21" s="201" t="n">
        <v>1027.53</v>
      </c>
    </row>
    <row r="22" ht="15.75" customHeight="1" s="173">
      <c r="B22" s="219" t="n">
        <v>7</v>
      </c>
      <c r="C22" s="146" t="inlineStr">
        <is>
          <t>Сопоставимый уровень цен</t>
        </is>
      </c>
      <c r="D22" s="219" t="inlineStr">
        <is>
          <t>4 квартал 2016 г.</t>
        </is>
      </c>
      <c r="G22" s="140" t="n"/>
    </row>
    <row r="23" ht="110.25" customHeight="1" s="173">
      <c r="B23" s="219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</row>
    <row r="24" ht="47.25" customHeight="1" s="173">
      <c r="B24" s="219" t="n">
        <v>9</v>
      </c>
      <c r="C24" s="147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0" t="n"/>
    </row>
    <row r="25" hidden="1" ht="110.25" customHeight="1" s="173">
      <c r="B25" s="219" t="n">
        <v>10</v>
      </c>
      <c r="C25" s="146" t="inlineStr">
        <is>
          <t>Примечание</t>
        </is>
      </c>
      <c r="D25" s="14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0" t="n"/>
      <c r="C26" s="131" t="n"/>
      <c r="D26" s="131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 hidden="1" s="173">
      <c r="B30" s="187" t="inlineStr">
        <is>
          <t>Составил ______________________        Е. М. Добровольская</t>
        </is>
      </c>
      <c r="C30" s="190" t="n"/>
    </row>
    <row r="31" hidden="1" s="173">
      <c r="B31" s="189" t="inlineStr">
        <is>
          <t xml:space="preserve">                         (подпись, инициалы, фамилия)</t>
        </is>
      </c>
      <c r="C31" s="190" t="n"/>
    </row>
    <row r="32" hidden="1" s="173">
      <c r="B32" s="187" t="n"/>
      <c r="C32" s="190" t="n"/>
    </row>
    <row r="33">
      <c r="B33" s="187" t="inlineStr">
        <is>
          <t>Проверил ______________________        А.В. Костянецкая</t>
        </is>
      </c>
      <c r="C33" s="190" t="n"/>
    </row>
    <row r="34">
      <c r="B34" s="189" t="inlineStr">
        <is>
          <t xml:space="preserve">                        (подпись, инициалы, фамилия)</t>
        </is>
      </c>
      <c r="C34" s="190" t="n"/>
    </row>
    <row r="35" ht="15.75" customHeight="1" s="173">
      <c r="B35" s="131" t="n"/>
      <c r="C35" s="131" t="n"/>
      <c r="D35" s="13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3" t="inlineStr">
        <is>
          <t>Приложение № 2</t>
        </is>
      </c>
    </row>
    <row r="4" ht="15.75" customHeight="1" s="173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3">
      <c r="B6" s="212">
        <f>'Прил.1 Сравнит табл'!B7</f>
        <v/>
      </c>
    </row>
    <row r="7" ht="15.75" customHeight="1" s="173">
      <c r="B7" s="212">
        <f>'Прил.1 Сравнит табл'!B9</f>
        <v/>
      </c>
    </row>
    <row r="8" ht="18.75" customHeight="1" s="173">
      <c r="B8" s="144" t="n"/>
    </row>
    <row r="9" ht="15.75" customHeight="1" s="173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0" t="n"/>
      <c r="F9" s="260" t="n"/>
      <c r="G9" s="260" t="n"/>
      <c r="H9" s="260" t="n"/>
      <c r="I9" s="260" t="n"/>
      <c r="J9" s="261" t="n"/>
    </row>
    <row r="10" ht="15.75" customHeight="1" s="173">
      <c r="B10" s="262" t="n"/>
      <c r="C10" s="262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4 кв. 2016 г., тыс. руб.</t>
        </is>
      </c>
      <c r="G10" s="260" t="n"/>
      <c r="H10" s="260" t="n"/>
      <c r="I10" s="260" t="n"/>
      <c r="J10" s="261" t="n"/>
    </row>
    <row r="11" ht="31.5" customHeight="1" s="173">
      <c r="B11" s="263" t="n"/>
      <c r="C11" s="263" t="n"/>
      <c r="D11" s="263" t="n"/>
      <c r="E11" s="263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51" customHeight="1" s="173">
      <c r="B12" s="219" t="n">
        <v>1</v>
      </c>
      <c r="C12" s="219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" customHeight="1" s="173">
      <c r="B13" s="216" t="inlineStr">
        <is>
          <t>Всего по объекту:</t>
        </is>
      </c>
      <c r="C13" s="264" t="n"/>
      <c r="D13" s="264" t="n"/>
      <c r="E13" s="265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7" t="inlineStr">
        <is>
          <t>Всего по объекту в сопоставимом уровне цен 4 кв. 2016 г:</t>
        </is>
      </c>
      <c r="C14" s="260" t="n"/>
      <c r="D14" s="260" t="n"/>
      <c r="E14" s="261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85" workbookViewId="0">
      <selection activeCell="E64" sqref="E64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3" t="inlineStr">
        <is>
          <t xml:space="preserve">Приложение № 3 </t>
        </is>
      </c>
    </row>
    <row r="3" ht="18.75" customHeight="1" s="173">
      <c r="A3" s="214" t="inlineStr">
        <is>
          <t>Объектная ресурсная ведомость</t>
        </is>
      </c>
    </row>
    <row r="4">
      <c r="B4" s="138" t="n"/>
    </row>
    <row r="5" ht="18.75" customHeight="1" s="173">
      <c r="A5" s="214" t="n"/>
      <c r="B5" s="214" t="n"/>
      <c r="C5" s="225" t="n"/>
    </row>
    <row r="6" ht="18.75" customHeight="1" s="173">
      <c r="A6" s="144" t="n"/>
    </row>
    <row r="7" ht="32.25" customHeight="1" s="173">
      <c r="A7" s="220">
        <f>'Прил.1 Сравнит табл'!B7</f>
        <v/>
      </c>
    </row>
    <row r="8" ht="15.75" customHeight="1" s="173">
      <c r="A8" s="44" t="n"/>
      <c r="B8" s="44" t="n"/>
      <c r="C8" s="44" t="n"/>
      <c r="D8" s="44" t="n"/>
      <c r="E8" s="44" t="n"/>
      <c r="F8" s="44" t="n"/>
      <c r="G8" s="44" t="n"/>
      <c r="H8" s="103" t="n"/>
    </row>
    <row r="9" ht="38.25" customHeight="1" s="173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1" t="n"/>
    </row>
    <row r="10" ht="40.5" customHeight="1" s="173">
      <c r="A10" s="263" t="n"/>
      <c r="B10" s="263" t="n"/>
      <c r="C10" s="263" t="n"/>
      <c r="D10" s="263" t="n"/>
      <c r="E10" s="263" t="n"/>
      <c r="F10" s="263" t="n"/>
      <c r="G10" s="219" t="inlineStr">
        <is>
          <t>на ед.изм.</t>
        </is>
      </c>
      <c r="H10" s="219" t="inlineStr">
        <is>
          <t>общая</t>
        </is>
      </c>
    </row>
    <row r="11" ht="15.75" customHeight="1" s="173">
      <c r="A11" s="219" t="n">
        <v>1</v>
      </c>
      <c r="B11" s="53" t="n"/>
      <c r="C11" s="219" t="n">
        <v>2</v>
      </c>
      <c r="D11" s="219" t="inlineStr">
        <is>
          <t>З</t>
        </is>
      </c>
      <c r="E11" s="219" t="n">
        <v>4</v>
      </c>
      <c r="F11" s="219" t="n">
        <v>5</v>
      </c>
      <c r="G11" s="53" t="n">
        <v>6</v>
      </c>
      <c r="H11" s="53" t="n">
        <v>7</v>
      </c>
    </row>
    <row r="12" ht="15" customHeight="1" s="173">
      <c r="A12" s="223" t="inlineStr">
        <is>
          <t>Затраты труда рабочих</t>
        </is>
      </c>
      <c r="B12" s="260" t="n"/>
      <c r="C12" s="260" t="n"/>
      <c r="D12" s="260" t="n"/>
      <c r="E12" s="260" t="n"/>
      <c r="F12" s="153">
        <f>SUM(F13:F14)</f>
        <v/>
      </c>
      <c r="G12" s="152" t="n"/>
      <c r="H12" s="54">
        <f>SUM(H13:H14)</f>
        <v/>
      </c>
      <c r="J12" s="105" t="n"/>
      <c r="K12" s="141" t="n"/>
    </row>
    <row r="13">
      <c r="A13" s="163" t="n">
        <v>1</v>
      </c>
      <c r="B13" s="205" t="n"/>
      <c r="C13" s="163" t="inlineStr">
        <is>
          <t>1-4-0</t>
        </is>
      </c>
      <c r="D13" s="232" t="inlineStr">
        <is>
          <t>Затраты труда рабочих (средний разряд работы 4,0)</t>
        </is>
      </c>
      <c r="E13" s="233" t="inlineStr">
        <is>
          <t>чел.-ч</t>
        </is>
      </c>
      <c r="F13" s="206" t="n">
        <v>391.80765032994</v>
      </c>
      <c r="G13" s="165" t="n">
        <v>9.4</v>
      </c>
      <c r="H13" s="71">
        <f>ROUND(F13*G13,2)</f>
        <v/>
      </c>
    </row>
    <row r="14">
      <c r="A14" s="207">
        <f>A13+1</f>
        <v/>
      </c>
      <c r="B14" s="205" t="n"/>
      <c r="C14" s="163" t="inlineStr">
        <is>
          <t>1-4-2</t>
        </is>
      </c>
      <c r="D14" s="232" t="inlineStr">
        <is>
          <t>Затраты труда рабочих (средний разряд работы 4,2)</t>
        </is>
      </c>
      <c r="E14" s="233" t="inlineStr">
        <is>
          <t>чел.-ч</t>
        </is>
      </c>
      <c r="F14" s="206" t="n">
        <v>3.3935996700595</v>
      </c>
      <c r="G14" s="165" t="n">
        <v>9.92</v>
      </c>
      <c r="H14" s="71">
        <f>ROUND(F14*G14,2)</f>
        <v/>
      </c>
    </row>
    <row r="15" ht="15" customHeight="1" s="173">
      <c r="A15" s="221" t="inlineStr">
        <is>
          <t>Затраты труда машинистов</t>
        </is>
      </c>
      <c r="B15" s="260" t="n"/>
      <c r="C15" s="260" t="n"/>
      <c r="D15" s="260" t="n"/>
      <c r="E15" s="261" t="n"/>
      <c r="F15" s="152" t="n"/>
      <c r="G15" s="152" t="n"/>
      <c r="H15" s="54">
        <f>H16</f>
        <v/>
      </c>
    </row>
    <row r="16">
      <c r="A16" s="207">
        <f>A14+1</f>
        <v/>
      </c>
      <c r="B16" s="205" t="n"/>
      <c r="C16" s="163" t="n">
        <v>2</v>
      </c>
      <c r="D16" s="232" t="inlineStr">
        <is>
          <t>Затраты труда машинистов</t>
        </is>
      </c>
      <c r="E16" s="233" t="inlineStr">
        <is>
          <t>чел.-ч</t>
        </is>
      </c>
      <c r="F16" s="233" t="n">
        <v>33.63625</v>
      </c>
      <c r="G16" s="165" t="n"/>
      <c r="H16" s="208">
        <f>'Прил.5 Расчет СМР и ОБ'!G16</f>
        <v/>
      </c>
      <c r="L16" s="47" t="n"/>
    </row>
    <row r="17" ht="15" customHeight="1" s="173">
      <c r="A17" s="221" t="inlineStr">
        <is>
          <t>Машины и механизмы</t>
        </is>
      </c>
      <c r="B17" s="260" t="n"/>
      <c r="C17" s="260" t="n"/>
      <c r="D17" s="260" t="n"/>
      <c r="E17" s="261" t="n"/>
      <c r="F17" s="152" t="n"/>
      <c r="G17" s="152" t="n"/>
      <c r="H17" s="54">
        <f>SUM(H18:H28)</f>
        <v/>
      </c>
      <c r="K17" s="141" t="n"/>
    </row>
    <row r="18" ht="25.5" customHeight="1" s="173">
      <c r="A18" s="163">
        <f>A16+1</f>
        <v/>
      </c>
      <c r="B18" s="205" t="n"/>
      <c r="C18" s="163" t="inlineStr">
        <is>
          <t>91.06.03-058</t>
        </is>
      </c>
      <c r="D18" s="232" t="inlineStr">
        <is>
          <t>Лебедки электрические тяговым усилием: 156,96 кН (16 т)</t>
        </is>
      </c>
      <c r="E18" s="233" t="inlineStr">
        <is>
          <t>маш.час</t>
        </is>
      </c>
      <c r="F18" s="233" t="n">
        <v>22.86375</v>
      </c>
      <c r="G18" s="170" t="n">
        <v>131.44</v>
      </c>
      <c r="H18" s="71">
        <f>ROUND(F18*G18,2)</f>
        <v/>
      </c>
    </row>
    <row r="19" ht="25.5" customHeight="1" s="173">
      <c r="A19" s="163">
        <f>A18+1</f>
        <v/>
      </c>
      <c r="B19" s="205" t="n"/>
      <c r="C19" s="163" t="inlineStr">
        <is>
          <t>91.05.05-014</t>
        </is>
      </c>
      <c r="D19" s="232" t="inlineStr">
        <is>
          <t>Краны на автомобильном ходу, грузоподъемность 10 т</t>
        </is>
      </c>
      <c r="E19" s="233" t="inlineStr">
        <is>
          <t>маш.час</t>
        </is>
      </c>
      <c r="F19" s="234" t="n">
        <v>12.09875</v>
      </c>
      <c r="G19" s="170" t="n">
        <v>111.99</v>
      </c>
      <c r="H19" s="71">
        <f>ROUND(F19*G19,2)</f>
        <v/>
      </c>
    </row>
    <row r="20">
      <c r="A20" s="163">
        <f>A19+1</f>
        <v/>
      </c>
      <c r="B20" s="205" t="n"/>
      <c r="C20" s="163" t="inlineStr">
        <is>
          <t>91.14.02-001</t>
        </is>
      </c>
      <c r="D20" s="232" t="inlineStr">
        <is>
          <t>Автомобили бортовые, грузоподъемность: до 5 т</t>
        </is>
      </c>
      <c r="E20" s="233" t="inlineStr">
        <is>
          <t>маш.час</t>
        </is>
      </c>
      <c r="F20" s="169" t="n">
        <v>3.1325</v>
      </c>
      <c r="G20" s="170" t="n">
        <v>65.70999999999999</v>
      </c>
      <c r="H20" s="71">
        <f>ROUND(F20*G20,2)</f>
        <v/>
      </c>
    </row>
    <row r="21">
      <c r="A21" s="163">
        <f>A20+1</f>
        <v/>
      </c>
      <c r="B21" s="205" t="n"/>
      <c r="C21" s="163" t="inlineStr">
        <is>
          <t>91.10.01-002</t>
        </is>
      </c>
      <c r="D21" s="232" t="inlineStr">
        <is>
          <t>Агрегаты наполнительно-опрессовочные: до 300 м3/ч</t>
        </is>
      </c>
      <c r="E21" s="233" t="inlineStr">
        <is>
          <t>маш.час</t>
        </is>
      </c>
      <c r="F21" s="169" t="n">
        <v>0.625</v>
      </c>
      <c r="G21" s="170" t="n">
        <v>287.99</v>
      </c>
      <c r="H21" s="71">
        <f>ROUND(F21*G21,2)</f>
        <v/>
      </c>
    </row>
    <row r="22" ht="25.5" customHeight="1" s="173">
      <c r="A22" s="163">
        <f>A21+1</f>
        <v/>
      </c>
      <c r="B22" s="205" t="n"/>
      <c r="C22" s="163" t="inlineStr">
        <is>
          <t>91.17.04-161</t>
        </is>
      </c>
      <c r="D22" s="232" t="inlineStr">
        <is>
          <t>Полуавтоматы сварочные номинальным сварочным током 40-500 А</t>
        </is>
      </c>
      <c r="E22" s="233" t="inlineStr">
        <is>
          <t>маш.час</t>
        </is>
      </c>
      <c r="F22" s="169" t="n">
        <v>8.375</v>
      </c>
      <c r="G22" s="170" t="n">
        <v>16.44</v>
      </c>
      <c r="H22" s="71">
        <f>ROUND(F22*G22,2)</f>
        <v/>
      </c>
    </row>
    <row r="23">
      <c r="A23" s="163">
        <f>A22+1</f>
        <v/>
      </c>
      <c r="B23" s="205" t="n"/>
      <c r="C23" s="163" t="inlineStr">
        <is>
          <t>91.21.22-438</t>
        </is>
      </c>
      <c r="D23" s="232" t="inlineStr">
        <is>
          <t>Установка: передвижная цеолитовая</t>
        </is>
      </c>
      <c r="E23" s="233" t="inlineStr">
        <is>
          <t>маш.час</t>
        </is>
      </c>
      <c r="F23" s="169" t="n">
        <v>1.975</v>
      </c>
      <c r="G23" s="170" t="n">
        <v>38.65</v>
      </c>
      <c r="H23" s="71">
        <f>ROUND(F23*G23,2)</f>
        <v/>
      </c>
    </row>
    <row r="24" ht="25.5" customHeight="1" s="173">
      <c r="A24" s="163">
        <f>A23+1</f>
        <v/>
      </c>
      <c r="B24" s="205" t="n"/>
      <c r="C24" s="163" t="inlineStr">
        <is>
          <t>91.17.04-233</t>
        </is>
      </c>
      <c r="D24" s="232" t="inlineStr">
        <is>
          <t>Установки для сварки: ручной дуговой (постоянного тока)</t>
        </is>
      </c>
      <c r="E24" s="233" t="inlineStr">
        <is>
          <t>маш.час</t>
        </is>
      </c>
      <c r="F24" s="169" t="n">
        <v>6.1625</v>
      </c>
      <c r="G24" s="170" t="n">
        <v>8.1</v>
      </c>
      <c r="H24" s="71">
        <f>ROUND(F24*G24,2)</f>
        <v/>
      </c>
    </row>
    <row r="25">
      <c r="A25" s="163">
        <f>A24+1</f>
        <v/>
      </c>
      <c r="B25" s="205" t="n"/>
      <c r="C25" s="163" t="inlineStr">
        <is>
          <t>91.19.12-021</t>
        </is>
      </c>
      <c r="D25" s="232" t="inlineStr">
        <is>
          <t>Насос вакуумный: 3,6 м3/мин</t>
        </is>
      </c>
      <c r="E25" s="233" t="inlineStr">
        <is>
          <t>маш.час</t>
        </is>
      </c>
      <c r="F25" s="169" t="n">
        <v>6.525</v>
      </c>
      <c r="G25" s="170" t="n">
        <v>6.28</v>
      </c>
      <c r="H25" s="71">
        <f>ROUND(F25*G25,2)</f>
        <v/>
      </c>
    </row>
    <row r="26" ht="25.5" customHeight="1" s="173">
      <c r="A26" s="163">
        <f>A25+1</f>
        <v/>
      </c>
      <c r="B26" s="205" t="n"/>
      <c r="C26" s="163" t="inlineStr">
        <is>
          <t>91.21.22-091</t>
        </is>
      </c>
      <c r="D26" s="232" t="inlineStr">
        <is>
          <t>Выпрямитель полупроводниковый для подогрева трансформаторов</t>
        </is>
      </c>
      <c r="E26" s="233" t="inlineStr">
        <is>
          <t>маш.час</t>
        </is>
      </c>
      <c r="F26" s="169" t="n">
        <v>9.425000000000001</v>
      </c>
      <c r="G26" s="170" t="n">
        <v>3.82</v>
      </c>
      <c r="H26" s="71">
        <f>ROUND(F26*G26,2)</f>
        <v/>
      </c>
    </row>
    <row r="27">
      <c r="A27" s="163">
        <f>A26+1</f>
        <v/>
      </c>
      <c r="B27" s="205" t="n"/>
      <c r="C27" s="163" t="inlineStr">
        <is>
          <t>91.06.06-042</t>
        </is>
      </c>
      <c r="D27" s="232" t="inlineStr">
        <is>
          <t>Подъемники гидравлические высотой подъема: 10 м</t>
        </is>
      </c>
      <c r="E27" s="233" t="inlineStr">
        <is>
          <t>маш.час</t>
        </is>
      </c>
      <c r="F27" s="169" t="n">
        <v>0.5625</v>
      </c>
      <c r="G27" s="170" t="n">
        <v>29.6</v>
      </c>
      <c r="H27" s="71">
        <f>ROUND(F27*G27,2)</f>
        <v/>
      </c>
    </row>
    <row r="28" ht="25.5" customHeight="1" s="173">
      <c r="A28" s="163">
        <f>A27+1</f>
        <v/>
      </c>
      <c r="B28" s="205" t="n"/>
      <c r="C28" s="163" t="inlineStr">
        <is>
          <t>91.19.02-002</t>
        </is>
      </c>
      <c r="D28" s="232" t="inlineStr">
        <is>
          <t>Маслонасосы шестеренные, производительность м3/час: 2,3</t>
        </is>
      </c>
      <c r="E28" s="233" t="inlineStr">
        <is>
          <t>маш.час</t>
        </is>
      </c>
      <c r="F28" s="169" t="n">
        <v>0.87</v>
      </c>
      <c r="G28" s="170" t="n">
        <v>0.9</v>
      </c>
      <c r="H28" s="71">
        <f>ROUND(F28*G28,2)</f>
        <v/>
      </c>
    </row>
    <row r="29" ht="15" customHeight="1" s="173">
      <c r="A29" s="221" t="inlineStr">
        <is>
          <t>Оборудование</t>
        </is>
      </c>
      <c r="B29" s="260" t="n"/>
      <c r="C29" s="260" t="n"/>
      <c r="D29" s="260" t="n"/>
      <c r="E29" s="261" t="n"/>
      <c r="F29" s="152" t="n"/>
      <c r="G29" s="152" t="n"/>
      <c r="H29" s="54">
        <f>SUM(H30:H30)</f>
        <v/>
      </c>
    </row>
    <row r="30">
      <c r="A30" s="209">
        <f>A28+1</f>
        <v/>
      </c>
      <c r="B30" s="222" t="n"/>
      <c r="C30" s="163" t="inlineStr">
        <is>
          <t>Прайс из СД ОП</t>
        </is>
      </c>
      <c r="D30" s="242" t="inlineStr">
        <is>
          <t>КРУ 35 кВ</t>
        </is>
      </c>
      <c r="E30" s="237" t="inlineStr">
        <is>
          <t>шт.</t>
        </is>
      </c>
      <c r="F30" s="237" t="n">
        <v>1</v>
      </c>
      <c r="G30" s="71" t="n">
        <v>2962581.47</v>
      </c>
      <c r="H30" s="71">
        <f>ROUND(F30*G30,2)</f>
        <v/>
      </c>
    </row>
    <row r="31" ht="15" customHeight="1" s="173">
      <c r="A31" s="222" t="inlineStr">
        <is>
          <t>Материалы</t>
        </is>
      </c>
      <c r="B31" s="260" t="n"/>
      <c r="C31" s="260" t="n"/>
      <c r="D31" s="260" t="n"/>
      <c r="E31" s="261" t="n"/>
      <c r="F31" s="55" t="n"/>
      <c r="G31" s="55" t="n"/>
      <c r="H31" s="54">
        <f>SUM(H32:H59)</f>
        <v/>
      </c>
      <c r="K31" s="141" t="n"/>
    </row>
    <row r="32">
      <c r="A32" s="209">
        <f>A30+1</f>
        <v/>
      </c>
      <c r="B32" s="24" t="n"/>
      <c r="C32" s="78" t="inlineStr">
        <is>
          <t>01.1.02.01-0003</t>
        </is>
      </c>
      <c r="D32" s="242" t="inlineStr">
        <is>
          <t>Асботекстолит, марка Г</t>
        </is>
      </c>
      <c r="E32" s="237" t="inlineStr">
        <is>
          <t>т</t>
        </is>
      </c>
      <c r="F32" s="237" t="n">
        <v>0.0255</v>
      </c>
      <c r="G32" s="71" t="n">
        <v>161000</v>
      </c>
      <c r="H32" s="71">
        <f>ROUND(F32*G32,2)</f>
        <v/>
      </c>
    </row>
    <row r="33">
      <c r="A33" s="209">
        <f>A32+1</f>
        <v/>
      </c>
      <c r="B33" s="24" t="n"/>
      <c r="C33" s="78" t="inlineStr">
        <is>
          <t>01.3.02.02-0001</t>
        </is>
      </c>
      <c r="D33" s="242" t="inlineStr">
        <is>
          <t>Аргон газообразный, сорт I</t>
        </is>
      </c>
      <c r="E33" s="237" t="inlineStr">
        <is>
          <t>м3</t>
        </is>
      </c>
      <c r="F33" s="237" t="n">
        <v>121.5</v>
      </c>
      <c r="G33" s="71" t="n">
        <v>17.86</v>
      </c>
      <c r="H33" s="71">
        <f>ROUND(F33*G33,2)</f>
        <v/>
      </c>
    </row>
    <row r="34">
      <c r="A34" s="209">
        <f>A33+1</f>
        <v/>
      </c>
      <c r="B34" s="24" t="n"/>
      <c r="C34" s="78" t="inlineStr">
        <is>
          <t>21.1.08.03-0078</t>
        </is>
      </c>
      <c r="D34" s="242" t="inlineStr">
        <is>
          <t>Кабель контрольный КВВГЭнг(A)-FRLS 5х2,5</t>
        </is>
      </c>
      <c r="E34" s="237" t="inlineStr">
        <is>
          <t>1000 м</t>
        </is>
      </c>
      <c r="F34" s="237" t="n">
        <v>0.05</v>
      </c>
      <c r="G34" s="71" t="n">
        <v>36884.36</v>
      </c>
      <c r="H34" s="71">
        <f>ROUND(F34*G34,2)</f>
        <v/>
      </c>
    </row>
    <row r="35" ht="25.5" customHeight="1" s="173">
      <c r="A35" s="209">
        <f>A34+1</f>
        <v/>
      </c>
      <c r="B35" s="24" t="n"/>
      <c r="C35" s="78" t="inlineStr">
        <is>
          <t>01.1.02.09-0021</t>
        </is>
      </c>
      <c r="D35" s="242" t="inlineStr">
        <is>
          <t>Ткань асбестовая со стеклонитью АСТ-1, толщина 1,8 мм</t>
        </is>
      </c>
      <c r="E35" s="237" t="inlineStr">
        <is>
          <t>т</t>
        </is>
      </c>
      <c r="F35" s="237" t="n">
        <v>0.0268</v>
      </c>
      <c r="G35" s="71" t="n">
        <v>66860</v>
      </c>
      <c r="H35" s="71">
        <f>ROUND(F35*G35,2)</f>
        <v/>
      </c>
    </row>
    <row r="36">
      <c r="A36" s="209">
        <f>A35+1</f>
        <v/>
      </c>
      <c r="B36" s="24" t="n"/>
      <c r="C36" s="78" t="inlineStr">
        <is>
          <t>01.7.11.04-0002</t>
        </is>
      </c>
      <c r="D36" s="242" t="inlineStr">
        <is>
          <t>Проволока наплавочная ПП-Нп-19СТ, диаметр 3 мм</t>
        </is>
      </c>
      <c r="E36" s="237" t="inlineStr">
        <is>
          <t>т</t>
        </is>
      </c>
      <c r="F36" s="237" t="n">
        <v>0.08699999999999999</v>
      </c>
      <c r="G36" s="71" t="n">
        <v>20300</v>
      </c>
      <c r="H36" s="71">
        <f>ROUND(F36*G36,2)</f>
        <v/>
      </c>
    </row>
    <row r="37">
      <c r="A37" s="209">
        <f>A36+1</f>
        <v/>
      </c>
      <c r="B37" s="24" t="n"/>
      <c r="C37" s="78" t="inlineStr">
        <is>
          <t>14.4.02.09-0001</t>
        </is>
      </c>
      <c r="D37" s="242" t="inlineStr">
        <is>
          <t>Краска</t>
        </is>
      </c>
      <c r="E37" s="237" t="inlineStr">
        <is>
          <t>кг</t>
        </is>
      </c>
      <c r="F37" s="237" t="n">
        <v>53.7</v>
      </c>
      <c r="G37" s="71" t="n">
        <v>28.6</v>
      </c>
      <c r="H37" s="71">
        <f>ROUND(F37*G37,2)</f>
        <v/>
      </c>
    </row>
    <row r="38" ht="25.5" customHeight="1" s="173">
      <c r="A38" s="209">
        <f>A37+1</f>
        <v/>
      </c>
      <c r="B38" s="24" t="n"/>
      <c r="C38" s="78" t="inlineStr">
        <is>
          <t>25.1.01.04-0012</t>
        </is>
      </c>
      <c r="D38" s="242" t="inlineStr">
        <is>
          <t>Шпалы из древесины хвойных пород для колеи 600 мм, непропитанные, длина 1200 мм, тип II</t>
        </is>
      </c>
      <c r="E38" s="237" t="inlineStr">
        <is>
          <t>шт</t>
        </is>
      </c>
      <c r="F38" s="237" t="n">
        <v>30</v>
      </c>
      <c r="G38" s="71" t="n">
        <v>42.6</v>
      </c>
      <c r="H38" s="71">
        <f>ROUND(F38*G38,2)</f>
        <v/>
      </c>
    </row>
    <row r="39">
      <c r="A39" s="209">
        <f>A38+1</f>
        <v/>
      </c>
      <c r="B39" s="24" t="n"/>
      <c r="C39" s="78" t="inlineStr">
        <is>
          <t>999-9950</t>
        </is>
      </c>
      <c r="D39" s="242" t="inlineStr">
        <is>
          <t>Вспомогательные ненормируемые ресурсы</t>
        </is>
      </c>
      <c r="E39" s="237" t="inlineStr">
        <is>
          <t>руб.</t>
        </is>
      </c>
      <c r="F39" s="237" t="n">
        <v>916.54</v>
      </c>
      <c r="G39" s="71" t="n">
        <v>1</v>
      </c>
      <c r="H39" s="71">
        <f>ROUND(F39*G39,2)</f>
        <v/>
      </c>
    </row>
    <row r="40">
      <c r="A40" s="209">
        <f>A39+1</f>
        <v/>
      </c>
      <c r="B40" s="24" t="n"/>
      <c r="C40" s="78" t="inlineStr">
        <is>
          <t>01.3.02.03-0001</t>
        </is>
      </c>
      <c r="D40" s="242" t="inlineStr">
        <is>
          <t>Ацетилен газообразный технический</t>
        </is>
      </c>
      <c r="E40" s="237" t="inlineStr">
        <is>
          <t>м3</t>
        </is>
      </c>
      <c r="F40" s="237" t="n">
        <v>16.5</v>
      </c>
      <c r="G40" s="71" t="n">
        <v>38.51</v>
      </c>
      <c r="H40" s="71">
        <f>ROUND(F40*G40,2)</f>
        <v/>
      </c>
    </row>
    <row r="41">
      <c r="A41" s="209">
        <f>A40+1</f>
        <v/>
      </c>
      <c r="B41" s="24" t="n"/>
      <c r="C41" s="78" t="inlineStr">
        <is>
          <t>01.7.02.06-0017</t>
        </is>
      </c>
      <c r="D41" s="242" t="inlineStr">
        <is>
          <t>Картон строительный прокладочный, марка Б</t>
        </is>
      </c>
      <c r="E41" s="237" t="inlineStr">
        <is>
          <t>т</t>
        </is>
      </c>
      <c r="F41" s="237" t="n">
        <v>0.03</v>
      </c>
      <c r="G41" s="71" t="n">
        <v>19800</v>
      </c>
      <c r="H41" s="71">
        <f>ROUND(F41*G41,2)</f>
        <v/>
      </c>
    </row>
    <row r="42" ht="25.5" customHeight="1" s="173">
      <c r="A42" s="209">
        <f>A41+1</f>
        <v/>
      </c>
      <c r="B42" s="24" t="n"/>
      <c r="C42" s="78" t="inlineStr">
        <is>
          <t>01.7.19.04-0031</t>
        </is>
      </c>
      <c r="D42" s="242" t="inlineStr">
        <is>
          <t>Прокладки резиновые (пластина техническая прессованная)</t>
        </is>
      </c>
      <c r="E42" s="237" t="inlineStr">
        <is>
          <t>кг</t>
        </is>
      </c>
      <c r="F42" s="237" t="n">
        <v>18.75</v>
      </c>
      <c r="G42" s="71" t="n">
        <v>23.09</v>
      </c>
      <c r="H42" s="71">
        <f>ROUND(F42*G42,2)</f>
        <v/>
      </c>
    </row>
    <row r="43">
      <c r="A43" s="209">
        <f>A42+1</f>
        <v/>
      </c>
      <c r="B43" s="24" t="n"/>
      <c r="C43" s="78" t="inlineStr">
        <is>
          <t>07.2.07.13-0171</t>
        </is>
      </c>
      <c r="D43" s="242" t="inlineStr">
        <is>
          <t>Подкладки металлические</t>
        </is>
      </c>
      <c r="E43" s="237" t="inlineStr">
        <is>
          <t>кг</t>
        </is>
      </c>
      <c r="F43" s="237" t="n">
        <v>30</v>
      </c>
      <c r="G43" s="71" t="n">
        <v>12.6</v>
      </c>
      <c r="H43" s="71">
        <f>ROUND(F43*G43,2)</f>
        <v/>
      </c>
    </row>
    <row r="44">
      <c r="A44" s="209">
        <f>A43+1</f>
        <v/>
      </c>
      <c r="B44" s="24" t="n"/>
      <c r="C44" s="78" t="inlineStr">
        <is>
          <t>01.7.11.07-0034</t>
        </is>
      </c>
      <c r="D44" s="242" t="inlineStr">
        <is>
          <t>Электроды диаметром: 4 мм Э42А</t>
        </is>
      </c>
      <c r="E44" s="237" t="inlineStr">
        <is>
          <t>кг</t>
        </is>
      </c>
      <c r="F44" s="237" t="n">
        <v>34</v>
      </c>
      <c r="G44" s="71" t="n">
        <v>10.57</v>
      </c>
      <c r="H44" s="71">
        <f>ROUND(F44*G44,2)</f>
        <v/>
      </c>
    </row>
    <row r="45">
      <c r="A45" s="209">
        <f>A44+1</f>
        <v/>
      </c>
      <c r="B45" s="24" t="n"/>
      <c r="C45" s="78" t="inlineStr">
        <is>
          <t>01.3.01.02-0002</t>
        </is>
      </c>
      <c r="D45" s="242" t="inlineStr">
        <is>
          <t>Вазелин технический</t>
        </is>
      </c>
      <c r="E45" s="237" t="inlineStr">
        <is>
          <t>кг</t>
        </is>
      </c>
      <c r="F45" s="237" t="n">
        <v>5.88</v>
      </c>
      <c r="G45" s="71" t="n">
        <v>44.97</v>
      </c>
      <c r="H45" s="71">
        <f>ROUND(F45*G45,2)</f>
        <v/>
      </c>
    </row>
    <row r="46" ht="25.5" customHeight="1" s="173">
      <c r="A46" s="209">
        <f>A45+1</f>
        <v/>
      </c>
      <c r="B46" s="24" t="n"/>
      <c r="C46" s="78" t="inlineStr">
        <is>
          <t>11.1.03.05-0085</t>
        </is>
      </c>
      <c r="D46" s="242" t="inlineStr">
        <is>
          <t>Доски необрезные хвойных пород длиной: 4-6,5 м, все ширины, толщиной 44 мм и более, III сорта</t>
        </is>
      </c>
      <c r="E46" s="237" t="inlineStr">
        <is>
          <t>м3</t>
        </is>
      </c>
      <c r="F46" s="237" t="n">
        <v>0.328</v>
      </c>
      <c r="G46" s="71" t="n">
        <v>684</v>
      </c>
      <c r="H46" s="71">
        <f>ROUND(F46*G46,2)</f>
        <v/>
      </c>
    </row>
    <row r="47">
      <c r="A47" s="209">
        <f>A46+1</f>
        <v/>
      </c>
      <c r="B47" s="24" t="n"/>
      <c r="C47" s="78" t="inlineStr">
        <is>
          <t>01.7.15.06-0121</t>
        </is>
      </c>
      <c r="D47" s="242" t="inlineStr">
        <is>
          <t>Гвозди строительные с плоской головкой: 1,6x50 мм</t>
        </is>
      </c>
      <c r="E47" s="237" t="inlineStr">
        <is>
          <t>т</t>
        </is>
      </c>
      <c r="F47" s="237" t="n">
        <v>0.0225</v>
      </c>
      <c r="G47" s="71" t="n">
        <v>8475</v>
      </c>
      <c r="H47" s="71">
        <f>ROUND(F47*G47,2)</f>
        <v/>
      </c>
    </row>
    <row r="48">
      <c r="A48" s="209">
        <f>A47+1</f>
        <v/>
      </c>
      <c r="B48" s="24" t="n"/>
      <c r="C48" s="78" t="inlineStr">
        <is>
          <t>01.7.20.08-0031</t>
        </is>
      </c>
      <c r="D48" s="242" t="inlineStr">
        <is>
          <t>Бязь суровая арт. 6804</t>
        </is>
      </c>
      <c r="E48" s="237" t="inlineStr">
        <is>
          <t>10 м2</t>
        </is>
      </c>
      <c r="F48" s="237" t="n">
        <v>2.38</v>
      </c>
      <c r="G48" s="71" t="n">
        <v>79.09999999999999</v>
      </c>
      <c r="H48" s="71">
        <f>ROUND(F48*G48,2)</f>
        <v/>
      </c>
    </row>
    <row r="49">
      <c r="A49" s="209">
        <f>A48+1</f>
        <v/>
      </c>
      <c r="B49" s="24" t="n"/>
      <c r="C49" s="78" t="inlineStr">
        <is>
          <t>14.5.09.01-0003</t>
        </is>
      </c>
      <c r="D49" s="242" t="inlineStr">
        <is>
          <t>Ацетон технический, сорт высший</t>
        </is>
      </c>
      <c r="E49" s="237" t="inlineStr">
        <is>
          <t>т</t>
        </is>
      </c>
      <c r="F49" s="237" t="n">
        <v>0.018</v>
      </c>
      <c r="G49" s="71" t="n">
        <v>9360</v>
      </c>
      <c r="H49" s="71">
        <f>ROUND(F49*G49,2)</f>
        <v/>
      </c>
    </row>
    <row r="50" ht="25.5" customHeight="1" s="173">
      <c r="A50" s="209">
        <f>A49+1</f>
        <v/>
      </c>
      <c r="B50" s="24" t="n"/>
      <c r="C50" s="78" t="inlineStr">
        <is>
          <t>21.1.06.10-0376</t>
        </is>
      </c>
      <c r="D50" s="242" t="inlineStr">
        <is>
          <t>Кабель силовой с медными жилами ВВГнг(A)-LS 3х2,5ок-1000</t>
        </is>
      </c>
      <c r="E50" s="237" t="inlineStr">
        <is>
          <t>1000 м</t>
        </is>
      </c>
      <c r="F50" s="237" t="n">
        <v>0.01</v>
      </c>
      <c r="G50" s="71" t="n">
        <v>14498.24</v>
      </c>
      <c r="H50" s="71">
        <f>ROUND(F50*G50,2)</f>
        <v/>
      </c>
    </row>
    <row r="51">
      <c r="A51" s="209">
        <f>A50+1</f>
        <v/>
      </c>
      <c r="B51" s="24" t="n"/>
      <c r="C51" s="78" t="inlineStr">
        <is>
          <t>01.7.15.10-0053</t>
        </is>
      </c>
      <c r="D51" s="242" t="inlineStr">
        <is>
          <t>Скобы: металлические</t>
        </is>
      </c>
      <c r="E51" s="237" t="inlineStr">
        <is>
          <t>кг</t>
        </is>
      </c>
      <c r="F51" s="237" t="n">
        <v>21</v>
      </c>
      <c r="G51" s="71" t="n">
        <v>6.4</v>
      </c>
      <c r="H51" s="71">
        <f>ROUND(F51*G51,2)</f>
        <v/>
      </c>
    </row>
    <row r="52">
      <c r="A52" s="209">
        <f>A51+1</f>
        <v/>
      </c>
      <c r="B52" s="24" t="n"/>
      <c r="C52" s="78" t="inlineStr">
        <is>
          <t>01.3.02.08-0001</t>
        </is>
      </c>
      <c r="D52" s="242" t="inlineStr">
        <is>
          <t>Кислород технический: газообразный</t>
        </is>
      </c>
      <c r="E52" s="237" t="inlineStr">
        <is>
          <t>м3</t>
        </is>
      </c>
      <c r="F52" s="237" t="n">
        <v>15.45</v>
      </c>
      <c r="G52" s="71" t="n">
        <v>6.22</v>
      </c>
      <c r="H52" s="71">
        <f>ROUND(F52*G52,2)</f>
        <v/>
      </c>
    </row>
    <row r="53" ht="25.5" customHeight="1" s="173">
      <c r="A53" s="209">
        <f>A52+1</f>
        <v/>
      </c>
      <c r="B53" s="24" t="n"/>
      <c r="C53" s="78" t="inlineStr">
        <is>
          <t>01.3.01.06-0050</t>
        </is>
      </c>
      <c r="D53" s="242" t="inlineStr">
        <is>
          <t>Смазка универсальная тугоплавкая УТ (консталин жировой)</t>
        </is>
      </c>
      <c r="E53" s="237" t="inlineStr">
        <is>
          <t>т</t>
        </is>
      </c>
      <c r="F53" s="237" t="n">
        <v>0.0051</v>
      </c>
      <c r="G53" s="71" t="n">
        <v>17500</v>
      </c>
      <c r="H53" s="71">
        <f>ROUND(F53*G53,2)</f>
        <v/>
      </c>
    </row>
    <row r="54" ht="25.5" customHeight="1" s="173">
      <c r="A54" s="209">
        <f>A53+1</f>
        <v/>
      </c>
      <c r="B54" s="24" t="n"/>
      <c r="C54" s="78" t="inlineStr">
        <is>
          <t>08.3.07.01-0076</t>
        </is>
      </c>
      <c r="D54" s="242" t="inlineStr">
        <is>
          <t>Сталь полосовая, марка стали: Ст3сп шириной 50-200 мм толщиной 4-5 мм</t>
        </is>
      </c>
      <c r="E54" s="237" t="inlineStr">
        <is>
          <t>т</t>
        </is>
      </c>
      <c r="F54" s="237" t="n">
        <v>0.017</v>
      </c>
      <c r="G54" s="71" t="n">
        <v>5000</v>
      </c>
      <c r="H54" s="71">
        <f>ROUND(F54*G54,2)</f>
        <v/>
      </c>
    </row>
    <row r="55">
      <c r="A55" s="209">
        <f>A54+1</f>
        <v/>
      </c>
      <c r="B55" s="24" t="n"/>
      <c r="C55" s="78" t="inlineStr">
        <is>
          <t>14.5.04.08-0002</t>
        </is>
      </c>
      <c r="D55" s="242" t="inlineStr">
        <is>
          <t>Мастика герметизирующая</t>
        </is>
      </c>
      <c r="E55" s="237" t="inlineStr">
        <is>
          <t>кг</t>
        </is>
      </c>
      <c r="F55" s="237" t="n">
        <v>4.2</v>
      </c>
      <c r="G55" s="71" t="n">
        <v>16.5</v>
      </c>
      <c r="H55" s="71">
        <f>ROUND(F55*G55,2)</f>
        <v/>
      </c>
    </row>
    <row r="56">
      <c r="A56" s="209">
        <f>A55+1</f>
        <v/>
      </c>
      <c r="B56" s="24" t="n"/>
      <c r="C56" s="78" t="inlineStr">
        <is>
          <t>01.3.01.01-0001</t>
        </is>
      </c>
      <c r="D56" s="242" t="inlineStr">
        <is>
          <t>Бензин авиационный Б-70</t>
        </is>
      </c>
      <c r="E56" s="237" t="inlineStr">
        <is>
          <t>т</t>
        </is>
      </c>
      <c r="F56" s="237" t="n">
        <v>0.013</v>
      </c>
      <c r="G56" s="71" t="n">
        <v>4488.4</v>
      </c>
      <c r="H56" s="71">
        <f>ROUND(F56*G56,2)</f>
        <v/>
      </c>
    </row>
    <row r="57">
      <c r="A57" s="209">
        <f>A56+1</f>
        <v/>
      </c>
      <c r="B57" s="24" t="n"/>
      <c r="C57" s="78" t="inlineStr">
        <is>
          <t>01.7.15.03-0042</t>
        </is>
      </c>
      <c r="D57" s="242" t="inlineStr">
        <is>
          <t>Болты с гайками и шайбами строительные</t>
        </is>
      </c>
      <c r="E57" s="237" t="inlineStr">
        <is>
          <t>кг</t>
        </is>
      </c>
      <c r="F57" s="237" t="n">
        <v>3.01</v>
      </c>
      <c r="G57" s="71" t="n">
        <v>9.039999999999999</v>
      </c>
      <c r="H57" s="71">
        <f>ROUND(F57*G57,2)</f>
        <v/>
      </c>
    </row>
    <row r="58" ht="25.5" customHeight="1" s="173">
      <c r="A58" s="209">
        <f>A57+1</f>
        <v/>
      </c>
      <c r="B58" s="24" t="n"/>
      <c r="C58" s="78" t="inlineStr">
        <is>
          <t>01.1.02.02-0021</t>
        </is>
      </c>
      <c r="D58" s="242" t="inlineStr">
        <is>
          <t>Бумага асбестовая электроизоляционная марки: БЭ толщиной 0,2-0,3 мм</t>
        </is>
      </c>
      <c r="E58" s="237" t="inlineStr">
        <is>
          <t>т</t>
        </is>
      </c>
      <c r="F58" s="237" t="n">
        <v>0.0023</v>
      </c>
      <c r="G58" s="71" t="n">
        <v>11549</v>
      </c>
      <c r="H58" s="71">
        <f>ROUND(F58*G58,2)</f>
        <v/>
      </c>
    </row>
    <row r="59">
      <c r="A59" s="209">
        <f>A58+1</f>
        <v/>
      </c>
      <c r="B59" s="24" t="n"/>
      <c r="C59" s="78" t="inlineStr">
        <is>
          <t>25.2.01.01-0001</t>
        </is>
      </c>
      <c r="D59" s="242" t="inlineStr">
        <is>
          <t>Бирки-оконцеватели</t>
        </is>
      </c>
      <c r="E59" s="237" t="inlineStr">
        <is>
          <t>100 шт</t>
        </is>
      </c>
      <c r="F59" s="237" t="n">
        <v>0.363</v>
      </c>
      <c r="G59" s="71" t="n">
        <v>63</v>
      </c>
      <c r="H59" s="71">
        <f>ROUND(F59*G59,2)</f>
        <v/>
      </c>
    </row>
    <row r="60">
      <c r="K60" s="134" t="n"/>
    </row>
    <row r="62">
      <c r="B62" s="187" t="inlineStr">
        <is>
          <t>Составил ______________________        Е.А. Князева</t>
        </is>
      </c>
      <c r="C62" s="190" t="n"/>
    </row>
    <row r="63">
      <c r="B63" s="189" t="inlineStr">
        <is>
          <t xml:space="preserve">                         (подпись, инициалы, фамилия)</t>
        </is>
      </c>
      <c r="C63" s="190" t="n"/>
    </row>
    <row r="64">
      <c r="B64" s="187" t="n"/>
      <c r="C64" s="190" t="n"/>
    </row>
    <row r="65">
      <c r="B65" s="187" t="inlineStr">
        <is>
          <t>Проверил ______________________        А.В. Костянецкая</t>
        </is>
      </c>
      <c r="C65" s="190" t="n"/>
    </row>
    <row r="66">
      <c r="B66" s="189" t="inlineStr">
        <is>
          <t xml:space="preserve">                        (подпись, инициалы, фамилия)</t>
        </is>
      </c>
      <c r="C66" s="190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3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6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3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3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3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3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3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3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3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3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3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3">
      <c r="B36" s="57" t="inlineStr">
        <is>
          <t>Строительный контроль и содержание службы заказчика - 2,14%</t>
        </is>
      </c>
      <c r="C36" s="149">
        <f>ROUND((C27+C32+C33+C34+C35+C29+C31+C30)*2.14%,2)</f>
        <v/>
      </c>
      <c r="D36" s="57" t="n"/>
      <c r="E36" s="59">
        <f>C36/$C$40</f>
        <v/>
      </c>
      <c r="G36" s="104" t="n"/>
      <c r="L36" s="141" t="n"/>
    </row>
    <row r="37">
      <c r="B37" s="57" t="inlineStr">
        <is>
          <t>Авторский надзор - 0,2%</t>
        </is>
      </c>
      <c r="C37" s="149">
        <f>ROUND((C27+C32+C33+C34+C35+C29+C31+C30)*0.2%,2)</f>
        <v/>
      </c>
      <c r="D37" s="57" t="n"/>
      <c r="E37" s="59">
        <f>C37/$C$40</f>
        <v/>
      </c>
      <c r="G37" s="104" t="n"/>
      <c r="L37" s="141" t="n"/>
    </row>
    <row r="38" ht="38.25" customHeight="1" s="173">
      <c r="B38" s="57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57" t="n"/>
      <c r="E38" s="59">
        <f>C38/$C$40</f>
        <v/>
      </c>
    </row>
    <row r="39" ht="13.5" customHeight="1" s="173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H84" sqref="H84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2.85546875" customWidth="1" style="190" min="11" max="11"/>
    <col width="10.710937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6" t="n"/>
      <c r="J2" s="106" t="inlineStr">
        <is>
          <t>Приложение №5</t>
        </is>
      </c>
    </row>
    <row r="4" ht="12.75" customFormat="1" customHeight="1" s="187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7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7">
      <c r="A6" s="231" t="inlineStr">
        <is>
          <t>Наименование разрабатываемого показателя УНЦ</t>
        </is>
      </c>
      <c r="D6" s="231" t="inlineStr">
        <is>
          <t>Ячейка выключателя КРУ 35кВ, ном.ток 2500А, ном.ток отключения 31,5кА</t>
        </is>
      </c>
    </row>
    <row r="7" ht="12.75" customFormat="1" customHeight="1" s="187">
      <c r="A7" s="231">
        <f>'Прил.1 Сравнит табл'!B9</f>
        <v/>
      </c>
      <c r="I7" s="227" t="n"/>
      <c r="J7" s="227" t="n"/>
    </row>
    <row r="8" ht="12.75" customFormat="1" customHeight="1" s="187"/>
    <row r="9" ht="27" customHeight="1" s="173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1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1" t="n"/>
    </row>
    <row r="10" ht="28.5" customHeight="1" s="173">
      <c r="A10" s="263" t="n"/>
      <c r="B10" s="263" t="n"/>
      <c r="C10" s="263" t="n"/>
      <c r="D10" s="263" t="n"/>
      <c r="E10" s="263" t="n"/>
      <c r="F10" s="237" t="inlineStr">
        <is>
          <t>на ед. изм.</t>
        </is>
      </c>
      <c r="G10" s="237" t="inlineStr">
        <is>
          <t>общая</t>
        </is>
      </c>
      <c r="H10" s="263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</row>
    <row r="12">
      <c r="A12" s="237" t="n"/>
      <c r="B12" s="221" t="inlineStr">
        <is>
          <t>Затраты труда рабочих-строителей</t>
        </is>
      </c>
      <c r="C12" s="260" t="n"/>
      <c r="D12" s="260" t="n"/>
      <c r="E12" s="260" t="n"/>
      <c r="F12" s="260" t="n"/>
      <c r="G12" s="260" t="n"/>
      <c r="H12" s="261" t="n"/>
      <c r="I12" s="162" t="n"/>
      <c r="J12" s="69" t="n"/>
      <c r="L12" s="142" t="n"/>
    </row>
    <row r="13" ht="25.5" customHeight="1" s="173">
      <c r="A13" s="237" t="n">
        <v>1</v>
      </c>
      <c r="B13" s="163" t="inlineStr">
        <is>
          <t>1-4-0</t>
        </is>
      </c>
      <c r="C13" s="232" t="inlineStr">
        <is>
          <t>Затраты труда рабочих (средний разряд работы 4,0)</t>
        </is>
      </c>
      <c r="D13" s="233" t="inlineStr">
        <is>
          <t>чел.-ч.</t>
        </is>
      </c>
      <c r="E13" s="169">
        <f>G13/F13</f>
        <v/>
      </c>
      <c r="F13" s="165" t="n">
        <v>9.4</v>
      </c>
      <c r="G13" s="165" t="n">
        <v>3716.65</v>
      </c>
      <c r="H13" s="236">
        <f>G13/G14</f>
        <v/>
      </c>
      <c r="I13" s="165">
        <f>ФОТр.тек.!E13</f>
        <v/>
      </c>
      <c r="J13" s="71">
        <f>ROUND(I13*E13,2)</f>
        <v/>
      </c>
    </row>
    <row r="14" ht="25.5" customFormat="1" customHeight="1" s="190">
      <c r="A14" s="237" t="n"/>
      <c r="B14" s="233" t="n"/>
      <c r="C14" s="221" t="inlineStr">
        <is>
          <t>Итого по разделу "Затраты труда рабочих-строителей"</t>
        </is>
      </c>
      <c r="D14" s="233" t="inlineStr">
        <is>
          <t>чел.-ч.</t>
        </is>
      </c>
      <c r="E14" s="169">
        <f>SUM(E13:E13)</f>
        <v/>
      </c>
      <c r="F14" s="165" t="n"/>
      <c r="G14" s="165">
        <f>SUM(G13:G13)</f>
        <v/>
      </c>
      <c r="H14" s="236" t="n">
        <v>1</v>
      </c>
      <c r="I14" s="165" t="n"/>
      <c r="J14" s="71">
        <f>SUM(J13:J13)</f>
        <v/>
      </c>
      <c r="L14" s="143" t="n"/>
    </row>
    <row r="15" ht="14.25" customFormat="1" customHeight="1" s="190">
      <c r="A15" s="237" t="n"/>
      <c r="B15" s="232" t="inlineStr">
        <is>
          <t>Затраты труда машинистов</t>
        </is>
      </c>
      <c r="C15" s="260" t="n"/>
      <c r="D15" s="260" t="n"/>
      <c r="E15" s="260" t="n"/>
      <c r="F15" s="260" t="n"/>
      <c r="G15" s="260" t="n"/>
      <c r="H15" s="261" t="n"/>
      <c r="I15" s="162" t="n"/>
      <c r="J15" s="69" t="n"/>
      <c r="L15" s="142" t="n"/>
    </row>
    <row r="16" ht="14.25" customFormat="1" customHeight="1" s="190">
      <c r="A16" s="237" t="n">
        <v>2</v>
      </c>
      <c r="B16" s="233" t="n">
        <v>2</v>
      </c>
      <c r="C16" s="232" t="inlineStr">
        <is>
          <t>Затраты труда машинистов</t>
        </is>
      </c>
      <c r="D16" s="233" t="inlineStr">
        <is>
          <t>чел.-ч.</t>
        </is>
      </c>
      <c r="E16" s="169" t="n">
        <v>33.63625</v>
      </c>
      <c r="F16" s="165" t="n">
        <v>12.09</v>
      </c>
      <c r="G16" s="165">
        <f>ROUND(E16*F16,2)</f>
        <v/>
      </c>
      <c r="H16" s="236" t="n">
        <v>1</v>
      </c>
      <c r="I16" s="165">
        <f>ROUND(F16*Прил.10!D10,2)</f>
        <v/>
      </c>
      <c r="J16" s="71">
        <f>ROUND(I16*E16,2)</f>
        <v/>
      </c>
      <c r="L16" s="100" t="n"/>
    </row>
    <row r="17" ht="14.25" customFormat="1" customHeight="1" s="190">
      <c r="A17" s="237" t="n"/>
      <c r="B17" s="221" t="inlineStr">
        <is>
          <t>Машины и механизмы</t>
        </is>
      </c>
      <c r="C17" s="260" t="n"/>
      <c r="D17" s="260" t="n"/>
      <c r="E17" s="260" t="n"/>
      <c r="F17" s="260" t="n"/>
      <c r="G17" s="260" t="n"/>
      <c r="H17" s="261" t="n"/>
      <c r="I17" s="236" t="n"/>
      <c r="J17" s="94" t="n"/>
    </row>
    <row r="18" ht="14.25" customFormat="1" customHeight="1" s="190">
      <c r="A18" s="237" t="n"/>
      <c r="B18" s="232" t="inlineStr">
        <is>
          <t>Основные машины и механизмы</t>
        </is>
      </c>
      <c r="C18" s="260" t="n"/>
      <c r="D18" s="260" t="n"/>
      <c r="E18" s="260" t="n"/>
      <c r="F18" s="260" t="n"/>
      <c r="G18" s="260" t="n"/>
      <c r="H18" s="261" t="n"/>
      <c r="I18" s="162" t="n"/>
      <c r="J18" s="69" t="n"/>
    </row>
    <row r="19" ht="25.5" customFormat="1" customHeight="1" s="190">
      <c r="A19" s="237" t="n">
        <v>3</v>
      </c>
      <c r="B19" s="163" t="inlineStr">
        <is>
          <t>91.06.03-058</t>
        </is>
      </c>
      <c r="C19" s="232" t="inlineStr">
        <is>
          <t>Лебедки электрические тяговым усилием 156,96 кН (16 т)</t>
        </is>
      </c>
      <c r="D19" s="233" t="inlineStr">
        <is>
          <t>маш.час</t>
        </is>
      </c>
      <c r="E19" s="169" t="n">
        <v>22.86375</v>
      </c>
      <c r="F19" s="170" t="n">
        <v>131.44</v>
      </c>
      <c r="G19" s="165">
        <f>ROUND(E19*F19,2)</f>
        <v/>
      </c>
      <c r="H19" s="236">
        <f>G19/$G$32</f>
        <v/>
      </c>
      <c r="I19" s="165">
        <f>ROUND(F19*Прил.10!$D$11,2)</f>
        <v/>
      </c>
      <c r="J19" s="71">
        <f>ROUND(I19*E19,2)</f>
        <v/>
      </c>
    </row>
    <row r="20" ht="25.5" customFormat="1" customHeight="1" s="190">
      <c r="A20" s="237" t="n">
        <v>4</v>
      </c>
      <c r="B20" s="163" t="inlineStr">
        <is>
          <t>91.05.05-014</t>
        </is>
      </c>
      <c r="C20" s="232" t="inlineStr">
        <is>
          <t>Краны на автомобильном ходу, грузоподъемность 10 т</t>
        </is>
      </c>
      <c r="D20" s="233" t="inlineStr">
        <is>
          <t>маш.час</t>
        </is>
      </c>
      <c r="E20" s="169" t="n">
        <v>12.09875</v>
      </c>
      <c r="F20" s="170" t="n">
        <v>111.99</v>
      </c>
      <c r="G20" s="165">
        <f>ROUND(E20*F20,2)</f>
        <v/>
      </c>
      <c r="H20" s="236">
        <f>G20/$G$32</f>
        <v/>
      </c>
      <c r="I20" s="165">
        <f>ROUND(F20*Прил.10!$D$11,2)</f>
        <v/>
      </c>
      <c r="J20" s="71">
        <f>ROUND(I20*E20,2)</f>
        <v/>
      </c>
    </row>
    <row r="21" ht="14.25" customFormat="1" customHeight="1" s="190">
      <c r="A21" s="237" t="n"/>
      <c r="B21" s="233" t="n"/>
      <c r="C21" s="232" t="inlineStr">
        <is>
          <t>Итого основные машины и механизмы</t>
        </is>
      </c>
      <c r="D21" s="233" t="n"/>
      <c r="E21" s="156" t="n"/>
      <c r="F21" s="165" t="n"/>
      <c r="G21" s="165">
        <f>SUM(G19:G20)</f>
        <v/>
      </c>
      <c r="H21" s="236">
        <f>G21/G32</f>
        <v/>
      </c>
      <c r="I21" s="165" t="n"/>
      <c r="J21" s="71">
        <f>SUM(J19:J20)</f>
        <v/>
      </c>
      <c r="L21" s="74" t="n"/>
    </row>
    <row r="22" outlineLevel="1" ht="25.5" customFormat="1" customHeight="1" s="190">
      <c r="A22" s="237" t="n">
        <v>5</v>
      </c>
      <c r="B22" s="163" t="inlineStr">
        <is>
          <t>91.14.02-001</t>
        </is>
      </c>
      <c r="C22" s="232" t="inlineStr">
        <is>
          <t>Автомобили бортовые, грузоподъемность: до 5 т</t>
        </is>
      </c>
      <c r="D22" s="233" t="inlineStr">
        <is>
          <t>маш.час</t>
        </is>
      </c>
      <c r="E22" s="169" t="n">
        <v>3.1325</v>
      </c>
      <c r="F22" s="170" t="n">
        <v>65.70999999999999</v>
      </c>
      <c r="G22" s="165">
        <f>ROUND(E22*F22,2)</f>
        <v/>
      </c>
      <c r="H22" s="236">
        <f>G22/$G$32</f>
        <v/>
      </c>
      <c r="I22" s="165">
        <f>ROUND(F22*Прил.10!$D$11,2)</f>
        <v/>
      </c>
      <c r="J22" s="71">
        <f>ROUND(I22*E22,2)</f>
        <v/>
      </c>
      <c r="L22" s="74" t="n"/>
    </row>
    <row r="23" outlineLevel="1" ht="25.5" customFormat="1" customHeight="1" s="190">
      <c r="A23" s="237" t="n">
        <v>6</v>
      </c>
      <c r="B23" s="163" t="inlineStr">
        <is>
          <t>91.10.01-002</t>
        </is>
      </c>
      <c r="C23" s="232" t="inlineStr">
        <is>
          <t>Агрегаты наполнительно-опрессовочные: до 300 м3/ч</t>
        </is>
      </c>
      <c r="D23" s="233" t="inlineStr">
        <is>
          <t>маш.час</t>
        </is>
      </c>
      <c r="E23" s="169" t="n">
        <v>0.625</v>
      </c>
      <c r="F23" s="170" t="n">
        <v>287.99</v>
      </c>
      <c r="G23" s="165">
        <f>ROUND(E23*F23,2)</f>
        <v/>
      </c>
      <c r="H23" s="236">
        <f>G23/$G$32</f>
        <v/>
      </c>
      <c r="I23" s="165">
        <f>ROUND(F23*Прил.10!$D$11,2)</f>
        <v/>
      </c>
      <c r="J23" s="71">
        <f>ROUND(I23*E23,2)</f>
        <v/>
      </c>
      <c r="L23" s="74" t="n"/>
    </row>
    <row r="24" outlineLevel="1" ht="25.5" customFormat="1" customHeight="1" s="190">
      <c r="A24" s="237" t="n">
        <v>7</v>
      </c>
      <c r="B24" s="163" t="inlineStr">
        <is>
          <t>91.17.04-161</t>
        </is>
      </c>
      <c r="C24" s="232" t="inlineStr">
        <is>
          <t>Полуавтоматы сварочные номинальным сварочным током 40-500 А</t>
        </is>
      </c>
      <c r="D24" s="233" t="inlineStr">
        <is>
          <t>маш.час</t>
        </is>
      </c>
      <c r="E24" s="169" t="n">
        <v>8.375</v>
      </c>
      <c r="F24" s="170" t="n">
        <v>16.44</v>
      </c>
      <c r="G24" s="165">
        <f>ROUND(E24*F24,2)</f>
        <v/>
      </c>
      <c r="H24" s="236">
        <f>G24/$G$32</f>
        <v/>
      </c>
      <c r="I24" s="165">
        <f>ROUND(F24*Прил.10!$D$11,2)</f>
        <v/>
      </c>
      <c r="J24" s="71">
        <f>ROUND(I24*E24,2)</f>
        <v/>
      </c>
      <c r="L24" s="74" t="n"/>
    </row>
    <row r="25" outlineLevel="1" ht="14.25" customFormat="1" customHeight="1" s="190">
      <c r="A25" s="237" t="n">
        <v>8</v>
      </c>
      <c r="B25" s="163" t="inlineStr">
        <is>
          <t>91.21.22-438</t>
        </is>
      </c>
      <c r="C25" s="232" t="inlineStr">
        <is>
          <t>Установка: передвижная цеолитовая</t>
        </is>
      </c>
      <c r="D25" s="233" t="inlineStr">
        <is>
          <t>маш.час</t>
        </is>
      </c>
      <c r="E25" s="169" t="n">
        <v>1.975</v>
      </c>
      <c r="F25" s="170" t="n">
        <v>38.65</v>
      </c>
      <c r="G25" s="165">
        <f>ROUND(E25*F25,2)</f>
        <v/>
      </c>
      <c r="H25" s="236">
        <f>G25/$G$32</f>
        <v/>
      </c>
      <c r="I25" s="165">
        <f>ROUND(F25*Прил.10!$D$11,2)</f>
        <v/>
      </c>
      <c r="J25" s="71">
        <f>ROUND(I25*E25,2)</f>
        <v/>
      </c>
      <c r="L25" s="74" t="n"/>
    </row>
    <row r="26" outlineLevel="1" ht="25.5" customFormat="1" customHeight="1" s="190">
      <c r="A26" s="237" t="n">
        <v>9</v>
      </c>
      <c r="B26" s="163" t="inlineStr">
        <is>
          <t>91.17.04-233</t>
        </is>
      </c>
      <c r="C26" s="232" t="inlineStr">
        <is>
          <t>Установки для сварки: ручной дуговой (постоянного тока)</t>
        </is>
      </c>
      <c r="D26" s="233" t="inlineStr">
        <is>
          <t>маш.час</t>
        </is>
      </c>
      <c r="E26" s="169" t="n">
        <v>6.1625</v>
      </c>
      <c r="F26" s="170" t="n">
        <v>8.1</v>
      </c>
      <c r="G26" s="165">
        <f>ROUND(E26*F26,2)</f>
        <v/>
      </c>
      <c r="H26" s="236">
        <f>G26/$G$32</f>
        <v/>
      </c>
      <c r="I26" s="165">
        <f>ROUND(F26*Прил.10!$D$11,2)</f>
        <v/>
      </c>
      <c r="J26" s="71">
        <f>ROUND(I26*E26,2)</f>
        <v/>
      </c>
      <c r="L26" s="74" t="n"/>
    </row>
    <row r="27" outlineLevel="1" ht="14.25" customFormat="1" customHeight="1" s="190">
      <c r="A27" s="237" t="n">
        <v>10</v>
      </c>
      <c r="B27" s="163" t="inlineStr">
        <is>
          <t>91.19.12-021</t>
        </is>
      </c>
      <c r="C27" s="232" t="inlineStr">
        <is>
          <t>Насос вакуумный: 3,6 м3/мин</t>
        </is>
      </c>
      <c r="D27" s="233" t="inlineStr">
        <is>
          <t>маш.час</t>
        </is>
      </c>
      <c r="E27" s="169" t="n">
        <v>6.525</v>
      </c>
      <c r="F27" s="170" t="n">
        <v>6.28</v>
      </c>
      <c r="G27" s="165">
        <f>ROUND(E27*F27,2)</f>
        <v/>
      </c>
      <c r="H27" s="236">
        <f>G27/$G$32</f>
        <v/>
      </c>
      <c r="I27" s="165">
        <f>ROUND(F27*Прил.10!$D$11,2)</f>
        <v/>
      </c>
      <c r="J27" s="71">
        <f>ROUND(I27*E27,2)</f>
        <v/>
      </c>
      <c r="L27" s="74" t="n"/>
    </row>
    <row r="28" outlineLevel="1" ht="25.5" customFormat="1" customHeight="1" s="190">
      <c r="A28" s="237" t="n">
        <v>11</v>
      </c>
      <c r="B28" s="163" t="inlineStr">
        <is>
          <t>91.21.22-091</t>
        </is>
      </c>
      <c r="C28" s="232" t="inlineStr">
        <is>
          <t>Выпрямитель полупроводниковый для подогрева трансформаторов</t>
        </is>
      </c>
      <c r="D28" s="233" t="inlineStr">
        <is>
          <t>маш.час</t>
        </is>
      </c>
      <c r="E28" s="169" t="n">
        <v>9.425000000000001</v>
      </c>
      <c r="F28" s="170" t="n">
        <v>3.82</v>
      </c>
      <c r="G28" s="165">
        <f>ROUND(E28*F28,2)</f>
        <v/>
      </c>
      <c r="H28" s="236">
        <f>G28/$G$32</f>
        <v/>
      </c>
      <c r="I28" s="165">
        <f>ROUND(F28*Прил.10!$D$11,2)</f>
        <v/>
      </c>
      <c r="J28" s="71">
        <f>ROUND(I28*E28,2)</f>
        <v/>
      </c>
      <c r="L28" s="74" t="n"/>
    </row>
    <row r="29" outlineLevel="1" ht="25.5" customFormat="1" customHeight="1" s="190">
      <c r="A29" s="237" t="n">
        <v>12</v>
      </c>
      <c r="B29" s="163" t="inlineStr">
        <is>
          <t>91.06.06-042</t>
        </is>
      </c>
      <c r="C29" s="232" t="inlineStr">
        <is>
          <t>Подъемники гидравлические высотой подъема: 10 м</t>
        </is>
      </c>
      <c r="D29" s="233" t="inlineStr">
        <is>
          <t>маш.час</t>
        </is>
      </c>
      <c r="E29" s="169" t="n">
        <v>0.5625</v>
      </c>
      <c r="F29" s="170" t="n">
        <v>29.6</v>
      </c>
      <c r="G29" s="165">
        <f>ROUND(E29*F29,2)</f>
        <v/>
      </c>
      <c r="H29" s="236">
        <f>G29/$G$32</f>
        <v/>
      </c>
      <c r="I29" s="165">
        <f>ROUND(F29*Прил.10!$D$11,2)</f>
        <v/>
      </c>
      <c r="J29" s="71">
        <f>ROUND(I29*E29,2)</f>
        <v/>
      </c>
      <c r="L29" s="74" t="n"/>
    </row>
    <row r="30" outlineLevel="1" ht="25.5" customFormat="1" customHeight="1" s="190">
      <c r="A30" s="237" t="n">
        <v>13</v>
      </c>
      <c r="B30" s="163" t="inlineStr">
        <is>
          <t>91.19.02-002</t>
        </is>
      </c>
      <c r="C30" s="232" t="inlineStr">
        <is>
          <t>Маслонасосы шестеренные, производительность м3/час: 2,3</t>
        </is>
      </c>
      <c r="D30" s="233" t="inlineStr">
        <is>
          <t>маш.час</t>
        </is>
      </c>
      <c r="E30" s="169" t="n">
        <v>0.87</v>
      </c>
      <c r="F30" s="170" t="n">
        <v>0.9</v>
      </c>
      <c r="G30" s="165">
        <f>ROUND(E30*F30,2)</f>
        <v/>
      </c>
      <c r="H30" s="236">
        <f>G30/$G$32</f>
        <v/>
      </c>
      <c r="I30" s="165">
        <f>ROUND(F30*Прил.10!$D$11,2)</f>
        <v/>
      </c>
      <c r="J30" s="71">
        <f>ROUND(I30*E30,2)</f>
        <v/>
      </c>
      <c r="L30" s="74" t="n"/>
    </row>
    <row r="31" ht="14.25" customFormat="1" customHeight="1" s="190">
      <c r="A31" s="237" t="n"/>
      <c r="B31" s="233" t="n"/>
      <c r="C31" s="232" t="inlineStr">
        <is>
          <t>Итого прочие машины и механизмы</t>
        </is>
      </c>
      <c r="D31" s="233" t="n"/>
      <c r="E31" s="234" t="n"/>
      <c r="F31" s="165" t="n"/>
      <c r="G31" s="165">
        <f>SUM(G22:G30)</f>
        <v/>
      </c>
      <c r="H31" s="236">
        <f>G31/G32</f>
        <v/>
      </c>
      <c r="I31" s="165" t="n"/>
      <c r="J31" s="71">
        <f>SUM(J22:J30)</f>
        <v/>
      </c>
      <c r="K31" s="74" t="n"/>
      <c r="L31" s="142" t="n"/>
    </row>
    <row r="32" ht="25.5" customFormat="1" customHeight="1" s="190">
      <c r="A32" s="237" t="n"/>
      <c r="B32" s="238" t="n"/>
      <c r="C32" s="83" t="inlineStr">
        <is>
          <t>Итого по разделу «Машины и механизмы»</t>
        </is>
      </c>
      <c r="D32" s="238" t="n"/>
      <c r="E32" s="84" t="n"/>
      <c r="F32" s="85" t="n"/>
      <c r="G32" s="85">
        <f>G21+G31</f>
        <v/>
      </c>
      <c r="H32" s="86" t="n">
        <v>1</v>
      </c>
      <c r="I32" s="85" t="n"/>
      <c r="J32" s="85">
        <f>J21+J31</f>
        <v/>
      </c>
    </row>
    <row r="33" s="173">
      <c r="A33" s="229" t="n"/>
      <c r="B33" s="222" t="inlineStr">
        <is>
          <t xml:space="preserve">Оборудование </t>
        </is>
      </c>
      <c r="C33" s="260" t="n"/>
      <c r="D33" s="260" t="n"/>
      <c r="E33" s="260" t="n"/>
      <c r="F33" s="260" t="n"/>
      <c r="G33" s="260" t="n"/>
      <c r="H33" s="260" t="n"/>
      <c r="I33" s="260" t="n"/>
      <c r="J33" s="261" t="n"/>
      <c r="K33" s="190" t="n"/>
      <c r="L33" s="190" t="n"/>
      <c r="M33" s="190" t="n"/>
      <c r="N33" s="190" t="n"/>
    </row>
    <row r="34" ht="15" customHeight="1" s="173">
      <c r="A34" s="237" t="n"/>
      <c r="B34" s="241" t="inlineStr">
        <is>
          <t>Основное оборудование</t>
        </is>
      </c>
      <c r="K34" s="190" t="n"/>
      <c r="L34" s="190" t="n"/>
      <c r="M34" s="190" t="n"/>
      <c r="N34" s="190" t="n"/>
    </row>
    <row r="35" ht="25.5" customHeight="1" s="173">
      <c r="A35" s="237" t="n">
        <v>14</v>
      </c>
      <c r="B35" s="78" t="inlineStr">
        <is>
          <t>БЦ.76_1.1040</t>
        </is>
      </c>
      <c r="C35" s="242" t="inlineStr">
        <is>
          <t>Ячейка выключателя КРУ 35кВ, ном.ток 2500А, ном.ток отключения 31,5кА</t>
        </is>
      </c>
      <c r="D35" s="237" t="inlineStr">
        <is>
          <t>шт.</t>
        </is>
      </c>
      <c r="E35" s="76" t="n">
        <v>1</v>
      </c>
      <c r="F35" s="244">
        <f>ROUND(I35/Прил.10!D13,2)</f>
        <v/>
      </c>
      <c r="G35" s="71">
        <f>ROUND(E35*F35,2)</f>
        <v/>
      </c>
      <c r="H35" s="94">
        <f>G35/$G$40</f>
        <v/>
      </c>
      <c r="I35" s="71" t="n">
        <v>17496000</v>
      </c>
      <c r="J35" s="71">
        <f>ROUND(I35*E35,2)</f>
        <v/>
      </c>
      <c r="K35" s="190" t="n"/>
      <c r="L35" s="190" t="n"/>
      <c r="M35" s="190" t="n"/>
      <c r="N35" s="190" t="n"/>
    </row>
    <row r="36" s="173">
      <c r="A36" s="237" t="n"/>
      <c r="B36" s="237" t="n"/>
      <c r="C36" s="242" t="inlineStr">
        <is>
          <t>Итого основное оборудование</t>
        </is>
      </c>
      <c r="D36" s="237" t="n"/>
      <c r="E36" s="76" t="n"/>
      <c r="F36" s="244" t="n"/>
      <c r="G36" s="71">
        <f>SUM(G35:G35)</f>
        <v/>
      </c>
      <c r="H36" s="94">
        <f>G36/$G$40</f>
        <v/>
      </c>
      <c r="I36" s="71" t="n"/>
      <c r="J36" s="71">
        <f>SUM(J35:J35)</f>
        <v/>
      </c>
      <c r="K36" s="74" t="n"/>
      <c r="L36" s="190" t="n"/>
      <c r="M36" s="190" t="n"/>
      <c r="N36" s="190" t="n"/>
    </row>
    <row r="37" outlineLevel="1" s="173">
      <c r="A37" s="237" t="n"/>
      <c r="B37" s="237" t="n"/>
      <c r="C37" s="242" t="n"/>
      <c r="D37" s="237" t="n"/>
      <c r="E37" s="76" t="n"/>
      <c r="F37" s="244" t="n"/>
      <c r="G37" s="71">
        <f>ROUND(E37*F37,2)</f>
        <v/>
      </c>
      <c r="H37" s="94">
        <f>G37/$G$40</f>
        <v/>
      </c>
      <c r="I37" s="71">
        <f>ROUND(F37*Прил.10!$D$13,2)</f>
        <v/>
      </c>
      <c r="J37" s="71">
        <f>ROUND(I37*E37,2)</f>
        <v/>
      </c>
      <c r="K37" s="74" t="n"/>
      <c r="L37" s="190" t="n"/>
      <c r="M37" s="190" t="n"/>
      <c r="N37" s="190" t="n"/>
    </row>
    <row r="38" outlineLevel="1" s="173">
      <c r="A38" s="237" t="n"/>
      <c r="B38" s="237" t="n"/>
      <c r="C38" s="242" t="n"/>
      <c r="D38" s="237" t="n"/>
      <c r="E38" s="76" t="n"/>
      <c r="F38" s="244" t="n"/>
      <c r="G38" s="71">
        <f>ROUND(E38*F38,2)</f>
        <v/>
      </c>
      <c r="H38" s="94">
        <f>G38/$G$40</f>
        <v/>
      </c>
      <c r="I38" s="71">
        <f>ROUND(F38*Прил.10!$D$13,2)</f>
        <v/>
      </c>
      <c r="J38" s="71">
        <f>ROUND(I38*E38,2)</f>
        <v/>
      </c>
      <c r="K38" s="74" t="n"/>
      <c r="L38" s="190" t="n"/>
      <c r="M38" s="190" t="n"/>
      <c r="N38" s="190" t="n"/>
    </row>
    <row r="39" s="173">
      <c r="A39" s="237" t="n"/>
      <c r="B39" s="237" t="n"/>
      <c r="C39" s="242" t="inlineStr">
        <is>
          <t>Итого прочее оборудование</t>
        </is>
      </c>
      <c r="D39" s="237" t="n"/>
      <c r="E39" s="243" t="n"/>
      <c r="F39" s="244" t="n"/>
      <c r="G39" s="71">
        <f>SUM(G37:G38)</f>
        <v/>
      </c>
      <c r="H39" s="94">
        <f>G39/$G$40</f>
        <v/>
      </c>
      <c r="I39" s="71" t="n"/>
      <c r="J39" s="71">
        <f>SUM(J37:J38)</f>
        <v/>
      </c>
      <c r="K39" s="74" t="n"/>
      <c r="L39" s="142" t="n"/>
      <c r="M39" s="190" t="n"/>
      <c r="N39" s="190" t="n"/>
    </row>
    <row r="40" s="173">
      <c r="A40" s="237" t="n"/>
      <c r="B40" s="237" t="n"/>
      <c r="C40" s="222" t="inlineStr">
        <is>
          <t>Итого по разделу «Оборудование»</t>
        </is>
      </c>
      <c r="D40" s="237" t="n"/>
      <c r="E40" s="243" t="n"/>
      <c r="F40" s="244" t="n"/>
      <c r="G40" s="71">
        <f>Прил.3!H29</f>
        <v/>
      </c>
      <c r="H40" s="94">
        <f>(G36+G39)/G40</f>
        <v/>
      </c>
      <c r="I40" s="71" t="n"/>
      <c r="J40" s="71">
        <f>J39+J36</f>
        <v/>
      </c>
      <c r="K40" s="74" t="n"/>
      <c r="L40" s="190" t="n"/>
      <c r="M40" s="190" t="n"/>
      <c r="N40" s="190" t="n"/>
    </row>
    <row r="41" ht="25.5" customHeight="1" s="173">
      <c r="A41" s="237" t="n"/>
      <c r="B41" s="237" t="n"/>
      <c r="C41" s="242" t="inlineStr">
        <is>
          <t>в том числе технологическое оборудование</t>
        </is>
      </c>
      <c r="D41" s="237" t="n"/>
      <c r="E41" s="243" t="n"/>
      <c r="F41" s="244" t="n"/>
      <c r="G41" s="71">
        <f>'Прил.6 Расчет ОБ'!G13</f>
        <v/>
      </c>
      <c r="H41" s="94">
        <f>G41/$G$40</f>
        <v/>
      </c>
      <c r="I41" s="71" t="n"/>
      <c r="J41" s="71">
        <f>ROUND(G41*Прил.10!$D$13,2)</f>
        <v/>
      </c>
      <c r="K41" s="74" t="n"/>
      <c r="L41" s="190" t="n"/>
      <c r="M41" s="190" t="n"/>
      <c r="N41" s="190" t="n"/>
    </row>
    <row r="42" ht="14.25" customFormat="1" customHeight="1" s="190">
      <c r="A42" s="237" t="n"/>
      <c r="B42" s="266" t="inlineStr">
        <is>
          <t>Материалы</t>
        </is>
      </c>
      <c r="J42" s="267" t="n"/>
      <c r="K42" s="74" t="n"/>
    </row>
    <row r="43" ht="14.25" customFormat="1" customHeight="1" s="190">
      <c r="A43" s="237" t="n"/>
      <c r="B43" s="242" t="inlineStr">
        <is>
          <t>Основные материалы</t>
        </is>
      </c>
      <c r="C43" s="260" t="n"/>
      <c r="D43" s="260" t="n"/>
      <c r="E43" s="260" t="n"/>
      <c r="F43" s="260" t="n"/>
      <c r="G43" s="260" t="n"/>
      <c r="H43" s="261" t="n"/>
      <c r="I43" s="94" t="n"/>
      <c r="J43" s="94" t="n"/>
    </row>
    <row r="44" ht="14.25" customFormat="1" customHeight="1" s="190">
      <c r="A44" s="237" t="n">
        <v>15</v>
      </c>
      <c r="B44" s="78" t="inlineStr">
        <is>
          <t>01.1.02.01-0003</t>
        </is>
      </c>
      <c r="C44" s="242" t="inlineStr">
        <is>
          <t>Асботекстолит, марка Г</t>
        </is>
      </c>
      <c r="D44" s="237" t="inlineStr">
        <is>
          <t>т</t>
        </is>
      </c>
      <c r="E44" s="76" t="n">
        <v>0.0255</v>
      </c>
      <c r="F44" s="252" t="n">
        <v>161000</v>
      </c>
      <c r="G44" s="71">
        <f>ROUND(E44*F44,2)</f>
        <v/>
      </c>
      <c r="H44" s="94">
        <f>G44/$G$74</f>
        <v/>
      </c>
      <c r="I44" s="71">
        <f>ROUND(F44*Прил.10!$D$12,2)</f>
        <v/>
      </c>
      <c r="J44" s="71">
        <f>ROUND(I44*E44,2)</f>
        <v/>
      </c>
    </row>
    <row r="45" ht="14.25" customFormat="1" customHeight="1" s="190">
      <c r="A45" s="237" t="n">
        <v>16</v>
      </c>
      <c r="B45" s="78" t="inlineStr">
        <is>
          <t>01.3.02.02-0001</t>
        </is>
      </c>
      <c r="C45" s="242" t="inlineStr">
        <is>
          <t>Аргон газообразный, сорт I</t>
        </is>
      </c>
      <c r="D45" s="237" t="inlineStr">
        <is>
          <t>м3</t>
        </is>
      </c>
      <c r="E45" s="76" t="n">
        <v>121.5</v>
      </c>
      <c r="F45" s="252" t="n">
        <v>17.86</v>
      </c>
      <c r="G45" s="71">
        <f>ROUND(E45*F45,2)</f>
        <v/>
      </c>
      <c r="H45" s="94">
        <f>G45/$G$74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0">
      <c r="A46" s="237" t="n">
        <v>17</v>
      </c>
      <c r="B46" s="78" t="inlineStr">
        <is>
          <t>21.1.08.03-0078</t>
        </is>
      </c>
      <c r="C46" s="242" t="inlineStr">
        <is>
          <t>Кабель контрольный КВВГЭнг(A)-FRLS 5х2,5</t>
        </is>
      </c>
      <c r="D46" s="237" t="inlineStr">
        <is>
          <t>1000 м</t>
        </is>
      </c>
      <c r="E46" s="76" t="n">
        <v>0.05</v>
      </c>
      <c r="F46" s="252" t="n">
        <v>36884.36</v>
      </c>
      <c r="G46" s="71">
        <f>ROUND(E46*F46,2)</f>
        <v/>
      </c>
      <c r="H46" s="94">
        <f>G46/$G$74</f>
        <v/>
      </c>
      <c r="I46" s="71">
        <f>ROUND(F46*Прил.10!$D$12,2)</f>
        <v/>
      </c>
      <c r="J46" s="71">
        <f>ROUND(I46*E46,2)</f>
        <v/>
      </c>
    </row>
    <row r="47" ht="25.5" customFormat="1" customHeight="1" s="190">
      <c r="A47" s="237" t="n">
        <v>18</v>
      </c>
      <c r="B47" s="78" t="inlineStr">
        <is>
          <t>01.1.02.09-0021</t>
        </is>
      </c>
      <c r="C47" s="242" t="inlineStr">
        <is>
          <t>Ткань асбестовая со стеклонитью АСТ-1, толщина 1,8 мм</t>
        </is>
      </c>
      <c r="D47" s="237" t="inlineStr">
        <is>
          <t>т</t>
        </is>
      </c>
      <c r="E47" s="76" t="n">
        <v>0.0268</v>
      </c>
      <c r="F47" s="252" t="n">
        <v>66860</v>
      </c>
      <c r="G47" s="71">
        <f>ROUND(E47*F47,2)</f>
        <v/>
      </c>
      <c r="H47" s="94">
        <f>G47/$G$74</f>
        <v/>
      </c>
      <c r="I47" s="71">
        <f>ROUND(F47*Прил.10!$D$12,2)</f>
        <v/>
      </c>
      <c r="J47" s="71">
        <f>ROUND(I47*E47,2)</f>
        <v/>
      </c>
    </row>
    <row r="48" ht="25.5" customFormat="1" customHeight="1" s="190">
      <c r="A48" s="237" t="n">
        <v>19</v>
      </c>
      <c r="B48" s="78" t="inlineStr">
        <is>
          <t>01.7.11.04-0002</t>
        </is>
      </c>
      <c r="C48" s="242" t="inlineStr">
        <is>
          <t>Проволока наплавочная ПП-Нп-19СТ, диаметр 3 мм</t>
        </is>
      </c>
      <c r="D48" s="237" t="inlineStr">
        <is>
          <t>т</t>
        </is>
      </c>
      <c r="E48" s="76" t="n">
        <v>0.08699999999999999</v>
      </c>
      <c r="F48" s="252" t="n">
        <v>20300</v>
      </c>
      <c r="G48" s="71">
        <f>ROUND(E48*F48,2)</f>
        <v/>
      </c>
      <c r="H48" s="94">
        <f>G48/$G$74</f>
        <v/>
      </c>
      <c r="I48" s="71">
        <f>ROUND(F48*Прил.10!$D$12,2)</f>
        <v/>
      </c>
      <c r="J48" s="71">
        <f>ROUND(I48*E48,2)</f>
        <v/>
      </c>
    </row>
    <row r="49" ht="14.25" customFormat="1" customHeight="1" s="190">
      <c r="A49" s="237" t="n">
        <v>20</v>
      </c>
      <c r="B49" s="78" t="inlineStr">
        <is>
          <t>14.4.02.09-0001</t>
        </is>
      </c>
      <c r="C49" s="242" t="inlineStr">
        <is>
          <t>Краска</t>
        </is>
      </c>
      <c r="D49" s="237" t="inlineStr">
        <is>
          <t>кг</t>
        </is>
      </c>
      <c r="E49" s="76" t="n">
        <v>53.7</v>
      </c>
      <c r="F49" s="252" t="n">
        <v>28.6</v>
      </c>
      <c r="G49" s="71">
        <f>ROUND(E49*F49,2)</f>
        <v/>
      </c>
      <c r="H49" s="94">
        <f>G49/$G$74</f>
        <v/>
      </c>
      <c r="I49" s="71">
        <f>ROUND(F49*Прил.10!$D$12,2)</f>
        <v/>
      </c>
      <c r="J49" s="71">
        <f>ROUND(I49*E49,2)</f>
        <v/>
      </c>
    </row>
    <row r="50" ht="38.25" customFormat="1" customHeight="1" s="190">
      <c r="A50" s="237" t="n">
        <v>21</v>
      </c>
      <c r="B50" s="78" t="inlineStr">
        <is>
          <t>25.1.01.04-0012</t>
        </is>
      </c>
      <c r="C50" s="242" t="inlineStr">
        <is>
          <t>Шпалы из древесины хвойных пород для колеи 600 мм, непропитанные, длина 1200 мм, тип II</t>
        </is>
      </c>
      <c r="D50" s="237" t="inlineStr">
        <is>
          <t>шт</t>
        </is>
      </c>
      <c r="E50" s="76" t="n">
        <v>30</v>
      </c>
      <c r="F50" s="252" t="n">
        <v>42.6</v>
      </c>
      <c r="G50" s="71">
        <f>ROUND(E50*F50,2)</f>
        <v/>
      </c>
      <c r="H50" s="94">
        <f>G50/$G$74</f>
        <v/>
      </c>
      <c r="I50" s="71">
        <f>ROUND(F50*Прил.10!$D$12,2)</f>
        <v/>
      </c>
      <c r="J50" s="71">
        <f>ROUND(I50*E50,2)</f>
        <v/>
      </c>
    </row>
    <row r="51" ht="25.5" customFormat="1" customHeight="1" s="190">
      <c r="A51" s="237" t="n">
        <v>22</v>
      </c>
      <c r="B51" s="78" t="inlineStr">
        <is>
          <t>999-9950</t>
        </is>
      </c>
      <c r="C51" s="242" t="inlineStr">
        <is>
          <t>Вспомогательные ненормируемые ресурсы</t>
        </is>
      </c>
      <c r="D51" s="237" t="inlineStr">
        <is>
          <t>руб.</t>
        </is>
      </c>
      <c r="E51" s="76" t="n">
        <v>916.54</v>
      </c>
      <c r="F51" s="252" t="n">
        <v>1</v>
      </c>
      <c r="G51" s="71">
        <f>ROUND(E51*F51,2)</f>
        <v/>
      </c>
      <c r="H51" s="94">
        <f>G51/$G$74</f>
        <v/>
      </c>
      <c r="I51" s="71">
        <f>ROUND(F51*Прил.10!$D$12,2)</f>
        <v/>
      </c>
      <c r="J51" s="71">
        <f>ROUND(I51*E51,2)</f>
        <v/>
      </c>
    </row>
    <row r="52" ht="14.25" customFormat="1" customHeight="1" s="190">
      <c r="A52" s="237" t="n">
        <v>23</v>
      </c>
      <c r="B52" s="78" t="inlineStr">
        <is>
          <t>01.3.02.03-0001</t>
        </is>
      </c>
      <c r="C52" s="242" t="inlineStr">
        <is>
          <t>Ацетилен газообразный технический</t>
        </is>
      </c>
      <c r="D52" s="237" t="inlineStr">
        <is>
          <t>м3</t>
        </is>
      </c>
      <c r="E52" s="76" t="n">
        <v>16.5</v>
      </c>
      <c r="F52" s="252" t="n">
        <v>38.51</v>
      </c>
      <c r="G52" s="71">
        <f>ROUND(E52*F52,2)</f>
        <v/>
      </c>
      <c r="H52" s="94">
        <f>G52/$G$74</f>
        <v/>
      </c>
      <c r="I52" s="71">
        <f>ROUND(F52*Прил.10!$D$12,2)</f>
        <v/>
      </c>
      <c r="J52" s="71">
        <f>ROUND(I52*E52,2)</f>
        <v/>
      </c>
    </row>
    <row r="53" ht="25.5" customFormat="1" customHeight="1" s="190">
      <c r="A53" s="237" t="n">
        <v>24</v>
      </c>
      <c r="B53" s="78" t="inlineStr">
        <is>
          <t>01.7.02.06-0017</t>
        </is>
      </c>
      <c r="C53" s="242" t="inlineStr">
        <is>
          <t>Картон строительный прокладочный, марка Б</t>
        </is>
      </c>
      <c r="D53" s="237" t="inlineStr">
        <is>
          <t>т</t>
        </is>
      </c>
      <c r="E53" s="76" t="n">
        <v>0.03</v>
      </c>
      <c r="F53" s="252" t="n">
        <v>19800</v>
      </c>
      <c r="G53" s="71">
        <f>ROUND(E53*F53,2)</f>
        <v/>
      </c>
      <c r="H53" s="94">
        <f>G53/$G$74</f>
        <v/>
      </c>
      <c r="I53" s="71">
        <f>ROUND(F53*Прил.10!$D$12,2)</f>
        <v/>
      </c>
      <c r="J53" s="71">
        <f>ROUND(I53*E53,2)</f>
        <v/>
      </c>
    </row>
    <row r="54" ht="25.5" customFormat="1" customHeight="1" s="190">
      <c r="A54" s="237" t="n">
        <v>25</v>
      </c>
      <c r="B54" s="78" t="inlineStr">
        <is>
          <t>01.7.19.04-0031</t>
        </is>
      </c>
      <c r="C54" s="242" t="inlineStr">
        <is>
          <t>Прокладки резиновые (пластина техническая прессованная)</t>
        </is>
      </c>
      <c r="D54" s="237" t="inlineStr">
        <is>
          <t>кг</t>
        </is>
      </c>
      <c r="E54" s="76" t="n">
        <v>18.75</v>
      </c>
      <c r="F54" s="252" t="n">
        <v>23.09</v>
      </c>
      <c r="G54" s="71">
        <f>ROUND(E54*F54,2)</f>
        <v/>
      </c>
      <c r="H54" s="94">
        <f>G54/$G$74</f>
        <v/>
      </c>
      <c r="I54" s="71">
        <f>ROUND(F54*Прил.10!$D$12,2)</f>
        <v/>
      </c>
      <c r="J54" s="71">
        <f>ROUND(I54*E54,2)</f>
        <v/>
      </c>
    </row>
    <row r="55" ht="14.25" customFormat="1" customHeight="1" s="190">
      <c r="A55" s="237" t="n"/>
      <c r="B55" s="237" t="n"/>
      <c r="C55" s="242" t="inlineStr">
        <is>
          <t>Итого основные материалы</t>
        </is>
      </c>
      <c r="D55" s="237" t="n"/>
      <c r="E55" s="76" t="n"/>
      <c r="F55" s="244" t="n"/>
      <c r="G55" s="71">
        <f>SUM(G44:G54)</f>
        <v/>
      </c>
      <c r="H55" s="94">
        <f>G55/$G$74</f>
        <v/>
      </c>
      <c r="I55" s="71" t="n"/>
      <c r="J55" s="71">
        <f>SUM(J44:J54)</f>
        <v/>
      </c>
      <c r="K55" s="74" t="n"/>
    </row>
    <row r="56" outlineLevel="1" ht="14.25" customFormat="1" customHeight="1" s="190">
      <c r="A56" s="237" t="n">
        <v>26</v>
      </c>
      <c r="B56" s="78" t="inlineStr">
        <is>
          <t>07.2.07.13-0171</t>
        </is>
      </c>
      <c r="C56" s="242" t="inlineStr">
        <is>
          <t>Подкладки металлические</t>
        </is>
      </c>
      <c r="D56" s="237" t="inlineStr">
        <is>
          <t>кг</t>
        </is>
      </c>
      <c r="E56" s="76" t="n">
        <v>30</v>
      </c>
      <c r="F56" s="252" t="n">
        <v>12.6</v>
      </c>
      <c r="G56" s="71">
        <f>ROUND(F56*E56,2)</f>
        <v/>
      </c>
      <c r="H56" s="94">
        <f>G56/$G$74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90">
      <c r="A57" s="237" t="n">
        <v>27</v>
      </c>
      <c r="B57" s="78" t="inlineStr">
        <is>
          <t>01.7.11.07-0034</t>
        </is>
      </c>
      <c r="C57" s="242" t="inlineStr">
        <is>
          <t>Электроды диаметром: 4 мм Э42А</t>
        </is>
      </c>
      <c r="D57" s="237" t="inlineStr">
        <is>
          <t>кг</t>
        </is>
      </c>
      <c r="E57" s="76" t="n">
        <v>34</v>
      </c>
      <c r="F57" s="252" t="n">
        <v>10.57</v>
      </c>
      <c r="G57" s="71">
        <f>ROUND(F57*E57,2)</f>
        <v/>
      </c>
      <c r="H57" s="94">
        <f>G57/$G$74</f>
        <v/>
      </c>
      <c r="I57" s="71">
        <f>ROUND(F57*Прил.10!$D$12,2)</f>
        <v/>
      </c>
      <c r="J57" s="71">
        <f>ROUND(I57*E57,2)</f>
        <v/>
      </c>
    </row>
    <row r="58" outlineLevel="1" ht="14.25" customFormat="1" customHeight="1" s="190">
      <c r="A58" s="237" t="n">
        <v>28</v>
      </c>
      <c r="B58" s="78" t="inlineStr">
        <is>
          <t>01.3.01.02-0002</t>
        </is>
      </c>
      <c r="C58" s="242" t="inlineStr">
        <is>
          <t>Вазелин технический</t>
        </is>
      </c>
      <c r="D58" s="237" t="inlineStr">
        <is>
          <t>кг</t>
        </is>
      </c>
      <c r="E58" s="76" t="n">
        <v>5.88</v>
      </c>
      <c r="F58" s="252" t="n">
        <v>44.97</v>
      </c>
      <c r="G58" s="71">
        <f>ROUND(F58*E58,2)</f>
        <v/>
      </c>
      <c r="H58" s="94">
        <f>G58/$G$74</f>
        <v/>
      </c>
      <c r="I58" s="71">
        <f>ROUND(F58*Прил.10!$D$12,2)</f>
        <v/>
      </c>
      <c r="J58" s="71">
        <f>ROUND(I58*E58,2)</f>
        <v/>
      </c>
    </row>
    <row r="59" outlineLevel="1" ht="38.25" customFormat="1" customHeight="1" s="190">
      <c r="A59" s="237" t="n">
        <v>29</v>
      </c>
      <c r="B59" s="78" t="inlineStr">
        <is>
          <t>11.1.03.05-0085</t>
        </is>
      </c>
      <c r="C59" s="242" t="inlineStr">
        <is>
          <t>Доски необрезные хвойных пород длиной: 4-6,5 м, все ширины, толщиной 44 мм и более, III сорта</t>
        </is>
      </c>
      <c r="D59" s="237" t="inlineStr">
        <is>
          <t>м3</t>
        </is>
      </c>
      <c r="E59" s="76" t="n">
        <v>0.328</v>
      </c>
      <c r="F59" s="252" t="n">
        <v>684</v>
      </c>
      <c r="G59" s="71">
        <f>ROUND(F59*E59,2)</f>
        <v/>
      </c>
      <c r="H59" s="94">
        <f>G59/$G$74</f>
        <v/>
      </c>
      <c r="I59" s="71">
        <f>ROUND(F59*Прил.10!$D$12,2)</f>
        <v/>
      </c>
      <c r="J59" s="71">
        <f>ROUND(I59*E59,2)</f>
        <v/>
      </c>
    </row>
    <row r="60" outlineLevel="1" ht="25.5" customFormat="1" customHeight="1" s="190">
      <c r="A60" s="237" t="n">
        <v>30</v>
      </c>
      <c r="B60" s="78" t="inlineStr">
        <is>
          <t>01.7.15.06-0121</t>
        </is>
      </c>
      <c r="C60" s="242" t="inlineStr">
        <is>
          <t>Гвозди строительные с плоской головкой: 1,6x50 мм</t>
        </is>
      </c>
      <c r="D60" s="237" t="inlineStr">
        <is>
          <t>т</t>
        </is>
      </c>
      <c r="E60" s="76" t="n">
        <v>0.0225</v>
      </c>
      <c r="F60" s="252" t="n">
        <v>8475</v>
      </c>
      <c r="G60" s="71">
        <f>ROUND(F60*E60,2)</f>
        <v/>
      </c>
      <c r="H60" s="94">
        <f>G60/$G$74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90">
      <c r="A61" s="237" t="n">
        <v>31</v>
      </c>
      <c r="B61" s="78" t="inlineStr">
        <is>
          <t>01.7.20.08-0031</t>
        </is>
      </c>
      <c r="C61" s="242" t="inlineStr">
        <is>
          <t>Бязь суровая арт. 6804</t>
        </is>
      </c>
      <c r="D61" s="237" t="inlineStr">
        <is>
          <t>10 м2</t>
        </is>
      </c>
      <c r="E61" s="76" t="n">
        <v>2.38</v>
      </c>
      <c r="F61" s="252" t="n">
        <v>79.09999999999999</v>
      </c>
      <c r="G61" s="71">
        <f>ROUND(F61*E61,2)</f>
        <v/>
      </c>
      <c r="H61" s="94">
        <f>G61/$G$74</f>
        <v/>
      </c>
      <c r="I61" s="71">
        <f>ROUND(F61*Прил.10!$D$12,2)</f>
        <v/>
      </c>
      <c r="J61" s="71">
        <f>ROUND(I61*E61,2)</f>
        <v/>
      </c>
    </row>
    <row r="62" outlineLevel="1" ht="14.25" customFormat="1" customHeight="1" s="190">
      <c r="A62" s="237" t="n">
        <v>32</v>
      </c>
      <c r="B62" s="78" t="inlineStr">
        <is>
          <t>14.5.09.01-0003</t>
        </is>
      </c>
      <c r="C62" s="242" t="inlineStr">
        <is>
          <t>Ацетон технический, сорт высший</t>
        </is>
      </c>
      <c r="D62" s="237" t="inlineStr">
        <is>
          <t>т</t>
        </is>
      </c>
      <c r="E62" s="76" t="n">
        <v>0.018</v>
      </c>
      <c r="F62" s="252" t="n">
        <v>9360</v>
      </c>
      <c r="G62" s="71">
        <f>ROUND(F62*E62,2)</f>
        <v/>
      </c>
      <c r="H62" s="94">
        <f>G62/$G$74</f>
        <v/>
      </c>
      <c r="I62" s="71">
        <f>ROUND(F62*Прил.10!$D$12,2)</f>
        <v/>
      </c>
      <c r="J62" s="71">
        <f>ROUND(I62*E62,2)</f>
        <v/>
      </c>
    </row>
    <row r="63" outlineLevel="1" ht="25.5" customFormat="1" customHeight="1" s="190">
      <c r="A63" s="237" t="n">
        <v>33</v>
      </c>
      <c r="B63" s="78" t="inlineStr">
        <is>
          <t>21.1.06.10-0376</t>
        </is>
      </c>
      <c r="C63" s="242" t="inlineStr">
        <is>
          <t>Кабель силовой с медными жилами ВВГнг(A)-LS 3х2,5ок-1000</t>
        </is>
      </c>
      <c r="D63" s="237" t="inlineStr">
        <is>
          <t>1000 м</t>
        </is>
      </c>
      <c r="E63" s="76" t="n">
        <v>0.01</v>
      </c>
      <c r="F63" s="252" t="n">
        <v>14498.24</v>
      </c>
      <c r="G63" s="71">
        <f>ROUND(F63*E63,2)</f>
        <v/>
      </c>
      <c r="H63" s="94">
        <f>G63/$G$74</f>
        <v/>
      </c>
      <c r="I63" s="71">
        <f>ROUND(F63*Прил.10!$D$12,2)</f>
        <v/>
      </c>
      <c r="J63" s="71">
        <f>ROUND(I63*E63,2)</f>
        <v/>
      </c>
    </row>
    <row r="64" outlineLevel="1" ht="14.25" customFormat="1" customHeight="1" s="190">
      <c r="A64" s="237" t="n">
        <v>34</v>
      </c>
      <c r="B64" s="78" t="inlineStr">
        <is>
          <t>01.7.15.10-0053</t>
        </is>
      </c>
      <c r="C64" s="242" t="inlineStr">
        <is>
          <t>Скобы: металлические</t>
        </is>
      </c>
      <c r="D64" s="237" t="inlineStr">
        <is>
          <t>кг</t>
        </is>
      </c>
      <c r="E64" s="76" t="n">
        <v>21</v>
      </c>
      <c r="F64" s="252" t="n">
        <v>6.4</v>
      </c>
      <c r="G64" s="71">
        <f>ROUND(F64*E64,2)</f>
        <v/>
      </c>
      <c r="H64" s="94">
        <f>G64/$G$74</f>
        <v/>
      </c>
      <c r="I64" s="71">
        <f>ROUND(F64*Прил.10!$D$12,2)</f>
        <v/>
      </c>
      <c r="J64" s="71">
        <f>ROUND(I64*E64,2)</f>
        <v/>
      </c>
    </row>
    <row r="65" outlineLevel="1" ht="14.25" customFormat="1" customHeight="1" s="190">
      <c r="A65" s="237" t="n">
        <v>35</v>
      </c>
      <c r="B65" s="78" t="inlineStr">
        <is>
          <t>01.3.02.08-0001</t>
        </is>
      </c>
      <c r="C65" s="242" t="inlineStr">
        <is>
          <t>Кислород технический: газообразный</t>
        </is>
      </c>
      <c r="D65" s="237" t="inlineStr">
        <is>
          <t>м3</t>
        </is>
      </c>
      <c r="E65" s="76" t="n">
        <v>15.45</v>
      </c>
      <c r="F65" s="252" t="n">
        <v>6.22</v>
      </c>
      <c r="G65" s="71">
        <f>ROUND(F65*E65,2)</f>
        <v/>
      </c>
      <c r="H65" s="94">
        <f>G65/$G$74</f>
        <v/>
      </c>
      <c r="I65" s="71">
        <f>ROUND(F65*Прил.10!$D$12,2)</f>
        <v/>
      </c>
      <c r="J65" s="71">
        <f>ROUND(I65*E65,2)</f>
        <v/>
      </c>
    </row>
    <row r="66" outlineLevel="1" ht="25.5" customFormat="1" customHeight="1" s="190">
      <c r="A66" s="237" t="n">
        <v>36</v>
      </c>
      <c r="B66" s="78" t="inlineStr">
        <is>
          <t>01.3.01.06-0050</t>
        </is>
      </c>
      <c r="C66" s="242" t="inlineStr">
        <is>
          <t>Смазка универсальная тугоплавкая УТ (консталин жировой)</t>
        </is>
      </c>
      <c r="D66" s="237" t="inlineStr">
        <is>
          <t>т</t>
        </is>
      </c>
      <c r="E66" s="76" t="n">
        <v>0.0051</v>
      </c>
      <c r="F66" s="252" t="n">
        <v>17500</v>
      </c>
      <c r="G66" s="71">
        <f>ROUND(F66*E66,2)</f>
        <v/>
      </c>
      <c r="H66" s="94">
        <f>G66/$G$74</f>
        <v/>
      </c>
      <c r="I66" s="71">
        <f>ROUND(F66*Прил.10!$D$12,2)</f>
        <v/>
      </c>
      <c r="J66" s="71">
        <f>ROUND(I66*E66,2)</f>
        <v/>
      </c>
    </row>
    <row r="67" outlineLevel="1" ht="25.5" customFormat="1" customHeight="1" s="190">
      <c r="A67" s="237" t="n">
        <v>37</v>
      </c>
      <c r="B67" s="78" t="inlineStr">
        <is>
          <t>08.3.07.01-0076</t>
        </is>
      </c>
      <c r="C67" s="242" t="inlineStr">
        <is>
          <t>Сталь полосовая, марка стали: Ст3сп шириной 50-200 мм толщиной 4-5 мм</t>
        </is>
      </c>
      <c r="D67" s="237" t="inlineStr">
        <is>
          <t>т</t>
        </is>
      </c>
      <c r="E67" s="76" t="n">
        <v>0.017</v>
      </c>
      <c r="F67" s="252" t="n">
        <v>5000</v>
      </c>
      <c r="G67" s="71">
        <f>ROUND(F67*E67,2)</f>
        <v/>
      </c>
      <c r="H67" s="94">
        <f>G67/$G$74</f>
        <v/>
      </c>
      <c r="I67" s="71">
        <f>ROUND(F67*Прил.10!$D$12,2)</f>
        <v/>
      </c>
      <c r="J67" s="71">
        <f>ROUND(I67*E67,2)</f>
        <v/>
      </c>
    </row>
    <row r="68" outlineLevel="1" ht="14.25" customFormat="1" customHeight="1" s="190">
      <c r="A68" s="237" t="n">
        <v>38</v>
      </c>
      <c r="B68" s="78" t="inlineStr">
        <is>
          <t>14.5.04.08-0002</t>
        </is>
      </c>
      <c r="C68" s="242" t="inlineStr">
        <is>
          <t>Мастика герметизирующая</t>
        </is>
      </c>
      <c r="D68" s="237" t="inlineStr">
        <is>
          <t>кг</t>
        </is>
      </c>
      <c r="E68" s="76" t="n">
        <v>4.2</v>
      </c>
      <c r="F68" s="252" t="n">
        <v>16.5</v>
      </c>
      <c r="G68" s="71">
        <f>ROUND(F68*E68,2)</f>
        <v/>
      </c>
      <c r="H68" s="94">
        <f>G68/$G$74</f>
        <v/>
      </c>
      <c r="I68" s="71">
        <f>ROUND(F68*Прил.10!$D$12,2)</f>
        <v/>
      </c>
      <c r="J68" s="71">
        <f>ROUND(I68*E68,2)</f>
        <v/>
      </c>
    </row>
    <row r="69" outlineLevel="1" ht="14.25" customFormat="1" customHeight="1" s="190">
      <c r="A69" s="237" t="n">
        <v>39</v>
      </c>
      <c r="B69" s="78" t="inlineStr">
        <is>
          <t>01.3.01.01-0001</t>
        </is>
      </c>
      <c r="C69" s="242" t="inlineStr">
        <is>
          <t>Бензин авиационный Б-70</t>
        </is>
      </c>
      <c r="D69" s="237" t="inlineStr">
        <is>
          <t>т</t>
        </is>
      </c>
      <c r="E69" s="76" t="n">
        <v>0.013</v>
      </c>
      <c r="F69" s="252" t="n">
        <v>4488.4</v>
      </c>
      <c r="G69" s="71">
        <f>ROUND(F69*E69,2)</f>
        <v/>
      </c>
      <c r="H69" s="94">
        <f>G69/$G$74</f>
        <v/>
      </c>
      <c r="I69" s="71">
        <f>ROUND(F69*Прил.10!$D$12,2)</f>
        <v/>
      </c>
      <c r="J69" s="71">
        <f>ROUND(I69*E69,2)</f>
        <v/>
      </c>
    </row>
    <row r="70" outlineLevel="1" ht="14.25" customFormat="1" customHeight="1" s="190">
      <c r="A70" s="237" t="n">
        <v>40</v>
      </c>
      <c r="B70" s="78" t="inlineStr">
        <is>
          <t>01.7.15.03-0042</t>
        </is>
      </c>
      <c r="C70" s="242" t="inlineStr">
        <is>
          <t>Болты с гайками и шайбами строительные</t>
        </is>
      </c>
      <c r="D70" s="237" t="inlineStr">
        <is>
          <t>кг</t>
        </is>
      </c>
      <c r="E70" s="76" t="n">
        <v>3.01</v>
      </c>
      <c r="F70" s="252" t="n">
        <v>9.039999999999999</v>
      </c>
      <c r="G70" s="71">
        <f>ROUND(F70*E70,2)</f>
        <v/>
      </c>
      <c r="H70" s="94">
        <f>G70/$G$74</f>
        <v/>
      </c>
      <c r="I70" s="71">
        <f>ROUND(F70*Прил.10!$D$12,2)</f>
        <v/>
      </c>
      <c r="J70" s="71">
        <f>ROUND(I70*E70,2)</f>
        <v/>
      </c>
    </row>
    <row r="71" outlineLevel="1" ht="25.5" customFormat="1" customHeight="1" s="190">
      <c r="A71" s="237" t="n">
        <v>41</v>
      </c>
      <c r="B71" s="78" t="inlineStr">
        <is>
          <t>01.1.02.02-0021</t>
        </is>
      </c>
      <c r="C71" s="242" t="inlineStr">
        <is>
          <t>Бумага асбестовая электроизоляционная марки: БЭ толщиной 0,2-0,3 мм</t>
        </is>
      </c>
      <c r="D71" s="237" t="inlineStr">
        <is>
          <t>т</t>
        </is>
      </c>
      <c r="E71" s="76" t="n">
        <v>0.0023</v>
      </c>
      <c r="F71" s="252" t="n">
        <v>11549</v>
      </c>
      <c r="G71" s="71">
        <f>ROUND(F71*E71,2)</f>
        <v/>
      </c>
      <c r="H71" s="94">
        <f>G71/$G$74</f>
        <v/>
      </c>
      <c r="I71" s="71">
        <f>ROUND(F71*Прил.10!$D$12,2)</f>
        <v/>
      </c>
      <c r="J71" s="71">
        <f>ROUND(I71*E71,2)</f>
        <v/>
      </c>
    </row>
    <row r="72" outlineLevel="1" ht="14.25" customFormat="1" customHeight="1" s="190">
      <c r="A72" s="237" t="n">
        <v>42</v>
      </c>
      <c r="B72" s="78" t="inlineStr">
        <is>
          <t>25.2.01.01-0001</t>
        </is>
      </c>
      <c r="C72" s="242" t="inlineStr">
        <is>
          <t>Бирки-оконцеватели</t>
        </is>
      </c>
      <c r="D72" s="237" t="inlineStr">
        <is>
          <t>100 шт</t>
        </is>
      </c>
      <c r="E72" s="76" t="n">
        <v>0.363</v>
      </c>
      <c r="F72" s="252" t="n">
        <v>63</v>
      </c>
      <c r="G72" s="71">
        <f>ROUND(F72*E72,2)</f>
        <v/>
      </c>
      <c r="H72" s="94">
        <f>G72/$G$74</f>
        <v/>
      </c>
      <c r="I72" s="71">
        <f>ROUND(F72*Прил.10!$D$12,2)</f>
        <v/>
      </c>
      <c r="J72" s="71">
        <f>ROUND(I72*E72,2)</f>
        <v/>
      </c>
    </row>
    <row r="73" ht="14.25" customFormat="1" customHeight="1" s="190">
      <c r="A73" s="237" t="n"/>
      <c r="B73" s="237" t="n"/>
      <c r="C73" s="242" t="inlineStr">
        <is>
          <t>Итого прочие материалы</t>
        </is>
      </c>
      <c r="D73" s="237" t="n"/>
      <c r="E73" s="243" t="n"/>
      <c r="F73" s="244" t="n"/>
      <c r="G73" s="71">
        <f>SUM(G56:G72)</f>
        <v/>
      </c>
      <c r="H73" s="94">
        <f>G73/G74</f>
        <v/>
      </c>
      <c r="I73" s="71" t="n"/>
      <c r="J73" s="71">
        <f>SUM(J56:J72)</f>
        <v/>
      </c>
      <c r="L73" s="142" t="n"/>
    </row>
    <row r="74" ht="14.25" customFormat="1" customHeight="1" s="190">
      <c r="A74" s="237" t="n"/>
      <c r="B74" s="237" t="n"/>
      <c r="C74" s="222" t="inlineStr">
        <is>
          <t>Итого по разделу «Материалы»</t>
        </is>
      </c>
      <c r="D74" s="237" t="n"/>
      <c r="E74" s="243" t="n"/>
      <c r="F74" s="244" t="n"/>
      <c r="G74" s="71">
        <f>G55+G73</f>
        <v/>
      </c>
      <c r="H74" s="94" t="n">
        <v>1</v>
      </c>
      <c r="I74" s="244" t="n"/>
      <c r="J74" s="71">
        <f>J55+J73</f>
        <v/>
      </c>
      <c r="K74" s="74" t="n"/>
    </row>
    <row r="75" ht="14.25" customFormat="1" customHeight="1" s="190">
      <c r="A75" s="237" t="n"/>
      <c r="B75" s="237" t="n"/>
      <c r="C75" s="242" t="inlineStr">
        <is>
          <t>ИТОГО ПО РМ</t>
        </is>
      </c>
      <c r="D75" s="237" t="n"/>
      <c r="E75" s="243" t="n"/>
      <c r="F75" s="244" t="n"/>
      <c r="G75" s="71">
        <f>G14+G32+G74</f>
        <v/>
      </c>
      <c r="H75" s="94" t="n"/>
      <c r="I75" s="244" t="n"/>
      <c r="J75" s="71">
        <f>J14+J32+J74</f>
        <v/>
      </c>
    </row>
    <row r="76" ht="14.25" customFormat="1" customHeight="1" s="190">
      <c r="A76" s="237" t="n"/>
      <c r="B76" s="237" t="n"/>
      <c r="C76" s="242" t="inlineStr">
        <is>
          <t>Накладные расходы</t>
        </is>
      </c>
      <c r="D76" s="237" t="inlineStr">
        <is>
          <t>%</t>
        </is>
      </c>
      <c r="E76" s="151" t="n">
        <v>1.16</v>
      </c>
      <c r="F76" s="244" t="n"/>
      <c r="G76" s="71" t="n">
        <v>61078</v>
      </c>
      <c r="H76" s="94" t="n"/>
      <c r="I76" s="244" t="n"/>
      <c r="J76" s="71">
        <f>ROUND(E76*(J14+J16),2)</f>
        <v/>
      </c>
      <c r="K76" s="99" t="n"/>
    </row>
    <row r="77" ht="14.25" customFormat="1" customHeight="1" s="190">
      <c r="A77" s="237" t="n"/>
      <c r="B77" s="237" t="n"/>
      <c r="C77" s="242" t="inlineStr">
        <is>
          <t>Сметная прибыль</t>
        </is>
      </c>
      <c r="D77" s="237" t="inlineStr">
        <is>
          <t>%</t>
        </is>
      </c>
      <c r="E77" s="151" t="n">
        <v>0.92</v>
      </c>
      <c r="F77" s="244" t="n"/>
      <c r="G77" s="71" t="n">
        <v>39701</v>
      </c>
      <c r="H77" s="94" t="n"/>
      <c r="I77" s="244" t="n"/>
      <c r="J77" s="71">
        <f>ROUND(E77*(J14+J16),2)</f>
        <v/>
      </c>
      <c r="K77" s="99" t="n"/>
    </row>
    <row r="78" ht="14.25" customFormat="1" customHeight="1" s="190">
      <c r="A78" s="237" t="n"/>
      <c r="B78" s="237" t="n"/>
      <c r="C78" s="242" t="inlineStr">
        <is>
          <t>Итого СМР (с НР и СП)</t>
        </is>
      </c>
      <c r="D78" s="237" t="n"/>
      <c r="E78" s="243" t="n"/>
      <c r="F78" s="244" t="n"/>
      <c r="G78" s="71">
        <f>G14+G32+G74+G76+G77</f>
        <v/>
      </c>
      <c r="H78" s="94" t="n"/>
      <c r="I78" s="244" t="n"/>
      <c r="J78" s="71">
        <f>J14+J32+J74+J76+J77</f>
        <v/>
      </c>
      <c r="L78" s="100" t="n"/>
    </row>
    <row r="79" ht="14.25" customFormat="1" customHeight="1" s="190">
      <c r="A79" s="237" t="n"/>
      <c r="B79" s="237" t="n"/>
      <c r="C79" s="242" t="inlineStr">
        <is>
          <t>ВСЕГО СМР + ОБОРУДОВАНИЕ</t>
        </is>
      </c>
      <c r="D79" s="237" t="n"/>
      <c r="E79" s="243" t="n"/>
      <c r="F79" s="244" t="n"/>
      <c r="G79" s="71">
        <f>G78+G40</f>
        <v/>
      </c>
      <c r="H79" s="94" t="n"/>
      <c r="I79" s="244" t="n"/>
      <c r="J79" s="71">
        <f>J78+J40</f>
        <v/>
      </c>
      <c r="L79" s="99" t="n"/>
    </row>
    <row r="80" ht="14.25" customFormat="1" customHeight="1" s="190">
      <c r="A80" s="237" t="n"/>
      <c r="B80" s="237" t="n"/>
      <c r="C80" s="242" t="inlineStr">
        <is>
          <t>ИТОГО ПОКАЗАТЕЛЬ НА ЕД. ИЗМ.</t>
        </is>
      </c>
      <c r="D80" s="237" t="inlineStr">
        <is>
          <t>ед.</t>
        </is>
      </c>
      <c r="E80" s="182" t="n">
        <v>1</v>
      </c>
      <c r="F80" s="244" t="n"/>
      <c r="G80" s="71">
        <f>G79/E80</f>
        <v/>
      </c>
      <c r="H80" s="94" t="n"/>
      <c r="I80" s="244" t="n"/>
      <c r="J80" s="71">
        <f>J79/E80</f>
        <v/>
      </c>
      <c r="L80" s="142" t="n"/>
    </row>
    <row r="82" ht="14.25" customFormat="1" customHeight="1" s="190">
      <c r="A82" s="185" t="n"/>
    </row>
    <row r="83" ht="14.25" customFormat="1" customHeight="1" s="190">
      <c r="A83" s="187" t="inlineStr">
        <is>
          <t>Составил ______________________        Е.А. Князева</t>
        </is>
      </c>
      <c r="B83" s="190" t="n"/>
    </row>
    <row r="84" ht="14.25" customFormat="1" customHeight="1" s="190">
      <c r="A84" s="189" t="inlineStr">
        <is>
          <t xml:space="preserve">                         (подпись, инициалы, фамилия)</t>
        </is>
      </c>
      <c r="B84" s="190" t="n"/>
    </row>
    <row r="85" ht="14.25" customFormat="1" customHeight="1" s="190">
      <c r="A85" s="187" t="n"/>
      <c r="B85" s="190" t="n"/>
    </row>
    <row r="86" ht="14.25" customFormat="1" customHeight="1" s="190">
      <c r="A86" s="187" t="inlineStr">
        <is>
          <t>Проверил ______________________        А.В. Костянецкая</t>
        </is>
      </c>
      <c r="B86" s="190" t="n"/>
    </row>
    <row r="87" ht="14.25" customFormat="1" customHeight="1" s="190">
      <c r="A87" s="189" t="inlineStr">
        <is>
          <t xml:space="preserve">                        (подпись, инициалы, фамилия)</t>
        </is>
      </c>
      <c r="B87" s="190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3" t="inlineStr">
        <is>
          <t>Приложение №6</t>
        </is>
      </c>
    </row>
    <row r="2" ht="21.75" customHeight="1" s="173">
      <c r="A2" s="253" t="n"/>
      <c r="B2" s="253" t="n"/>
      <c r="C2" s="253" t="n"/>
      <c r="D2" s="253" t="n"/>
      <c r="E2" s="253" t="n"/>
      <c r="F2" s="253" t="n"/>
      <c r="G2" s="253" t="n"/>
    </row>
    <row r="3">
      <c r="A3" s="226" t="inlineStr">
        <is>
          <t>Расчет стоимости оборудования</t>
        </is>
      </c>
    </row>
    <row r="4" ht="25.5" customHeight="1" s="173">
      <c r="A4" s="231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261" t="n"/>
    </row>
    <row r="7">
      <c r="A7" s="263" t="n"/>
      <c r="B7" s="263" t="n"/>
      <c r="C7" s="263" t="n"/>
      <c r="D7" s="263" t="n"/>
      <c r="E7" s="263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73">
      <c r="A9" s="57" t="n"/>
      <c r="B9" s="242" t="inlineStr">
        <is>
          <t>ИНЖЕНЕРНОЕ ОБОРУДОВАНИЕ</t>
        </is>
      </c>
      <c r="C9" s="260" t="n"/>
      <c r="D9" s="260" t="n"/>
      <c r="E9" s="260" t="n"/>
      <c r="F9" s="260" t="n"/>
      <c r="G9" s="261" t="n"/>
    </row>
    <row r="10" ht="27" customHeight="1" s="173">
      <c r="A10" s="237" t="n"/>
      <c r="B10" s="222" t="n"/>
      <c r="C10" s="242" t="inlineStr">
        <is>
          <t>ИТОГО ИНЖЕНЕРНОЕ ОБОРУДОВАНИЕ</t>
        </is>
      </c>
      <c r="D10" s="222" t="n"/>
      <c r="E10" s="9" t="n"/>
      <c r="F10" s="244" t="n"/>
      <c r="G10" s="244" t="n">
        <v>0</v>
      </c>
    </row>
    <row r="11">
      <c r="A11" s="237" t="n"/>
      <c r="B11" s="242" t="inlineStr">
        <is>
          <t>ТЕХНОЛОГИЧЕСКОЕ ОБОРУДОВАНИЕ</t>
        </is>
      </c>
      <c r="C11" s="260" t="n"/>
      <c r="D11" s="260" t="n"/>
      <c r="E11" s="260" t="n"/>
      <c r="F11" s="260" t="n"/>
      <c r="G11" s="261" t="n"/>
    </row>
    <row r="12" ht="25.5" customHeight="1" s="173">
      <c r="A12" s="237" t="n">
        <v>1</v>
      </c>
      <c r="B12" s="78" t="inlineStr">
        <is>
          <t>БЦ.76.1.1016</t>
        </is>
      </c>
      <c r="C12" s="13" t="inlineStr">
        <is>
          <t>Ячейка выключателя КРУ 35кВ, ном.ток 2500А, ном.ток отключения 31,5кА</t>
        </is>
      </c>
      <c r="D12" s="239" t="inlineStr">
        <is>
          <t>шт.</t>
        </is>
      </c>
      <c r="E12" s="136" t="n">
        <v>1</v>
      </c>
      <c r="F12" s="71">
        <f>'Прил.5 Расчет СМР и ОБ'!F35</f>
        <v/>
      </c>
      <c r="G12" s="71">
        <f>ROUND(E12*F12,2)</f>
        <v/>
      </c>
    </row>
    <row r="13" ht="25.5" customHeight="1" s="173">
      <c r="A13" s="23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4" t="n"/>
      <c r="G13" s="71">
        <f>SUM(G12:G12)</f>
        <v/>
      </c>
    </row>
    <row r="14" ht="19.5" customHeight="1" s="173">
      <c r="A14" s="237" t="n"/>
      <c r="B14" s="242" t="n"/>
      <c r="C14" s="242" t="inlineStr">
        <is>
          <t>Всего по разделу «Оборудование»</t>
        </is>
      </c>
      <c r="D14" s="242" t="n"/>
      <c r="E14" s="252" t="n"/>
      <c r="F14" s="244" t="n"/>
      <c r="G14" s="71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73">
      <c r="A3" s="226" t="inlineStr">
        <is>
          <t>Расчет показателя УНЦ</t>
        </is>
      </c>
    </row>
    <row r="4" ht="24.75" customHeight="1" s="173">
      <c r="A4" s="226" t="n"/>
      <c r="B4" s="226" t="n"/>
      <c r="C4" s="226" t="n"/>
      <c r="D4" s="226" t="n"/>
    </row>
    <row r="5" ht="45" customHeight="1" s="173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173">
      <c r="A6" s="231" t="inlineStr">
        <is>
          <t>Единица измерения  — 1 ячейка</t>
        </is>
      </c>
      <c r="D6" s="231" t="n"/>
    </row>
    <row r="7">
      <c r="A7" s="187" t="n"/>
      <c r="B7" s="187" t="n"/>
      <c r="C7" s="187" t="n"/>
      <c r="D7" s="187" t="n"/>
    </row>
    <row r="8" ht="14.45" customHeight="1" s="173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73">
      <c r="A9" s="263" t="n"/>
      <c r="B9" s="263" t="n"/>
      <c r="C9" s="263" t="n"/>
      <c r="D9" s="263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73">
      <c r="A11" s="237" t="inlineStr">
        <is>
          <t>В3-18-3</t>
        </is>
      </c>
      <c r="B11" s="237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3" t="inlineStr">
        <is>
          <t>Приложение № 10</t>
        </is>
      </c>
    </row>
    <row r="5" ht="18.75" customHeight="1" s="173">
      <c r="B5" s="40" t="n"/>
    </row>
    <row r="6" ht="15.75" customHeight="1" s="173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44" t="n"/>
    </row>
    <row r="8" ht="47.25" customHeight="1" s="173">
      <c r="B8" s="219" t="inlineStr">
        <is>
          <t>Наименование индекса / норм сопутствующих затрат</t>
        </is>
      </c>
      <c r="C8" s="219" t="inlineStr">
        <is>
          <t>Дата применения и обоснование индекса / норм сопутствующих затрат</t>
        </is>
      </c>
      <c r="D8" s="219" t="inlineStr">
        <is>
          <t>Размер индекса / норма сопутствующих затрат</t>
        </is>
      </c>
    </row>
    <row r="9" ht="15.75" customHeight="1" s="173">
      <c r="B9" s="219" t="n">
        <v>1</v>
      </c>
      <c r="C9" s="219" t="n">
        <v>2</v>
      </c>
      <c r="D9" s="219" t="n">
        <v>3</v>
      </c>
    </row>
    <row r="10" ht="31.5" customHeight="1" s="173">
      <c r="B10" s="219" t="inlineStr">
        <is>
          <t xml:space="preserve">Индекс изменения сметной стоимости на 1 квартал 2023 года. ОЗП </t>
        </is>
      </c>
      <c r="C10" s="219" t="inlineStr">
        <is>
          <t>Письмо Минстроя России от 30.03.2023г. №17106-ИФ/09  прил.1</t>
        </is>
      </c>
      <c r="D10" s="219" t="n">
        <v>44.29</v>
      </c>
    </row>
    <row r="11" ht="31.5" customHeight="1" s="173">
      <c r="B11" s="219" t="inlineStr">
        <is>
          <t>Индекс изменения сметной стоимости на 1 квартал 2023 года. ЭМ</t>
        </is>
      </c>
      <c r="C11" s="219" t="inlineStr">
        <is>
          <t>Письмо Минстроя России от 30.03.2023г. №17106-ИФ/09  прил.1</t>
        </is>
      </c>
      <c r="D11" s="219" t="n">
        <v>13.47</v>
      </c>
    </row>
    <row r="12" ht="31.5" customHeight="1" s="173">
      <c r="B12" s="219" t="inlineStr">
        <is>
          <t>Индекс изменения сметной стоимости на 1 квартал 2023 года. МАТ</t>
        </is>
      </c>
      <c r="C12" s="219" t="inlineStr">
        <is>
          <t>Письмо Минстроя России от 30.03.2023г. №17106-ИФ/09  прил.1</t>
        </is>
      </c>
      <c r="D12" s="219" t="n">
        <v>8.039999999999999</v>
      </c>
    </row>
    <row r="13" ht="31.5" customHeight="1" s="173">
      <c r="B13" s="219" t="inlineStr">
        <is>
          <t>Индекс изменения сметной стоимости на 1 квартал 2023 года. ОБ</t>
        </is>
      </c>
      <c r="C13" s="219" t="inlineStr">
        <is>
          <t>Письмо Минстроя России от 23.02.2023г. №9791-ИФ/09 прил.6</t>
        </is>
      </c>
      <c r="D13" s="219" t="n">
        <v>6.26</v>
      </c>
    </row>
    <row r="14" ht="89.25" customHeight="1" s="173">
      <c r="B14" s="219" t="inlineStr">
        <is>
          <t>Временные здания и сооружения</t>
        </is>
      </c>
      <c r="C14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3">
      <c r="B15" s="219" t="inlineStr">
        <is>
          <t>Дополнительные затраты при производстве строительно-монтажных работ в зимнее время</t>
        </is>
      </c>
      <c r="C15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3">
      <c r="B16" s="219" t="inlineStr">
        <is>
          <t>Пусконаладочные работы</t>
        </is>
      </c>
      <c r="C16" s="219" t="n"/>
      <c r="D16" s="219" t="inlineStr">
        <is>
          <t>Расчет</t>
        </is>
      </c>
    </row>
    <row r="17" ht="31.5" customHeight="1" s="173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3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51" t="n">
        <v>0.002</v>
      </c>
    </row>
    <row r="19" ht="24" customHeight="1" s="173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51" t="n">
        <v>0.03</v>
      </c>
    </row>
    <row r="20" ht="18.75" customHeight="1" s="173">
      <c r="B20" s="144" t="n"/>
    </row>
    <row r="21" ht="18.75" customHeight="1" s="173">
      <c r="B21" s="144" t="n"/>
    </row>
    <row r="22" ht="18.75" customHeight="1" s="173">
      <c r="B22" s="144" t="n"/>
    </row>
    <row r="23" ht="18.75" customHeight="1" s="173">
      <c r="B23" s="144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2025-01-24T11:55:03Z</dcterms:modified>
  <cp:lastModifiedBy>Danil</cp:lastModifiedBy>
  <cp:lastPrinted>2023-12-01T06:48:49Z</cp:lastPrinted>
</cp:coreProperties>
</file>