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6" zoomScale="60" zoomScaleNormal="85" workbookViewId="0">
      <selection activeCell="C28" sqref="C28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0" t="inlineStr">
        <is>
          <t>№ п/п</t>
        </is>
      </c>
      <c r="C10" s="360" t="inlineStr">
        <is>
          <t>Параметр</t>
        </is>
      </c>
      <c r="D10" s="360" t="inlineStr">
        <is>
          <t>Объект-представитель</t>
        </is>
      </c>
    </row>
    <row r="11" ht="31.15" customHeight="1" s="313">
      <c r="B11" s="360" t="n">
        <v>1</v>
      </c>
      <c r="C11" s="335" t="inlineStr">
        <is>
          <t>Наименование объекта-представителя</t>
        </is>
      </c>
      <c r="D11" s="360" t="inlineStr">
        <is>
          <t>Строительство ПС 220/20/10 кВ "Кожевническая"</t>
        </is>
      </c>
    </row>
    <row r="12" ht="31.15" customHeight="1" s="313">
      <c r="B12" s="360" t="n">
        <v>2</v>
      </c>
      <c r="C12" s="335" t="inlineStr">
        <is>
          <t>Наименование субъекта Российской Федерации</t>
        </is>
      </c>
      <c r="D12" s="360" t="inlineStr">
        <is>
          <t>Москва</t>
        </is>
      </c>
    </row>
    <row r="13" ht="15.6" customHeight="1" s="313">
      <c r="B13" s="360" t="n">
        <v>3</v>
      </c>
      <c r="C13" s="335" t="inlineStr">
        <is>
          <t>Климатический район и подрайон</t>
        </is>
      </c>
      <c r="D13" s="360" t="inlineStr">
        <is>
          <t>IIВ</t>
        </is>
      </c>
    </row>
    <row r="14" ht="15.6" customHeight="1" s="313">
      <c r="B14" s="360" t="n">
        <v>4</v>
      </c>
      <c r="C14" s="335" t="inlineStr">
        <is>
          <t>Мощность объекта</t>
        </is>
      </c>
      <c r="D14" s="360" t="n">
        <v>7</v>
      </c>
    </row>
    <row r="15" ht="93.59999999999999" customHeight="1" s="313">
      <c r="B15" s="360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0" t="inlineStr">
        <is>
          <t>Проиводитель оборудования - Alstom
I откл. (кА)/I ном (А) - 40/2000</t>
        </is>
      </c>
    </row>
    <row r="16" ht="78" customHeight="1" s="313">
      <c r="B16" s="360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7">
        <f>D17+D18+D19+D20</f>
        <v/>
      </c>
    </row>
    <row r="17" ht="15.6" customHeight="1" s="313">
      <c r="B17" s="322" t="inlineStr">
        <is>
          <t>6.1</t>
        </is>
      </c>
      <c r="C17" s="335" t="inlineStr">
        <is>
          <t>строительно-монтажные работы</t>
        </is>
      </c>
      <c r="D17" s="327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5" t="inlineStr">
        <is>
          <t>оборудование и инвентарь</t>
        </is>
      </c>
      <c r="D18" s="327">
        <f>'Прил.2 Расч стоим'!H12</f>
        <v/>
      </c>
    </row>
    <row r="19" ht="15.6" customHeight="1" s="313">
      <c r="B19" s="322" t="inlineStr">
        <is>
          <t>6.3</t>
        </is>
      </c>
      <c r="C19" s="335" t="inlineStr">
        <is>
          <t>пусконаладочные работы</t>
        </is>
      </c>
      <c r="D19" s="327" t="n"/>
    </row>
    <row r="20" ht="15.6" customHeight="1" s="313">
      <c r="B20" s="322" t="inlineStr">
        <is>
          <t>6.4</t>
        </is>
      </c>
      <c r="C20" s="335" t="inlineStr">
        <is>
          <t>прочие и лимитированные затраты</t>
        </is>
      </c>
      <c r="D20" s="327">
        <f>'Прил.2 Расч стоим'!I13</f>
        <v/>
      </c>
    </row>
    <row r="21" ht="15.6" customHeight="1" s="313">
      <c r="B21" s="360" t="n">
        <v>7</v>
      </c>
      <c r="C21" s="335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0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7">
        <f>D16</f>
        <v/>
      </c>
    </row>
    <row r="23" ht="46.9" customHeight="1" s="313">
      <c r="B23" s="360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7">
        <f>D22/D14</f>
        <v/>
      </c>
      <c r="G23" s="316" t="n"/>
    </row>
    <row r="24" hidden="1" ht="109.15" customHeight="1" s="313">
      <c r="B24" s="360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61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2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13">
      <c r="B10" s="445" t="n"/>
      <c r="C10" s="445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58.5" customHeight="1" s="313">
      <c r="B11" s="446" t="n"/>
      <c r="C11" s="446" t="n"/>
      <c r="D11" s="446" t="n"/>
      <c r="E11" s="446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26" customHeight="1" s="313">
      <c r="B12" s="332" t="n">
        <v>1</v>
      </c>
      <c r="C12" s="333">
        <f>'Прил.1 Сравнит табл'!D15</f>
        <v/>
      </c>
      <c r="D12" s="334" t="inlineStr">
        <is>
          <t>02-02-15</t>
        </is>
      </c>
      <c r="E12" s="335" t="inlineStr">
        <is>
          <t>02-02-15 Здание КРУЭ 220кВ и помещение "Учет". Установка электрооборудования. Заземление</t>
        </is>
      </c>
      <c r="F12" s="336" t="n"/>
      <c r="G12" s="336" t="n">
        <v>8295.98</v>
      </c>
      <c r="H12" s="336" t="n">
        <v>412299.08983</v>
      </c>
      <c r="I12" s="336" t="n"/>
      <c r="J12" s="337">
        <f>SUM(F12:I12)</f>
        <v/>
      </c>
    </row>
    <row r="13" ht="15" customHeight="1" s="313">
      <c r="B13" s="359" t="inlineStr">
        <is>
          <t>Всего по объекту:</t>
        </is>
      </c>
      <c r="C13" s="443" t="n"/>
      <c r="D13" s="443" t="n"/>
      <c r="E13" s="444" t="n"/>
      <c r="F13" s="339">
        <f>SUM(F12:F12)</f>
        <v/>
      </c>
      <c r="G13" s="339">
        <f>SUM(G12:G12)</f>
        <v/>
      </c>
      <c r="H13" s="339">
        <f>SUM(H12:H12)</f>
        <v/>
      </c>
      <c r="I13" s="339">
        <f>(F13+G13)*3.9%+((F13+G13)*3.9%+F13+G13)*2.1%</f>
        <v/>
      </c>
      <c r="J13" s="339">
        <f>SUM(F13:I13)</f>
        <v/>
      </c>
    </row>
    <row r="14" ht="15.75" customHeight="1" s="313">
      <c r="B14" s="359" t="inlineStr">
        <is>
          <t>Всего по объекту в сопоставимом уровне цен 3 кв. 2016г:</t>
        </is>
      </c>
      <c r="C14" s="443" t="n"/>
      <c r="D14" s="443" t="n"/>
      <c r="E14" s="444" t="n"/>
      <c r="F14" s="339">
        <f>F13</f>
        <v/>
      </c>
      <c r="G14" s="339">
        <f>G13</f>
        <v/>
      </c>
      <c r="H14" s="339">
        <f>H13</f>
        <v/>
      </c>
      <c r="I14" s="339">
        <f>(F14+G14)*3.9%+((F14+G14)*3.9%+F14+G14)*2.1%</f>
        <v/>
      </c>
      <c r="J14" s="339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D49" sqref="D49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5" t="n"/>
    </row>
    <row r="7" ht="32.25" customHeight="1" s="313">
      <c r="A7" s="368" t="inlineStr">
        <is>
          <t xml:space="preserve">Наименование разрабатываемого показателя УНЦ - </t>
        </is>
      </c>
      <c r="D7" s="369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4" t="n"/>
    </row>
    <row r="10" ht="40.5" customHeight="1" s="313">
      <c r="A10" s="446" t="n"/>
      <c r="B10" s="446" t="n"/>
      <c r="C10" s="446" t="n"/>
      <c r="D10" s="446" t="n"/>
      <c r="E10" s="446" t="n"/>
      <c r="F10" s="446" t="n"/>
      <c r="G10" s="360" t="inlineStr">
        <is>
          <t>на ед.изм.</t>
        </is>
      </c>
      <c r="H10" s="360" t="inlineStr">
        <is>
          <t>общая</t>
        </is>
      </c>
    </row>
    <row r="11" ht="15.6" customHeight="1" s="313">
      <c r="A11" s="360" t="n">
        <v>1</v>
      </c>
      <c r="B11" s="221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221" t="n">
        <v>6</v>
      </c>
      <c r="H11" s="221" t="n">
        <v>7</v>
      </c>
    </row>
    <row r="12" ht="15" customHeight="1" s="313">
      <c r="A12" s="363" t="inlineStr">
        <is>
          <t>Затраты труда рабочих</t>
        </is>
      </c>
      <c r="B12" s="443" t="n"/>
      <c r="C12" s="443" t="n"/>
      <c r="D12" s="443" t="n"/>
      <c r="E12" s="443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3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7" t="inlineStr">
        <is>
          <t>Затраты труда машинистов</t>
        </is>
      </c>
      <c r="B14" s="443" t="n"/>
      <c r="C14" s="443" t="n"/>
      <c r="D14" s="443" t="n"/>
      <c r="E14" s="444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3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7" t="inlineStr">
        <is>
          <t>Машины и механизмы</t>
        </is>
      </c>
      <c r="B16" s="443" t="n"/>
      <c r="C16" s="443" t="n"/>
      <c r="D16" s="443" t="n"/>
      <c r="E16" s="444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3" t="inlineStr">
        <is>
          <t>маш.час</t>
        </is>
      </c>
      <c r="F17" s="393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3" t="inlineStr">
        <is>
          <t>маш.час</t>
        </is>
      </c>
      <c r="F18" s="393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3" t="inlineStr">
        <is>
          <t>маш.час</t>
        </is>
      </c>
      <c r="F19" s="393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3" t="inlineStr">
        <is>
          <t>маш.час</t>
        </is>
      </c>
      <c r="F20" s="393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393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3" t="inlineStr">
        <is>
          <t>маш.час</t>
        </is>
      </c>
      <c r="F22" s="393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3" t="inlineStr">
        <is>
          <t>маш.час</t>
        </is>
      </c>
      <c r="F23" s="393" t="n">
        <v>126.7</v>
      </c>
      <c r="G23" s="219" t="n">
        <v>8.1</v>
      </c>
      <c r="H23" s="214">
        <f>ROUND(F23*G23,2)</f>
        <v/>
      </c>
    </row>
    <row r="24" ht="15" customHeight="1" s="313">
      <c r="A24" s="367" t="inlineStr">
        <is>
          <t>Оборудование</t>
        </is>
      </c>
      <c r="B24" s="443" t="n"/>
      <c r="C24" s="443" t="n"/>
      <c r="D24" s="443" t="n"/>
      <c r="E24" s="444" t="n"/>
      <c r="F24" s="223" t="n"/>
      <c r="G24" s="223" t="n"/>
      <c r="H24" s="222">
        <f>SUM(H25:H25)</f>
        <v/>
      </c>
    </row>
    <row r="25">
      <c r="A25" s="215">
        <f>A23+1</f>
        <v/>
      </c>
      <c r="B25" s="367" t="n"/>
      <c r="C25" s="216" t="inlineStr">
        <is>
          <t>Прайс из СД ОП</t>
        </is>
      </c>
      <c r="D25" s="372" t="inlineStr">
        <is>
          <t>Ячейка выключателя 220 кВ 2000/40, шеф-монтаж</t>
        </is>
      </c>
      <c r="E25" s="393" t="inlineStr">
        <is>
          <t>шт.</t>
        </is>
      </c>
      <c r="F25" s="393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7" t="inlineStr">
        <is>
          <t>Материалы</t>
        </is>
      </c>
      <c r="B26" s="443" t="n"/>
      <c r="C26" s="443" t="n"/>
      <c r="D26" s="443" t="n"/>
      <c r="E26" s="444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3" t="inlineStr">
        <is>
          <t>м3</t>
        </is>
      </c>
      <c r="F27" s="393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3" t="inlineStr">
        <is>
          <t>кг</t>
        </is>
      </c>
      <c r="F28" s="393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3" t="inlineStr">
        <is>
          <t>м</t>
        </is>
      </c>
      <c r="F29" s="393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3" t="inlineStr">
        <is>
          <t>кг</t>
        </is>
      </c>
      <c r="F30" s="393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3" t="inlineStr">
        <is>
          <t>кг</t>
        </is>
      </c>
      <c r="F31" s="393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3" t="inlineStr">
        <is>
          <t>руб</t>
        </is>
      </c>
      <c r="F32" s="393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3" t="inlineStr">
        <is>
          <t>т</t>
        </is>
      </c>
      <c r="F33" s="393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3" t="inlineStr">
        <is>
          <t>10 м</t>
        </is>
      </c>
      <c r="F34" s="393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3" t="inlineStr">
        <is>
          <t>кг</t>
        </is>
      </c>
      <c r="F35" s="393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3" t="inlineStr">
        <is>
          <t>м3</t>
        </is>
      </c>
      <c r="F36" s="393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3" t="inlineStr">
        <is>
          <t>т</t>
        </is>
      </c>
      <c r="F37" s="393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3" t="inlineStr">
        <is>
          <t>т</t>
        </is>
      </c>
      <c r="F38" s="393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3" t="inlineStr">
        <is>
          <t>т</t>
        </is>
      </c>
      <c r="F39" s="393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6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C41:H41"/>
    <mergeCell ref="A2:H2"/>
    <mergeCell ref="A16:E16"/>
    <mergeCell ref="A24:E24"/>
    <mergeCell ref="A26:E26"/>
    <mergeCell ref="A7:C7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2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1" t="inlineStr">
        <is>
          <t xml:space="preserve">Наименование разрабатываемого показателя УНЦ - </t>
        </is>
      </c>
      <c r="D7" s="371">
        <f>'Прил.1 Сравнит табл'!D6</f>
        <v/>
      </c>
    </row>
    <row r="8">
      <c r="B8" s="370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70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43" workbookViewId="0">
      <selection activeCell="B67" sqref="B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2500 кА номинальный ток отключения 40 кА</t>
        </is>
      </c>
    </row>
    <row r="7" ht="25.5" customFormat="1" customHeight="1" s="235">
      <c r="A7" s="350">
        <f>'Прил.1 Сравнит табл'!B8</f>
        <v/>
      </c>
      <c r="I7" s="371" t="n"/>
      <c r="J7" s="371" t="n"/>
    </row>
    <row r="8" ht="13.15" customFormat="1" customHeight="1" s="235"/>
    <row r="9" ht="27" customHeight="1" s="313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4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4" t="n"/>
    </row>
    <row r="10" ht="28.5" customHeight="1" s="313">
      <c r="A10" s="446" t="n"/>
      <c r="B10" s="446" t="n"/>
      <c r="C10" s="446" t="n"/>
      <c r="D10" s="446" t="n"/>
      <c r="E10" s="446" t="n"/>
      <c r="F10" s="373" t="inlineStr">
        <is>
          <t>на ед. изм.</t>
        </is>
      </c>
      <c r="G10" s="373" t="inlineStr">
        <is>
          <t>общая</t>
        </is>
      </c>
      <c r="H10" s="446" t="n"/>
      <c r="I10" s="373" t="inlineStr">
        <is>
          <t>на ед. изм.</t>
        </is>
      </c>
      <c r="J10" s="373" t="inlineStr">
        <is>
          <t>общая</t>
        </is>
      </c>
    </row>
    <row r="11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3" t="n">
        <v>9</v>
      </c>
      <c r="J11" s="373" t="n">
        <v>10</v>
      </c>
    </row>
    <row r="12">
      <c r="A12" s="373" t="n"/>
      <c r="B12" s="367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237" t="n"/>
      <c r="J12" s="237" t="n"/>
    </row>
    <row r="13" ht="30" customHeight="1" s="313">
      <c r="A13" s="373" t="n">
        <v>1</v>
      </c>
      <c r="B13" s="323" t="inlineStr">
        <is>
          <t>1-4-0</t>
        </is>
      </c>
      <c r="C13" s="372" t="inlineStr">
        <is>
          <t>Затраты труда рабочих-строителей среднего разряда (4,0)</t>
        </is>
      </c>
      <c r="D13" s="373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7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3" t="n"/>
      <c r="B14" s="373" t="n"/>
      <c r="C14" s="367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7" t="n">
        <v>1</v>
      </c>
      <c r="I14" s="239" t="n"/>
      <c r="J14" s="239">
        <f>J13</f>
        <v/>
      </c>
      <c r="K14" s="242" t="n"/>
    </row>
    <row r="15" ht="13.9" customFormat="1" customHeight="1" s="258">
      <c r="A15" s="373" t="n"/>
      <c r="B15" s="372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237" t="n"/>
      <c r="J15" s="237" t="n"/>
    </row>
    <row r="16" ht="13.9" customFormat="1" customHeight="1" s="258">
      <c r="A16" s="373" t="n">
        <v>2</v>
      </c>
      <c r="B16" s="373" t="n">
        <v>2</v>
      </c>
      <c r="C16" s="372" t="inlineStr">
        <is>
          <t>Затраты труда машинистов</t>
        </is>
      </c>
      <c r="D16" s="373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7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3" t="n"/>
      <c r="B17" s="367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377" t="n"/>
      <c r="J17" s="377" t="n"/>
    </row>
    <row r="18" ht="13.9" customFormat="1" customHeight="1" s="258">
      <c r="A18" s="373" t="n"/>
      <c r="B18" s="372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37" t="n"/>
      <c r="J18" s="237" t="n"/>
    </row>
    <row r="19" ht="26.45" customFormat="1" customHeight="1" s="258">
      <c r="A19" s="373">
        <f>A16+1</f>
        <v/>
      </c>
      <c r="B19" s="323" t="inlineStr">
        <is>
          <t>91.10.01-002</t>
        </is>
      </c>
      <c r="C19" s="372" t="inlineStr">
        <is>
          <t>Агрегаты наполнительно-опрессовочные до 300 м3/ч</t>
        </is>
      </c>
      <c r="D19" s="373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7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3">
        <f>A19+1</f>
        <v/>
      </c>
      <c r="B20" s="323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7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3">
        <f>A20+1</f>
        <v/>
      </c>
      <c r="B21" s="323" t="inlineStr">
        <is>
          <t>91.06.06-042</t>
        </is>
      </c>
      <c r="C21" s="372" t="inlineStr">
        <is>
          <t>Подъемники гидравлические, высота подъема 10 м</t>
        </is>
      </c>
      <c r="D21" s="373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7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3">
        <f>A21+1</f>
        <v/>
      </c>
      <c r="B22" s="323" t="inlineStr">
        <is>
          <t>91.06.03-058</t>
        </is>
      </c>
      <c r="C22" s="372" t="inlineStr">
        <is>
          <t>Лебедки электрические тяговым усилием 156,96 кН (16 т)</t>
        </is>
      </c>
      <c r="D22" s="373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7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3" t="n"/>
      <c r="B23" s="373" t="n"/>
      <c r="C23" s="372" t="inlineStr">
        <is>
          <t>Итого основные машины и механизмы</t>
        </is>
      </c>
      <c r="D23" s="373" t="n"/>
      <c r="E23" s="250" t="n"/>
      <c r="F23" s="239" t="n"/>
      <c r="G23" s="239">
        <f>SUM(G19:G22)</f>
        <v/>
      </c>
      <c r="H23" s="377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3" t="n">
        <v>8</v>
      </c>
      <c r="B24" s="323" t="inlineStr">
        <is>
          <t>91.14.02-001</t>
        </is>
      </c>
      <c r="C24" s="372" t="inlineStr">
        <is>
          <t>Автомобили бортовые, грузоподъемность до 5 т</t>
        </is>
      </c>
      <c r="D24" s="373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7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3" t="n">
        <v>9</v>
      </c>
      <c r="B25" s="323" t="inlineStr">
        <is>
          <t>91.17.04-161</t>
        </is>
      </c>
      <c r="C25" s="372" t="inlineStr">
        <is>
          <t>Полуавтоматы сварочные номинальным сварочным током 40-500 А</t>
        </is>
      </c>
      <c r="D25" s="373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7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3" t="n">
        <v>10</v>
      </c>
      <c r="B26" s="323" t="inlineStr">
        <is>
          <t>91.17.04-233</t>
        </is>
      </c>
      <c r="C26" s="372" t="inlineStr">
        <is>
          <t>Установки для сварки ручной дуговой (постоянного тока)</t>
        </is>
      </c>
      <c r="D26" s="373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7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3" t="n"/>
      <c r="B27" s="373" t="n"/>
      <c r="C27" s="372" t="inlineStr">
        <is>
          <t>Итого прочие машины и механизмы</t>
        </is>
      </c>
      <c r="D27" s="373" t="n"/>
      <c r="E27" s="374" t="n"/>
      <c r="F27" s="239" t="n"/>
      <c r="G27" s="239">
        <f>SUM(G24:G26)</f>
        <v/>
      </c>
      <c r="H27" s="377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3" t="n"/>
      <c r="B28" s="382" t="n"/>
      <c r="C28" s="253" t="inlineStr">
        <is>
          <t>Итого по разделу «Машины и механизмы»</t>
        </is>
      </c>
      <c r="D28" s="382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84" t="n"/>
      <c r="B29" s="367" t="inlineStr">
        <is>
          <t xml:space="preserve">Оборудование </t>
        </is>
      </c>
      <c r="C29" s="443" t="n"/>
      <c r="D29" s="443" t="n"/>
      <c r="E29" s="443" t="n"/>
      <c r="F29" s="443" t="n"/>
      <c r="G29" s="443" t="n"/>
      <c r="H29" s="443" t="n"/>
      <c r="I29" s="443" t="n"/>
      <c r="J29" s="444" t="n"/>
      <c r="K29" s="258" t="n"/>
      <c r="L29" s="258" t="n"/>
      <c r="M29" s="258" t="n"/>
      <c r="N29" s="258" t="n"/>
    </row>
    <row r="30" ht="15" customHeight="1" s="313">
      <c r="A30" s="373" t="n"/>
      <c r="B30" s="378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3" t="n">
        <v>11</v>
      </c>
      <c r="B31" s="323" t="inlineStr">
        <is>
          <t>БЦ.4_1.465</t>
        </is>
      </c>
      <c r="C31" s="372" t="inlineStr">
        <is>
          <t>Ячейка выключателя 220 кВ 2500/40</t>
        </is>
      </c>
      <c r="D31" s="373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7">
        <f>G31/$G$34</f>
        <v/>
      </c>
      <c r="I31" s="239" t="n">
        <v>106584000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3" t="n"/>
      <c r="B32" s="373" t="n"/>
      <c r="C32" s="372" t="inlineStr">
        <is>
          <t>Итого основное оборудование</t>
        </is>
      </c>
      <c r="D32" s="373" t="n"/>
      <c r="E32" s="244" t="n"/>
      <c r="F32" s="375" t="n"/>
      <c r="G32" s="239">
        <f>SUM(G31:G31)</f>
        <v/>
      </c>
      <c r="H32" s="377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3" t="n"/>
      <c r="B33" s="373" t="n"/>
      <c r="C33" s="372" t="inlineStr">
        <is>
          <t>Итого прочее оборудование</t>
        </is>
      </c>
      <c r="D33" s="373" t="n"/>
      <c r="E33" s="374" t="n"/>
      <c r="F33" s="375" t="n"/>
      <c r="G33" s="239" t="n">
        <v>0</v>
      </c>
      <c r="H33" s="377">
        <f>G33/$G$34</f>
        <v/>
      </c>
      <c r="I33" s="375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3" t="n"/>
      <c r="B34" s="373" t="n"/>
      <c r="C34" s="367" t="inlineStr">
        <is>
          <t>Итого по разделу «Оборудование»</t>
        </is>
      </c>
      <c r="D34" s="373" t="n"/>
      <c r="E34" s="374" t="n"/>
      <c r="F34" s="375" t="n"/>
      <c r="G34" s="239">
        <f>G33+G32</f>
        <v/>
      </c>
      <c r="H34" s="377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3" t="n"/>
      <c r="B35" s="373" t="n"/>
      <c r="C35" s="372" t="inlineStr">
        <is>
          <t>в том числе технологическое оборудование</t>
        </is>
      </c>
      <c r="D35" s="373" t="n"/>
      <c r="E35" s="374" t="n"/>
      <c r="F35" s="375" t="n"/>
      <c r="G35" s="239">
        <f>G34</f>
        <v/>
      </c>
      <c r="H35" s="377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3" t="n"/>
      <c r="B36" s="447" t="inlineStr">
        <is>
          <t xml:space="preserve">Материалы </t>
        </is>
      </c>
      <c r="J36" s="448" t="n"/>
      <c r="K36" s="242" t="n"/>
    </row>
    <row r="37" ht="13.9" customFormat="1" customHeight="1" s="258">
      <c r="A37" s="373" t="n"/>
      <c r="B37" s="372" t="inlineStr">
        <is>
          <t>Основные материалы</t>
        </is>
      </c>
      <c r="C37" s="443" t="n"/>
      <c r="D37" s="443" t="n"/>
      <c r="E37" s="443" t="n"/>
      <c r="F37" s="443" t="n"/>
      <c r="G37" s="443" t="n"/>
      <c r="H37" s="444" t="n"/>
      <c r="I37" s="377" t="n"/>
      <c r="J37" s="377" t="n"/>
    </row>
    <row r="38" ht="14.25" customFormat="1" customHeight="1" s="258">
      <c r="A38" s="373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3" t="inlineStr">
        <is>
          <t>м3</t>
        </is>
      </c>
      <c r="E38" s="393" t="n">
        <v>151.9</v>
      </c>
      <c r="F38" s="214" t="n">
        <v>17.86</v>
      </c>
      <c r="G38" s="239">
        <f>ROUND(E38*F38,2)</f>
        <v/>
      </c>
      <c r="H38" s="377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3" t="n">
        <v>13</v>
      </c>
      <c r="B39" s="216" t="inlineStr">
        <is>
          <t>14.4.02.09-0001</t>
        </is>
      </c>
      <c r="C39" s="217" t="inlineStr">
        <is>
          <t>Краска</t>
        </is>
      </c>
      <c r="D39" s="393" t="inlineStr">
        <is>
          <t>кг</t>
        </is>
      </c>
      <c r="E39" s="393" t="n">
        <v>66.36</v>
      </c>
      <c r="F39" s="214" t="n">
        <v>28.6</v>
      </c>
      <c r="G39" s="239">
        <f>ROUND(E39*F39,2)</f>
        <v/>
      </c>
      <c r="H39" s="377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3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3" t="inlineStr">
        <is>
          <t>м</t>
        </is>
      </c>
      <c r="E40" s="393" t="n">
        <v>42</v>
      </c>
      <c r="F40" s="214" t="n">
        <v>38.42</v>
      </c>
      <c r="G40" s="239">
        <f>ROUND(E40*F40,2)</f>
        <v/>
      </c>
      <c r="H40" s="377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3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3" t="inlineStr">
        <is>
          <t>кг</t>
        </is>
      </c>
      <c r="E41" s="393" t="n">
        <v>17.92</v>
      </c>
      <c r="F41" s="214" t="n">
        <v>50</v>
      </c>
      <c r="G41" s="239">
        <f>ROUND(E41*F41,2)</f>
        <v/>
      </c>
      <c r="H41" s="377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3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3" t="inlineStr">
        <is>
          <t>кг</t>
        </is>
      </c>
      <c r="E42" s="393" t="n">
        <v>56.28</v>
      </c>
      <c r="F42" s="214" t="n">
        <v>10.57</v>
      </c>
      <c r="G42" s="239">
        <f>ROUND(E42*F42,2)</f>
        <v/>
      </c>
      <c r="H42" s="377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3" t="n"/>
      <c r="B43" s="323" t="n"/>
      <c r="C43" s="372" t="inlineStr">
        <is>
          <t>Итого основные материалы</t>
        </is>
      </c>
      <c r="D43" s="373" t="n"/>
      <c r="E43" s="244" t="n"/>
      <c r="F43" s="269" t="n"/>
      <c r="G43" s="239">
        <f>SUM(G38:G42)</f>
        <v/>
      </c>
      <c r="H43" s="377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3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3" t="inlineStr">
        <is>
          <t>руб</t>
        </is>
      </c>
      <c r="E44" s="393" t="n">
        <v>420.05</v>
      </c>
      <c r="F44" s="214" t="n">
        <v>1</v>
      </c>
      <c r="G44" s="239">
        <f>ROUND(E44*F44,2)</f>
        <v/>
      </c>
      <c r="H44" s="377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3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3" t="inlineStr">
        <is>
          <t>т</t>
        </is>
      </c>
      <c r="E45" s="393" t="n">
        <v>0.063</v>
      </c>
      <c r="F45" s="214" t="n">
        <v>4488.4</v>
      </c>
      <c r="G45" s="239">
        <f>ROUND(E45*F45,2)</f>
        <v/>
      </c>
      <c r="H45" s="377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3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3" t="inlineStr">
        <is>
          <t>10 м</t>
        </is>
      </c>
      <c r="E46" s="393" t="n">
        <v>2.597</v>
      </c>
      <c r="F46" s="214" t="n">
        <v>73.65000000000001</v>
      </c>
      <c r="G46" s="239">
        <f>ROUND(E46*F46,2)</f>
        <v/>
      </c>
      <c r="H46" s="377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3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3" t="inlineStr">
        <is>
          <t>кг</t>
        </is>
      </c>
      <c r="E47" s="393" t="n">
        <v>14</v>
      </c>
      <c r="F47" s="214" t="n">
        <v>12.6</v>
      </c>
      <c r="G47" s="239">
        <f>ROUND(E47*F47,2)</f>
        <v/>
      </c>
      <c r="H47" s="377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3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3" t="inlineStr">
        <is>
          <t>м3</t>
        </is>
      </c>
      <c r="E48" s="393" t="n">
        <v>0.112</v>
      </c>
      <c r="F48" s="214" t="n">
        <v>1250</v>
      </c>
      <c r="G48" s="239">
        <f>ROUND(E48*F48,2)</f>
        <v/>
      </c>
      <c r="H48" s="377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3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3" t="inlineStr">
        <is>
          <t>т</t>
        </is>
      </c>
      <c r="E49" s="393" t="n">
        <v>0.0035</v>
      </c>
      <c r="F49" s="214" t="n">
        <v>20600</v>
      </c>
      <c r="G49" s="239">
        <f>ROUND(E49*F49,2)</f>
        <v/>
      </c>
      <c r="H49" s="377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3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3" t="inlineStr">
        <is>
          <t>т</t>
        </is>
      </c>
      <c r="E50" s="393" t="n">
        <v>0.00364</v>
      </c>
      <c r="F50" s="214" t="n">
        <v>14200</v>
      </c>
      <c r="G50" s="239">
        <f>ROUND(E50*F50,2)</f>
        <v/>
      </c>
      <c r="H50" s="377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3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3" t="inlineStr">
        <is>
          <t>т</t>
        </is>
      </c>
      <c r="E51" s="393" t="n">
        <v>0.00217</v>
      </c>
      <c r="F51" s="214" t="n">
        <v>8475</v>
      </c>
      <c r="G51" s="239">
        <f>ROUND(E51*F51,2)</f>
        <v/>
      </c>
      <c r="H51" s="377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3" t="n"/>
      <c r="B52" s="373" t="n"/>
      <c r="C52" s="372" t="inlineStr">
        <is>
          <t>Итого прочие материалы</t>
        </is>
      </c>
      <c r="D52" s="373" t="n"/>
      <c r="E52" s="374" t="n"/>
      <c r="F52" s="375" t="n"/>
      <c r="G52" s="239">
        <f>SUM(G44:G51)</f>
        <v/>
      </c>
      <c r="H52" s="377">
        <f>G52/G53</f>
        <v/>
      </c>
      <c r="I52" s="239" t="n"/>
      <c r="J52" s="239">
        <f>SUM(J44:J51)</f>
        <v/>
      </c>
    </row>
    <row r="53" ht="13.9" customFormat="1" customHeight="1" s="258">
      <c r="A53" s="373" t="n"/>
      <c r="B53" s="373" t="n"/>
      <c r="C53" s="367" t="inlineStr">
        <is>
          <t>Итого по разделу «Материалы»</t>
        </is>
      </c>
      <c r="D53" s="373" t="n"/>
      <c r="E53" s="374" t="n"/>
      <c r="F53" s="375" t="n"/>
      <c r="G53" s="239">
        <f>G43+G52</f>
        <v/>
      </c>
      <c r="H53" s="377" t="n">
        <v>1</v>
      </c>
      <c r="I53" s="375" t="n"/>
      <c r="J53" s="239">
        <f>J43+J52</f>
        <v/>
      </c>
      <c r="K53" s="242" t="n"/>
    </row>
    <row r="54" ht="13.9" customFormat="1" customHeight="1" s="258">
      <c r="A54" s="373" t="n"/>
      <c r="B54" s="373" t="n"/>
      <c r="C54" s="372" t="inlineStr">
        <is>
          <t>ИТОГО ПО РМ</t>
        </is>
      </c>
      <c r="D54" s="373" t="n"/>
      <c r="E54" s="374" t="n"/>
      <c r="F54" s="375" t="n"/>
      <c r="G54" s="239">
        <f>G14+G28+G53</f>
        <v/>
      </c>
      <c r="H54" s="377" t="n"/>
      <c r="I54" s="375" t="n"/>
      <c r="J54" s="239">
        <f>J14+J28+J53</f>
        <v/>
      </c>
    </row>
    <row r="55" ht="13.9" customFormat="1" customHeight="1" s="258">
      <c r="A55" s="373" t="n"/>
      <c r="B55" s="373" t="n"/>
      <c r="C55" s="372" t="inlineStr">
        <is>
          <t>Накладные расходы</t>
        </is>
      </c>
      <c r="D55" s="373" t="inlineStr">
        <is>
          <t>%</t>
        </is>
      </c>
      <c r="E55" s="270">
        <f>ROUND(G55/(G14+G16),2)</f>
        <v/>
      </c>
      <c r="F55" s="375" t="n"/>
      <c r="G55" s="239" t="n">
        <v>34551.39</v>
      </c>
      <c r="H55" s="377" t="n"/>
      <c r="I55" s="375" t="n"/>
      <c r="J55" s="239">
        <f>ROUND(E55*(J14+J16),2)</f>
        <v/>
      </c>
      <c r="K55" s="271" t="n"/>
    </row>
    <row r="56" ht="13.9" customFormat="1" customHeight="1" s="258">
      <c r="A56" s="373" t="n"/>
      <c r="B56" s="373" t="n"/>
      <c r="C56" s="372" t="inlineStr">
        <is>
          <t>Сметная прибыль</t>
        </is>
      </c>
      <c r="D56" s="373" t="inlineStr">
        <is>
          <t>%</t>
        </is>
      </c>
      <c r="E56" s="270">
        <f>ROUND(G56/(G14+G16),2)</f>
        <v/>
      </c>
      <c r="F56" s="375" t="n"/>
      <c r="G56" s="239" t="n">
        <v>18166.19</v>
      </c>
      <c r="H56" s="377" t="n"/>
      <c r="I56" s="375" t="n"/>
      <c r="J56" s="239">
        <f>ROUND(E56*(J14+J16),2)</f>
        <v/>
      </c>
      <c r="K56" s="271" t="n"/>
    </row>
    <row r="57" ht="13.9" customFormat="1" customHeight="1" s="258">
      <c r="A57" s="373" t="n"/>
      <c r="B57" s="373" t="n"/>
      <c r="C57" s="372" t="inlineStr">
        <is>
          <t>Итого СМР (с НР и СП)</t>
        </is>
      </c>
      <c r="D57" s="373" t="n"/>
      <c r="E57" s="374" t="n"/>
      <c r="F57" s="375" t="n"/>
      <c r="G57" s="239">
        <f>G14+G28+G53+G55+G56</f>
        <v/>
      </c>
      <c r="H57" s="377" t="n"/>
      <c r="I57" s="375" t="n"/>
      <c r="J57" s="239">
        <f>J14+J28+J53+J55+J56</f>
        <v/>
      </c>
      <c r="L57" s="272" t="n"/>
    </row>
    <row r="58" ht="13.9" customFormat="1" customHeight="1" s="258">
      <c r="A58" s="373" t="n"/>
      <c r="B58" s="373" t="n"/>
      <c r="C58" s="372" t="inlineStr">
        <is>
          <t>ВСЕГО СМР + ОБОРУДОВАНИЕ</t>
        </is>
      </c>
      <c r="D58" s="373" t="n"/>
      <c r="E58" s="374" t="n"/>
      <c r="F58" s="375" t="n"/>
      <c r="G58" s="239">
        <f>G57+G34</f>
        <v/>
      </c>
      <c r="H58" s="377" t="n"/>
      <c r="I58" s="375" t="n"/>
      <c r="J58" s="239">
        <f>J57+J34</f>
        <v/>
      </c>
      <c r="L58" s="271" t="n"/>
    </row>
    <row r="59" ht="13.9" customFormat="1" customHeight="1" s="258">
      <c r="A59" s="373" t="n"/>
      <c r="B59" s="373" t="n"/>
      <c r="C59" s="372" t="inlineStr">
        <is>
          <t>ИТОГО ПОКАЗАТЕЛЬ НА ЕД. ИЗМ.</t>
        </is>
      </c>
      <c r="D59" s="373" t="inlineStr">
        <is>
          <t>ед.</t>
        </is>
      </c>
      <c r="E59" s="273" t="n">
        <v>7</v>
      </c>
      <c r="F59" s="375" t="n"/>
      <c r="G59" s="239">
        <f>G58/E59</f>
        <v/>
      </c>
      <c r="H59" s="377" t="n"/>
      <c r="I59" s="375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2" t="inlineStr">
        <is>
          <t>Приложение №6</t>
        </is>
      </c>
    </row>
    <row r="2">
      <c r="A2" s="392" t="n"/>
      <c r="B2" s="392" t="n"/>
      <c r="C2" s="392" t="n"/>
      <c r="D2" s="392" t="n"/>
      <c r="E2" s="392" t="n"/>
      <c r="F2" s="392" t="n"/>
      <c r="G2" s="392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3" t="inlineStr">
        <is>
          <t>№ пп.</t>
        </is>
      </c>
      <c r="B7" s="393" t="inlineStr">
        <is>
          <t>Код ресурса</t>
        </is>
      </c>
      <c r="C7" s="393" t="inlineStr">
        <is>
          <t>Наименование</t>
        </is>
      </c>
      <c r="D7" s="393" t="inlineStr">
        <is>
          <t>Ед. изм.</t>
        </is>
      </c>
      <c r="E7" s="373" t="inlineStr">
        <is>
          <t>Кол-во единиц по проектным данным</t>
        </is>
      </c>
      <c r="F7" s="393" t="inlineStr">
        <is>
          <t>Сметная стоимость в ценах на 01.01.2000 (руб.)</t>
        </is>
      </c>
      <c r="G7" s="444" t="n"/>
    </row>
    <row r="8">
      <c r="A8" s="446" t="n"/>
      <c r="B8" s="446" t="n"/>
      <c r="C8" s="446" t="n"/>
      <c r="D8" s="446" t="n"/>
      <c r="E8" s="446" t="n"/>
      <c r="F8" s="373" t="inlineStr">
        <is>
          <t>на ед. изм.</t>
        </is>
      </c>
      <c r="G8" s="373" t="inlineStr">
        <is>
          <t>общая</t>
        </is>
      </c>
    </row>
    <row r="9">
      <c r="A9" s="373" t="n">
        <v>1</v>
      </c>
      <c r="B9" s="373" t="n">
        <v>2</v>
      </c>
      <c r="C9" s="373" t="n">
        <v>3</v>
      </c>
      <c r="D9" s="373" t="n">
        <v>4</v>
      </c>
      <c r="E9" s="373" t="n">
        <v>5</v>
      </c>
      <c r="F9" s="373" t="n">
        <v>6</v>
      </c>
      <c r="G9" s="373" t="n">
        <v>7</v>
      </c>
    </row>
    <row r="10" ht="15" customHeight="1" s="313">
      <c r="A10" s="226" t="n"/>
      <c r="B10" s="372" t="inlineStr">
        <is>
          <t>ИНЖЕНЕРНОЕ ОБОРУДОВАНИЕ</t>
        </is>
      </c>
      <c r="C10" s="443" t="n"/>
      <c r="D10" s="443" t="n"/>
      <c r="E10" s="443" t="n"/>
      <c r="F10" s="443" t="n"/>
      <c r="G10" s="444" t="n"/>
    </row>
    <row r="11" ht="20.25" customHeight="1" s="313">
      <c r="A11" s="373" t="n"/>
      <c r="B11" s="367" t="n"/>
      <c r="C11" s="372" t="inlineStr">
        <is>
          <t>ИТОГО ИНЖЕНЕРНОЕ ОБОРУДОВАНИЕ</t>
        </is>
      </c>
      <c r="D11" s="367" t="n"/>
      <c r="E11" s="148" t="n"/>
      <c r="F11" s="375" t="n"/>
      <c r="G11" s="375" t="n">
        <v>0</v>
      </c>
    </row>
    <row r="12" ht="15" customHeight="1" s="313">
      <c r="A12" s="373" t="n"/>
      <c r="B12" s="162" t="inlineStr">
        <is>
          <t>ТЕХНОЛОГИЧЕСКОЕ ОБОРУДОВАНИЕ</t>
        </is>
      </c>
      <c r="C12" s="449" t="n"/>
      <c r="D12" s="449" t="n"/>
      <c r="E12" s="449" t="n"/>
      <c r="F12" s="449" t="n"/>
      <c r="G12" s="450" t="n"/>
    </row>
    <row r="13">
      <c r="A13" s="373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3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5" t="n"/>
      <c r="G14" s="239">
        <f>SUM(G13:G13)</f>
        <v/>
      </c>
    </row>
    <row r="15" ht="19.5" customHeight="1" s="313">
      <c r="A15" s="373" t="n"/>
      <c r="B15" s="372" t="n"/>
      <c r="C15" s="372" t="inlineStr">
        <is>
          <t>Всего по разделу «Оборудование»</t>
        </is>
      </c>
      <c r="D15" s="372" t="n"/>
      <c r="E15" s="269" t="n"/>
      <c r="F15" s="375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 ht="15" customHeight="1" s="313">
      <c r="A9" s="446" t="n"/>
      <c r="B9" s="446" t="n"/>
      <c r="C9" s="446" t="n"/>
      <c r="D9" s="446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51" customHeight="1" s="313">
      <c r="A11" s="373" t="inlineStr">
        <is>
          <t>В5-03-1</t>
        </is>
      </c>
      <c r="B11" s="373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61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0" t="inlineStr">
        <is>
          <t>Наименование индекса / норм сопутствующих затрат</t>
        </is>
      </c>
      <c r="C8" s="360" t="inlineStr">
        <is>
          <t>Дата применения и обоснование индекса / норм сопутствующих затрат</t>
        </is>
      </c>
      <c r="D8" s="360" t="inlineStr">
        <is>
          <t>Размер индекса / норма сопутствующих затрат</t>
        </is>
      </c>
    </row>
    <row r="9" ht="15.6" customHeight="1" s="313">
      <c r="B9" s="360" t="n">
        <v>1</v>
      </c>
      <c r="C9" s="360" t="n">
        <v>2</v>
      </c>
      <c r="D9" s="360" t="n">
        <v>3</v>
      </c>
    </row>
    <row r="10" ht="45" customHeight="1" s="313">
      <c r="B10" s="360" t="inlineStr">
        <is>
          <t xml:space="preserve">Индекс изменения сметной стоимости на 1 квартал 2023 года. ОЗП </t>
        </is>
      </c>
      <c r="C10" s="360" t="inlineStr">
        <is>
          <t>Письмо Минстроя России от 30.03.2023г. №17106-ИФ/09  прил.1</t>
        </is>
      </c>
      <c r="D10" s="360" t="n">
        <v>44.29</v>
      </c>
    </row>
    <row r="11" ht="29.25" customHeight="1" s="313">
      <c r="B11" s="360" t="inlineStr">
        <is>
          <t>Индекс изменения сметной стоимости на 1 квартал 2023 года. ЭМ</t>
        </is>
      </c>
      <c r="C11" s="360" t="inlineStr">
        <is>
          <t>Письмо Минстроя России от 30.03.2023г. №17106-ИФ/09  прил.1</t>
        </is>
      </c>
      <c r="D11" s="360" t="n">
        <v>13.47</v>
      </c>
    </row>
    <row r="12" ht="29.25" customHeight="1" s="313">
      <c r="B12" s="360" t="inlineStr">
        <is>
          <t>Индекс изменения сметной стоимости на 1 квартал 2023 года. МАТ</t>
        </is>
      </c>
      <c r="C12" s="360" t="inlineStr">
        <is>
          <t>Письмо Минстроя России от 30.03.2023г. №17106-ИФ/09  прил.1</t>
        </is>
      </c>
      <c r="D12" s="360" t="n">
        <v>8.039999999999999</v>
      </c>
    </row>
    <row r="13" ht="30.75" customHeight="1" s="313">
      <c r="B13" s="360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0" t="n">
        <v>6.26</v>
      </c>
    </row>
    <row r="14" ht="89.25" customHeight="1" s="313">
      <c r="B14" s="360" t="inlineStr">
        <is>
          <t>Временные здания и сооружения</t>
        </is>
      </c>
      <c r="C14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0" t="inlineStr">
        <is>
          <t>Дополнительные затраты при производстве строительно-монтажных работ в зимнее время</t>
        </is>
      </c>
      <c r="C15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0" t="inlineStr">
        <is>
          <t>Пусконаладочные работы</t>
        </is>
      </c>
      <c r="C16" s="360" t="n"/>
      <c r="D16" s="360" t="inlineStr">
        <is>
          <t>Расчет</t>
        </is>
      </c>
    </row>
    <row r="17" ht="31.5" customHeight="1" s="313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9" t="n">
        <v>0.002</v>
      </c>
    </row>
    <row r="19" ht="24" customHeight="1" s="313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6" sqref="B26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23" t="inlineStr">
        <is>
          <t>№ пп.</t>
        </is>
      </c>
      <c r="B5" s="423" t="inlineStr">
        <is>
          <t>Наименование элемента</t>
        </is>
      </c>
      <c r="C5" s="423" t="inlineStr">
        <is>
          <t>Обозначение</t>
        </is>
      </c>
      <c r="D5" s="423" t="inlineStr">
        <is>
          <t>Формула</t>
        </is>
      </c>
      <c r="E5" s="423" t="inlineStr">
        <is>
          <t>Величина элемента</t>
        </is>
      </c>
      <c r="F5" s="423" t="inlineStr">
        <is>
          <t>Наименования обосновывающих документов</t>
        </is>
      </c>
    </row>
    <row r="6">
      <c r="A6" s="423" t="n">
        <v>1</v>
      </c>
      <c r="B6" s="423" t="n">
        <v>2</v>
      </c>
      <c r="C6" s="423" t="n">
        <v>3</v>
      </c>
      <c r="D6" s="423" t="n">
        <v>4</v>
      </c>
      <c r="E6" s="423" t="n">
        <v>5</v>
      </c>
      <c r="F6" s="423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22" t="n"/>
      <c r="D10" s="422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2025-01-24T11:55:17Z</dcterms:modified>
  <cp:lastModifiedBy>Danil</cp:lastModifiedBy>
  <cp:lastPrinted>2023-11-27T09:07:58Z</cp:lastPrinted>
</cp:coreProperties>
</file>