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'Прил.3'!$A$1:$H$49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РМ'!$B$6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1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0.0_ ;\-0.0\ "/>
    <numFmt numFmtId="173" formatCode="#,##0.00_ ;\-#,##0.00\ "/>
    <numFmt numFmtId="174" formatCode="#,##0.0000_ ;\-#,##0.0000\ 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71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172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73" fontId="21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2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0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0" fillId="0" borderId="0" pivotButton="0" quotePrefix="0" xfId="0"/>
    <xf numFmtId="174" fontId="2" fillId="0" borderId="1" applyAlignment="1" pivotButton="0" quotePrefix="0" xfId="0">
      <alignment vertical="center" wrapText="1"/>
    </xf>
    <xf numFmtId="49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9" fillId="0" borderId="1" pivotButton="0" quotePrefix="0" xfId="0"/>
    <xf numFmtId="0" fontId="19" fillId="0" borderId="12" applyAlignment="1" pivotButton="0" quotePrefix="0" xfId="0">
      <alignment horizontal="center" vertical="center" wrapText="1"/>
    </xf>
    <xf numFmtId="0" fontId="19" fillId="0" borderId="1" applyAlignment="1" pivotButton="0" quotePrefix="1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167" fontId="23" fillId="0" borderId="1" applyAlignment="1" pivotButton="0" quotePrefix="0" xfId="0">
      <alignment vertical="center" wrapText="1"/>
    </xf>
    <xf numFmtId="167" fontId="23" fillId="0" borderId="1" applyAlignment="1" pivotButton="0" quotePrefix="0" xfId="0">
      <alignment vertical="center" wrapText="1"/>
    </xf>
    <xf numFmtId="4" fontId="19" fillId="0" borderId="0" applyAlignment="1" pivotButton="0" quotePrefix="0" xfId="0">
      <alignment vertical="center" wrapText="1"/>
    </xf>
    <xf numFmtId="4" fontId="1" fillId="0" borderId="1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6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19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20" applyAlignment="1" pivotButton="0" quotePrefix="0" xfId="0">
      <alignment horizontal="center" wrapText="1"/>
    </xf>
    <xf numFmtId="0" fontId="0" fillId="0" borderId="21" applyAlignment="1" pivotButton="0" quotePrefix="0" xfId="0">
      <alignment horizontal="center" wrapText="1"/>
    </xf>
    <xf numFmtId="0" fontId="0" fillId="0" borderId="2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6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6" pivotButton="0" quotePrefix="0" xfId="0"/>
    <xf numFmtId="0" fontId="0" fillId="0" borderId="12" pivotButton="0" quotePrefix="0" xfId="0"/>
    <xf numFmtId="0" fontId="0" fillId="0" borderId="4" pivotButton="0" quotePrefix="0" xfId="0"/>
    <xf numFmtId="0" fontId="2" fillId="0" borderId="12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8" pivotButton="0" quotePrefix="0" xfId="0"/>
    <xf numFmtId="0" fontId="0" fillId="0" borderId="1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tabSelected="1" view="pageBreakPreview" topLeftCell="A13" zoomScale="60" zoomScaleNormal="85" workbookViewId="0">
      <selection activeCell="C26" sqref="C26"/>
    </sheetView>
  </sheetViews>
  <sheetFormatPr baseColWidth="8" defaultRowHeight="15"/>
  <cols>
    <col width="36.85546875" customWidth="1" style="313" min="3" max="3"/>
    <col width="39.42578125" customWidth="1" style="313" min="4" max="4"/>
    <col width="14.28515625" customWidth="1" style="313" min="7" max="7"/>
    <col width="15" customWidth="1" style="313" min="10" max="10"/>
  </cols>
  <sheetData>
    <row r="2" ht="15.6" customHeight="1" s="313">
      <c r="B2" s="355" t="inlineStr">
        <is>
          <t>Приложение № 1</t>
        </is>
      </c>
    </row>
    <row r="3" ht="17.45" customHeight="1" s="313">
      <c r="B3" s="356" t="inlineStr">
        <is>
          <t>Сравнительная таблица отбора объекта-представителя</t>
        </is>
      </c>
    </row>
    <row r="4" ht="84" customHeight="1" s="313">
      <c r="B4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" customHeight="1" s="313">
      <c r="B5" s="304" t="n"/>
      <c r="C5" s="304" t="n"/>
      <c r="D5" s="304" t="n"/>
    </row>
    <row r="6" ht="64.5" customHeight="1" s="313">
      <c r="B6" s="358" t="inlineStr">
        <is>
          <t xml:space="preserve">Наименование разрабатываемого показателя УНЦ - </t>
        </is>
      </c>
      <c r="D6" s="341">
        <f>'Прил.5 Расчет СМР и ОБ'!D6</f>
        <v/>
      </c>
    </row>
    <row r="7" ht="31.5" customHeight="1" s="313">
      <c r="B7" s="354" t="inlineStr">
        <is>
          <t>Сопоставимый уровень цен: 3 кв. 2016г</t>
        </is>
      </c>
    </row>
    <row r="8" ht="15.75" customHeight="1" s="313">
      <c r="B8" s="354" t="inlineStr">
        <is>
          <t>Единица измерения  — 1 ячейка</t>
        </is>
      </c>
    </row>
    <row r="9" ht="18" customHeight="1" s="313">
      <c r="B9" s="279" t="n"/>
    </row>
    <row r="10" ht="15.6" customHeight="1" s="313">
      <c r="B10" s="362" t="inlineStr">
        <is>
          <t>№ п/п</t>
        </is>
      </c>
      <c r="C10" s="362" t="inlineStr">
        <is>
          <t>Параметр</t>
        </is>
      </c>
      <c r="D10" s="362" t="inlineStr">
        <is>
          <t>Объект-представитель</t>
        </is>
      </c>
    </row>
    <row r="11" ht="31.15" customHeight="1" s="313">
      <c r="B11" s="362" t="n">
        <v>1</v>
      </c>
      <c r="C11" s="336" t="inlineStr">
        <is>
          <t>Наименование объекта-представителя</t>
        </is>
      </c>
      <c r="D11" s="362" t="inlineStr">
        <is>
          <t>Строительство ПС 220/20/10 кВ "Кожевническая"</t>
        </is>
      </c>
    </row>
    <row r="12" ht="31.15" customHeight="1" s="313">
      <c r="B12" s="362" t="n">
        <v>2</v>
      </c>
      <c r="C12" s="336" t="inlineStr">
        <is>
          <t>Наименование субъекта Российской Федерации</t>
        </is>
      </c>
      <c r="D12" s="362" t="inlineStr">
        <is>
          <t>Москва</t>
        </is>
      </c>
    </row>
    <row r="13" ht="15.6" customHeight="1" s="313">
      <c r="B13" s="362" t="n">
        <v>3</v>
      </c>
      <c r="C13" s="336" t="inlineStr">
        <is>
          <t>Климатический район и подрайон</t>
        </is>
      </c>
      <c r="D13" s="362" t="inlineStr">
        <is>
          <t>IIВ</t>
        </is>
      </c>
    </row>
    <row r="14" ht="15.6" customHeight="1" s="313">
      <c r="B14" s="362" t="n">
        <v>4</v>
      </c>
      <c r="C14" s="336" t="inlineStr">
        <is>
          <t>Мощность объекта</t>
        </is>
      </c>
      <c r="D14" s="362" t="n">
        <v>7</v>
      </c>
    </row>
    <row r="15" ht="93.59999999999999" customHeight="1" s="313">
      <c r="B15" s="362" t="n">
        <v>5</v>
      </c>
      <c r="C15" s="2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62" t="inlineStr">
        <is>
          <t>Проиводитель оборудования - Alstom
I откл. (кА)/I ном (А) - 40/2000</t>
        </is>
      </c>
    </row>
    <row r="16" ht="78" customHeight="1" s="313">
      <c r="B16" s="362" t="n">
        <v>6</v>
      </c>
      <c r="C16" s="2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328">
        <f>D17+D18+D19+D20</f>
        <v/>
      </c>
    </row>
    <row r="17" ht="15.6" customHeight="1" s="313">
      <c r="B17" s="322" t="inlineStr">
        <is>
          <t>6.1</t>
        </is>
      </c>
      <c r="C17" s="336" t="inlineStr">
        <is>
          <t>строительно-монтажные работы</t>
        </is>
      </c>
      <c r="D17" s="328">
        <f>'Прил.2 Расч стоим'!F12+'Прил.2 Расч стоим'!G12</f>
        <v/>
      </c>
    </row>
    <row r="18" ht="15.6" customHeight="1" s="313">
      <c r="B18" s="322" t="inlineStr">
        <is>
          <t>6.2</t>
        </is>
      </c>
      <c r="C18" s="336" t="inlineStr">
        <is>
          <t>оборудование и инвентарь</t>
        </is>
      </c>
      <c r="D18" s="328">
        <f>'Прил.2 Расч стоим'!H12</f>
        <v/>
      </c>
    </row>
    <row r="19" ht="15.6" customHeight="1" s="313">
      <c r="B19" s="322" t="inlineStr">
        <is>
          <t>6.3</t>
        </is>
      </c>
      <c r="C19" s="336" t="inlineStr">
        <is>
          <t>пусконаладочные работы</t>
        </is>
      </c>
      <c r="D19" s="328" t="n"/>
    </row>
    <row r="20" ht="15.6" customHeight="1" s="313">
      <c r="B20" s="322" t="inlineStr">
        <is>
          <t>6.4</t>
        </is>
      </c>
      <c r="C20" s="336" t="inlineStr">
        <is>
          <t>прочие и лимитированные затраты</t>
        </is>
      </c>
      <c r="D20" s="328">
        <f>'Прил.2 Расч стоим'!I13</f>
        <v/>
      </c>
    </row>
    <row r="21" ht="15.6" customHeight="1" s="313">
      <c r="B21" s="362" t="n">
        <v>7</v>
      </c>
      <c r="C21" s="336" t="inlineStr">
        <is>
          <t>Сопоставимый уровень цен</t>
        </is>
      </c>
      <c r="D21" s="322" t="inlineStr">
        <is>
          <t>3 кв. 2016г</t>
        </is>
      </c>
      <c r="G21" s="316" t="n"/>
    </row>
    <row r="22" ht="109.15" customHeight="1" s="313">
      <c r="B22" s="362" t="n">
        <v>8</v>
      </c>
      <c r="C22" s="2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328">
        <f>D16</f>
        <v/>
      </c>
    </row>
    <row r="23" ht="46.9" customHeight="1" s="313">
      <c r="B23" s="362" t="n">
        <v>9</v>
      </c>
      <c r="C23" s="281" t="inlineStr">
        <is>
          <t>Приведенная сметная стоимость на единицу мощности, тыс. руб. (строка 8/строку 4)</t>
        </is>
      </c>
      <c r="D23" s="328">
        <f>D22/D14</f>
        <v/>
      </c>
      <c r="G23" s="316" t="n"/>
    </row>
    <row r="24" hidden="1" ht="109.15" customHeight="1" s="313">
      <c r="B24" s="362" t="n">
        <v>10</v>
      </c>
      <c r="C24" s="336" t="inlineStr">
        <is>
          <t>Примечание</t>
        </is>
      </c>
      <c r="D24" s="336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313">
      <c r="B25" s="309" t="n"/>
      <c r="C25" s="310" t="n"/>
      <c r="D25" s="310" t="n"/>
    </row>
    <row r="26">
      <c r="B26" s="235" t="inlineStr">
        <is>
          <t>Составил ______________________        Е. М. Добровольская</t>
        </is>
      </c>
      <c r="C26" s="258" t="n"/>
    </row>
    <row r="27">
      <c r="B27" s="275" t="inlineStr">
        <is>
          <t xml:space="preserve">                         (подпись, инициалы, фамилия)</t>
        </is>
      </c>
      <c r="C27" s="258" t="n"/>
    </row>
    <row r="28">
      <c r="B28" s="235" t="n"/>
      <c r="C28" s="258" t="n"/>
    </row>
    <row r="29">
      <c r="B29" s="235" t="inlineStr">
        <is>
          <t>Проверил ______________________        А.В. Костянецкая</t>
        </is>
      </c>
      <c r="C29" s="258" t="n"/>
    </row>
    <row r="30">
      <c r="B30" s="275" t="inlineStr">
        <is>
          <t xml:space="preserve">                        (подпись, инициалы, фамилия)</t>
        </is>
      </c>
      <c r="C30" s="258" t="n"/>
    </row>
    <row r="31" ht="15.6" customHeight="1" s="313">
      <c r="B31" s="310" t="n"/>
      <c r="C31" s="310" t="n"/>
      <c r="D31" s="31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E19" sqref="E19"/>
    </sheetView>
  </sheetViews>
  <sheetFormatPr baseColWidth="8" defaultRowHeight="15"/>
  <cols>
    <col width="5.5703125" customWidth="1" style="313" min="1" max="1"/>
    <col width="44.85546875" customWidth="1" style="313" min="3" max="3"/>
    <col width="13.85546875" customWidth="1" style="313" min="4" max="4"/>
    <col width="17.42578125" customWidth="1" style="313" min="5" max="5"/>
    <col width="12.7109375" customWidth="1" style="313" min="6" max="6"/>
    <col width="14.85546875" customWidth="1" style="313" min="7" max="7"/>
    <col width="16.7109375" customWidth="1" style="313" min="8" max="8"/>
    <col width="13" customWidth="1" style="313" min="9" max="10"/>
    <col width="18" customWidth="1" style="313" min="11" max="11"/>
  </cols>
  <sheetData>
    <row r="3" ht="15.6" customHeight="1" s="313">
      <c r="B3" s="355" t="inlineStr">
        <is>
          <t>Приложение № 2</t>
        </is>
      </c>
    </row>
    <row r="4" ht="15.6" customHeight="1" s="313">
      <c r="B4" s="359" t="inlineStr">
        <is>
          <t>Расчет стоимости основных видов работ для выбора объекта-представителя</t>
        </is>
      </c>
    </row>
    <row r="5" ht="15.6" customHeight="1" s="313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313">
      <c r="B6" s="360" t="inlineStr">
        <is>
          <t xml:space="preserve">Наименование разрабатываемого показателя УНЦ - </t>
        </is>
      </c>
      <c r="D6" s="309">
        <f>'Прил.1 Сравнит табл'!D6</f>
        <v/>
      </c>
      <c r="E6" s="309" t="n"/>
      <c r="F6" s="309" t="n"/>
      <c r="G6" s="309" t="n"/>
      <c r="H6" s="309" t="n"/>
      <c r="I6" s="309" t="n"/>
      <c r="J6" s="309" t="n"/>
      <c r="K6" s="309" t="n"/>
    </row>
    <row r="7" ht="15.6" customHeight="1" s="313">
      <c r="B7" s="354">
        <f>'Прил.1 Сравнит табл'!B8</f>
        <v/>
      </c>
    </row>
    <row r="8" ht="18" customHeight="1" s="313">
      <c r="B8" s="279" t="n"/>
    </row>
    <row r="9" ht="15.75" customHeight="1" s="313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13">
      <c r="B10" s="444" t="n"/>
      <c r="C10" s="444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3 кв. 2016 г., тыс. руб.</t>
        </is>
      </c>
      <c r="G10" s="442" t="n"/>
      <c r="H10" s="442" t="n"/>
      <c r="I10" s="442" t="n"/>
      <c r="J10" s="443" t="n"/>
    </row>
    <row r="11" ht="58.5" customHeight="1" s="313">
      <c r="B11" s="445" t="n"/>
      <c r="C11" s="445" t="n"/>
      <c r="D11" s="445" t="n"/>
      <c r="E11" s="445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</row>
    <row r="12" ht="126" customHeight="1" s="313">
      <c r="B12" s="333" t="n">
        <v>1</v>
      </c>
      <c r="C12" s="334">
        <f>'Прил.1 Сравнит табл'!D15</f>
        <v/>
      </c>
      <c r="D12" s="335" t="inlineStr">
        <is>
          <t>02-02-15</t>
        </is>
      </c>
      <c r="E12" s="336" t="inlineStr">
        <is>
          <t>02-02-15 Здание КРУЭ 220кВ и помещение "Учет". Установка электрооборудования. Заземление</t>
        </is>
      </c>
      <c r="F12" s="337" t="n"/>
      <c r="G12" s="337" t="n">
        <v>8295.98</v>
      </c>
      <c r="H12" s="337" t="n">
        <v>412299.08983</v>
      </c>
      <c r="I12" s="337" t="n"/>
      <c r="J12" s="338">
        <f>SUM(F12:I12)</f>
        <v/>
      </c>
    </row>
    <row r="13" ht="15" customHeight="1" s="313">
      <c r="B13" s="361" t="inlineStr">
        <is>
          <t>Всего по объекту:</t>
        </is>
      </c>
      <c r="C13" s="442" t="n"/>
      <c r="D13" s="442" t="n"/>
      <c r="E13" s="443" t="n"/>
      <c r="F13" s="340">
        <f>SUM(F12:F12)</f>
        <v/>
      </c>
      <c r="G13" s="340">
        <f>SUM(G12:G12)</f>
        <v/>
      </c>
      <c r="H13" s="340">
        <f>SUM(H12:H12)</f>
        <v/>
      </c>
      <c r="I13" s="340">
        <f>(F13+G13)*3.9%+((F13+G13)*3.9%+F13+G13)*2.1%</f>
        <v/>
      </c>
      <c r="J13" s="340">
        <f>SUM(F13:I13)</f>
        <v/>
      </c>
    </row>
    <row r="14" ht="15.75" customHeight="1" s="313">
      <c r="B14" s="361" t="inlineStr">
        <is>
          <t>Всего по объекту в сопоставимом уровне цен 3 кв. 2016г:</t>
        </is>
      </c>
      <c r="C14" s="442" t="n"/>
      <c r="D14" s="442" t="n"/>
      <c r="E14" s="443" t="n"/>
      <c r="F14" s="340">
        <f>F13</f>
        <v/>
      </c>
      <c r="G14" s="340">
        <f>G13</f>
        <v/>
      </c>
      <c r="H14" s="340">
        <f>H13</f>
        <v/>
      </c>
      <c r="I14" s="340">
        <f>(F14+G14)*3.9%+((F14+G14)*3.9%+F14+G14)*2.1%</f>
        <v/>
      </c>
      <c r="J14" s="340">
        <f>SUM(F14:I14)</f>
        <v/>
      </c>
    </row>
    <row r="18">
      <c r="C18" s="235" t="inlineStr">
        <is>
          <t>Составил ______________________        Е. М. Добровольская</t>
        </is>
      </c>
      <c r="D18" s="258" t="n"/>
    </row>
    <row r="19">
      <c r="C19" s="275" t="inlineStr">
        <is>
          <t xml:space="preserve">                         (подпись, инициалы, фамилия)</t>
        </is>
      </c>
      <c r="D19" s="258" t="n"/>
    </row>
    <row r="20">
      <c r="C20" s="235" t="n"/>
      <c r="D20" s="258" t="n"/>
    </row>
    <row r="21">
      <c r="C21" s="235" t="inlineStr">
        <is>
          <t>Проверил ______________________        А.В. Костянецкая</t>
        </is>
      </c>
      <c r="D21" s="258" t="n"/>
    </row>
    <row r="22">
      <c r="C22" s="275" t="inlineStr">
        <is>
          <t xml:space="preserve">                        (подпись, инициалы, фамилия)</t>
        </is>
      </c>
      <c r="D22" s="258" t="n"/>
    </row>
  </sheetData>
  <mergeCells count="12">
    <mergeCell ref="B6:C6"/>
    <mergeCell ref="D10:D11"/>
    <mergeCell ref="B4:K4"/>
    <mergeCell ref="D9:J9"/>
    <mergeCell ref="B13:E13"/>
    <mergeCell ref="F10:J10"/>
    <mergeCell ref="B9:B11"/>
    <mergeCell ref="B7:K7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9"/>
  <sheetViews>
    <sheetView view="pageBreakPreview" topLeftCell="A37" workbookViewId="0">
      <selection activeCell="D47" sqref="D47"/>
    </sheetView>
  </sheetViews>
  <sheetFormatPr baseColWidth="8" defaultRowHeight="15"/>
  <cols>
    <col width="11.140625" customWidth="1" style="313" min="1" max="1"/>
    <col width="14.7109375" customWidth="1" style="313" min="2" max="2"/>
    <col width="21.42578125" customWidth="1" style="313" min="3" max="3"/>
    <col width="49.7109375" customWidth="1" style="313" min="4" max="4"/>
    <col width="16.28515625" customWidth="1" style="313" min="5" max="5"/>
    <col width="20.7109375" customWidth="1" style="313" min="6" max="6"/>
    <col width="16.140625" customWidth="1" style="313" min="7" max="7"/>
    <col width="16.7109375" customWidth="1" style="313" min="8" max="8"/>
    <col width="11.140625" customWidth="1" style="313" min="9" max="9"/>
    <col width="9.28515625" customWidth="1" style="313" min="10" max="10"/>
    <col width="15.7109375" customWidth="1" style="313" min="11" max="11"/>
    <col width="9.140625" customWidth="1" style="313" min="12" max="12"/>
  </cols>
  <sheetData>
    <row r="2" ht="15.6" customHeight="1" s="313">
      <c r="A2" s="355" t="inlineStr">
        <is>
          <t xml:space="preserve">Приложение № 3 </t>
        </is>
      </c>
    </row>
    <row r="3" ht="17.45" customHeight="1" s="313">
      <c r="A3" s="356" t="inlineStr">
        <is>
          <t>Объектная ресурсная ведомость</t>
        </is>
      </c>
    </row>
    <row r="4" ht="17.45" customHeight="1" s="313">
      <c r="A4" s="356" t="n"/>
      <c r="B4" s="356" t="n"/>
      <c r="C4" s="356" t="n"/>
      <c r="D4" s="356" t="n"/>
      <c r="E4" s="356" t="n"/>
      <c r="F4" s="356" t="n"/>
      <c r="G4" s="356" t="n"/>
      <c r="H4" s="356" t="n"/>
    </row>
    <row r="5">
      <c r="B5" s="314" t="n"/>
    </row>
    <row r="6" ht="17.45" customHeight="1" s="313">
      <c r="A6" s="356" t="n"/>
      <c r="B6" s="356" t="n"/>
      <c r="C6" s="366" t="n"/>
    </row>
    <row r="7" ht="32.25" customHeight="1" s="313">
      <c r="A7" s="363" t="inlineStr">
        <is>
          <t xml:space="preserve">Наименование разрабатываемого показателя УНЦ - </t>
        </is>
      </c>
      <c r="D7" s="363">
        <f>'Прил.1 Сравнит табл'!D6</f>
        <v/>
      </c>
    </row>
    <row r="8" ht="21.75" customHeight="1" s="313">
      <c r="A8" s="201" t="n"/>
      <c r="B8" s="201" t="n"/>
      <c r="C8" s="201" t="n"/>
      <c r="D8" s="201" t="n"/>
      <c r="E8" s="201" t="n"/>
      <c r="F8" s="201" t="n"/>
      <c r="G8" s="201" t="n"/>
      <c r="H8" s="276" t="n"/>
    </row>
    <row r="9" ht="38.25" customHeight="1" s="313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3" t="n"/>
    </row>
    <row r="10" ht="40.5" customHeight="1" s="313">
      <c r="A10" s="445" t="n"/>
      <c r="B10" s="445" t="n"/>
      <c r="C10" s="445" t="n"/>
      <c r="D10" s="445" t="n"/>
      <c r="E10" s="445" t="n"/>
      <c r="F10" s="445" t="n"/>
      <c r="G10" s="362" t="inlineStr">
        <is>
          <t>на ед.изм.</t>
        </is>
      </c>
      <c r="H10" s="362" t="inlineStr">
        <is>
          <t>общая</t>
        </is>
      </c>
    </row>
    <row r="11" ht="15.6" customHeight="1" s="313">
      <c r="A11" s="362" t="n">
        <v>1</v>
      </c>
      <c r="B11" s="221" t="n"/>
      <c r="C11" s="362" t="n">
        <v>2</v>
      </c>
      <c r="D11" s="362" t="inlineStr">
        <is>
          <t>З</t>
        </is>
      </c>
      <c r="E11" s="362" t="n">
        <v>4</v>
      </c>
      <c r="F11" s="362" t="n">
        <v>5</v>
      </c>
      <c r="G11" s="221" t="n">
        <v>6</v>
      </c>
      <c r="H11" s="221" t="n">
        <v>7</v>
      </c>
    </row>
    <row r="12" ht="15" customHeight="1" s="313">
      <c r="A12" s="364" t="inlineStr">
        <is>
          <t>Затраты труда рабочих</t>
        </is>
      </c>
      <c r="B12" s="442" t="n"/>
      <c r="C12" s="442" t="n"/>
      <c r="D12" s="442" t="n"/>
      <c r="E12" s="442" t="n"/>
      <c r="F12" s="321">
        <f>SUM(F13:F13)</f>
        <v/>
      </c>
      <c r="G12" s="223" t="n"/>
      <c r="H12" s="222">
        <f>SUM(H13:H13)</f>
        <v/>
      </c>
      <c r="J12" s="282" t="n"/>
    </row>
    <row r="13">
      <c r="A13" s="216" t="n">
        <v>1</v>
      </c>
      <c r="B13" s="277" t="n"/>
      <c r="C13" s="216" t="inlineStr">
        <is>
          <t>1-4-0</t>
        </is>
      </c>
      <c r="D13" s="217" t="inlineStr">
        <is>
          <t>Затраты труда рабочих (средний разряд работы 4,0)</t>
        </is>
      </c>
      <c r="E13" s="392" t="inlineStr">
        <is>
          <t>чел.час</t>
        </is>
      </c>
      <c r="F13" s="319" t="n">
        <v>2667</v>
      </c>
      <c r="G13" s="214" t="n">
        <v>9.619999999999999</v>
      </c>
      <c r="H13" s="214">
        <f>ROUND(F13*G13,2)</f>
        <v/>
      </c>
    </row>
    <row r="14" ht="15" customHeight="1" s="313">
      <c r="A14" s="368" t="inlineStr">
        <is>
          <t>Затраты труда машинистов</t>
        </is>
      </c>
      <c r="B14" s="442" t="n"/>
      <c r="C14" s="442" t="n"/>
      <c r="D14" s="442" t="n"/>
      <c r="E14" s="443" t="n"/>
      <c r="F14" s="223" t="n"/>
      <c r="G14" s="223" t="n"/>
      <c r="H14" s="222">
        <f>H15</f>
        <v/>
      </c>
    </row>
    <row r="15">
      <c r="A15" s="215">
        <f>A13+1</f>
        <v/>
      </c>
      <c r="B15" s="277" t="n"/>
      <c r="C15" s="216" t="n">
        <v>2</v>
      </c>
      <c r="D15" s="217" t="inlineStr">
        <is>
          <t>Затраты труда машинистов</t>
        </is>
      </c>
      <c r="E15" s="392" t="inlineStr">
        <is>
          <t>чел.-ч</t>
        </is>
      </c>
      <c r="F15" s="319" t="n">
        <v>884.66</v>
      </c>
      <c r="G15" s="214" t="n"/>
      <c r="H15" s="203" t="n">
        <v>9963.41</v>
      </c>
      <c r="L15" s="205" t="n"/>
      <c r="N15" s="320" t="n"/>
    </row>
    <row r="16" ht="15" customHeight="1" s="313">
      <c r="A16" s="368" t="inlineStr">
        <is>
          <t>Машины и механизмы</t>
        </is>
      </c>
      <c r="B16" s="442" t="n"/>
      <c r="C16" s="442" t="n"/>
      <c r="D16" s="442" t="n"/>
      <c r="E16" s="443" t="n"/>
      <c r="F16" s="223" t="n"/>
      <c r="G16" s="223" t="n"/>
      <c r="H16" s="222">
        <f>SUM(H17:H23)</f>
        <v/>
      </c>
    </row>
    <row r="17">
      <c r="A17" s="216">
        <f>A15+1</f>
        <v/>
      </c>
      <c r="B17" s="277" t="n"/>
      <c r="C17" s="216" t="inlineStr">
        <is>
          <t>91.10.01-002</t>
        </is>
      </c>
      <c r="D17" s="217" t="inlineStr">
        <is>
          <t>Агрегаты наполнительно-опрессовочные до 300 м3/ч</t>
        </is>
      </c>
      <c r="E17" s="392" t="inlineStr">
        <is>
          <t>маш.час</t>
        </is>
      </c>
      <c r="F17" s="392" t="n">
        <v>123.9</v>
      </c>
      <c r="G17" s="219" t="n">
        <v>287.99</v>
      </c>
      <c r="H17" s="214">
        <f>ROUND(F17*G17,2)</f>
        <v/>
      </c>
    </row>
    <row r="18">
      <c r="A18" s="216">
        <f>A17+1</f>
        <v/>
      </c>
      <c r="B18" s="277" t="n"/>
      <c r="C18" s="216" t="inlineStr">
        <is>
          <t>91.05.05-015</t>
        </is>
      </c>
      <c r="D18" s="217" t="inlineStr">
        <is>
          <t>Краны на автомобильном ходу, грузоподъемность 16 т</t>
        </is>
      </c>
      <c r="E18" s="392" t="inlineStr">
        <is>
          <t>маш.час</t>
        </is>
      </c>
      <c r="F18" s="392" t="n">
        <v>206.5</v>
      </c>
      <c r="G18" s="219" t="n">
        <v>115.4</v>
      </c>
      <c r="H18" s="214">
        <f>ROUND(F18*G18,2)</f>
        <v/>
      </c>
    </row>
    <row r="19">
      <c r="A19" s="216">
        <f>A18+1</f>
        <v/>
      </c>
      <c r="B19" s="277" t="n"/>
      <c r="C19" s="216" t="inlineStr">
        <is>
          <t>91.06.06-042</t>
        </is>
      </c>
      <c r="D19" s="217" t="inlineStr">
        <is>
          <t>Подъемники гидравлические, высота подъема 10 м</t>
        </is>
      </c>
      <c r="E19" s="392" t="inlineStr">
        <is>
          <t>маш.час</t>
        </is>
      </c>
      <c r="F19" s="392" t="n">
        <v>448.7</v>
      </c>
      <c r="G19" s="219" t="n">
        <v>29.6</v>
      </c>
      <c r="H19" s="214">
        <f>ROUND(F19*G19,2)</f>
        <v/>
      </c>
    </row>
    <row r="20" ht="25.5" customHeight="1" s="313">
      <c r="A20" s="216">
        <f>A19+1</f>
        <v/>
      </c>
      <c r="B20" s="277" t="n"/>
      <c r="C20" s="216" t="inlineStr">
        <is>
          <t>91.06.03-058</t>
        </is>
      </c>
      <c r="D20" s="217" t="inlineStr">
        <is>
          <t>Лебедки электрические тяговым усилием 156,96 кН (16 т)</t>
        </is>
      </c>
      <c r="E20" s="392" t="inlineStr">
        <is>
          <t>маш.час</t>
        </is>
      </c>
      <c r="F20" s="392" t="n">
        <v>64.26000000000001</v>
      </c>
      <c r="G20" s="219" t="n">
        <v>131.44</v>
      </c>
      <c r="H20" s="214">
        <f>ROUND(F20*G20,2)</f>
        <v/>
      </c>
    </row>
    <row r="21">
      <c r="A21" s="216">
        <f>A20+1</f>
        <v/>
      </c>
      <c r="B21" s="277" t="n"/>
      <c r="C21" s="216" t="inlineStr">
        <is>
          <t>91.14.02-001</t>
        </is>
      </c>
      <c r="D21" s="217" t="inlineStr">
        <is>
          <t>Автомобили бортовые, грузоподъемность до 5 т</t>
        </is>
      </c>
      <c r="E21" s="392" t="inlineStr">
        <is>
          <t>маш.час</t>
        </is>
      </c>
      <c r="F21" s="392" t="n">
        <v>41.3</v>
      </c>
      <c r="G21" s="219" t="n">
        <v>65.70999999999999</v>
      </c>
      <c r="H21" s="214">
        <f>ROUND(F21*G21,2)</f>
        <v/>
      </c>
    </row>
    <row r="22" ht="25.5" customHeight="1" s="313">
      <c r="A22" s="216">
        <f>A21+1</f>
        <v/>
      </c>
      <c r="B22" s="277" t="n"/>
      <c r="C22" s="216" t="inlineStr">
        <is>
          <t>91.17.04-161</t>
        </is>
      </c>
      <c r="D22" s="217" t="inlineStr">
        <is>
          <t>Полуавтоматы сварочные номинальным сварочным током 40-500 А</t>
        </is>
      </c>
      <c r="E22" s="392" t="inlineStr">
        <is>
          <t>маш.час</t>
        </is>
      </c>
      <c r="F22" s="392" t="n">
        <v>138.6</v>
      </c>
      <c r="G22" s="219" t="n">
        <v>16.44</v>
      </c>
      <c r="H22" s="214">
        <f>ROUND(F22*G22,2)</f>
        <v/>
      </c>
    </row>
    <row r="23" ht="25.5" customHeight="1" s="313">
      <c r="A23" s="216">
        <f>A22+1</f>
        <v/>
      </c>
      <c r="B23" s="277" t="n"/>
      <c r="C23" s="216" t="inlineStr">
        <is>
          <t>91.17.04-233</t>
        </is>
      </c>
      <c r="D23" s="217" t="inlineStr">
        <is>
          <t>Установки для сварки ручной дуговой (постоянного тока)</t>
        </is>
      </c>
      <c r="E23" s="392" t="inlineStr">
        <is>
          <t>маш.час</t>
        </is>
      </c>
      <c r="F23" s="392" t="n">
        <v>126.7</v>
      </c>
      <c r="G23" s="219" t="n">
        <v>8.1</v>
      </c>
      <c r="H23" s="214">
        <f>ROUND(F23*G23,2)</f>
        <v/>
      </c>
    </row>
    <row r="24" ht="15" customHeight="1" s="313">
      <c r="A24" s="368" t="inlineStr">
        <is>
          <t>Оборудование</t>
        </is>
      </c>
      <c r="B24" s="442" t="n"/>
      <c r="C24" s="442" t="n"/>
      <c r="D24" s="442" t="n"/>
      <c r="E24" s="443" t="n"/>
      <c r="F24" s="223" t="n"/>
      <c r="G24" s="223" t="n"/>
      <c r="H24" s="222">
        <f>SUM(H25:H25)</f>
        <v/>
      </c>
    </row>
    <row r="25">
      <c r="A25" s="215">
        <f>A23+1</f>
        <v/>
      </c>
      <c r="B25" s="368" t="n"/>
      <c r="C25" s="216" t="inlineStr">
        <is>
          <t>Прайс из СД ОП</t>
        </is>
      </c>
      <c r="D25" s="371" t="inlineStr">
        <is>
          <t>Ячейка выключателя 220 кВ, шеф-монтаж</t>
        </is>
      </c>
      <c r="E25" s="392" t="inlineStr">
        <is>
          <t>шт.</t>
        </is>
      </c>
      <c r="F25" s="392" t="n">
        <v>7</v>
      </c>
      <c r="G25" s="214" t="n">
        <v>15678968.68</v>
      </c>
      <c r="H25" s="214">
        <f>ROUND(F25*G25,2)</f>
        <v/>
      </c>
      <c r="I25" s="318" t="n"/>
    </row>
    <row r="26" ht="15" customHeight="1" s="313">
      <c r="A26" s="368" t="inlineStr">
        <is>
          <t>Материалы</t>
        </is>
      </c>
      <c r="B26" s="442" t="n"/>
      <c r="C26" s="442" t="n"/>
      <c r="D26" s="442" t="n"/>
      <c r="E26" s="443" t="n"/>
      <c r="F26" s="223" t="n"/>
      <c r="G26" s="223" t="n"/>
      <c r="H26" s="222">
        <f>SUM(H27:H39)</f>
        <v/>
      </c>
    </row>
    <row r="27">
      <c r="A27" s="215" t="n">
        <v>11</v>
      </c>
      <c r="B27" s="277" t="n"/>
      <c r="C27" s="216" t="inlineStr">
        <is>
          <t>01.3.02.02-0001</t>
        </is>
      </c>
      <c r="D27" s="217" t="inlineStr">
        <is>
          <t>Аргон газообразный, сорт I</t>
        </is>
      </c>
      <c r="E27" s="392" t="inlineStr">
        <is>
          <t>м3</t>
        </is>
      </c>
      <c r="F27" s="392" t="n">
        <v>151.9</v>
      </c>
      <c r="G27" s="214" t="n">
        <v>17.86</v>
      </c>
      <c r="H27" s="214">
        <f>ROUND(F27*G27,2)</f>
        <v/>
      </c>
      <c r="I27" s="318" t="n"/>
      <c r="K27" s="318" t="n"/>
    </row>
    <row r="28">
      <c r="A28" s="215">
        <f>A27+1</f>
        <v/>
      </c>
      <c r="B28" s="277" t="n"/>
      <c r="C28" s="216" t="inlineStr">
        <is>
          <t>14.4.02.09-0001</t>
        </is>
      </c>
      <c r="D28" s="217" t="inlineStr">
        <is>
          <t>Краска</t>
        </is>
      </c>
      <c r="E28" s="392" t="inlineStr">
        <is>
          <t>кг</t>
        </is>
      </c>
      <c r="F28" s="392" t="n">
        <v>66.36</v>
      </c>
      <c r="G28" s="214" t="n">
        <v>28.6</v>
      </c>
      <c r="H28" s="214">
        <f>ROUND(F28*G28,2)</f>
        <v/>
      </c>
      <c r="I28" s="318" t="n"/>
      <c r="K28" s="318" t="n"/>
    </row>
    <row r="29">
      <c r="A29" s="215">
        <f>A28+1</f>
        <v/>
      </c>
      <c r="B29" s="277" t="n"/>
      <c r="C29" s="216" t="inlineStr">
        <is>
          <t>20.2.08.05-0015</t>
        </is>
      </c>
      <c r="D29" s="217" t="inlineStr">
        <is>
          <t>Профиль монтажный</t>
        </is>
      </c>
      <c r="E29" s="392" t="inlineStr">
        <is>
          <t>м</t>
        </is>
      </c>
      <c r="F29" s="392" t="n">
        <v>42</v>
      </c>
      <c r="G29" s="214" t="n">
        <v>38.42</v>
      </c>
      <c r="H29" s="214">
        <f>ROUND(F29*G29,2)</f>
        <v/>
      </c>
      <c r="I29" s="318" t="n"/>
      <c r="K29" s="318" t="n"/>
    </row>
    <row r="30">
      <c r="A30" s="215">
        <f>A29+1</f>
        <v/>
      </c>
      <c r="B30" s="277" t="n"/>
      <c r="C30" s="216" t="inlineStr">
        <is>
          <t>01.7.17.11-0001</t>
        </is>
      </c>
      <c r="D30" s="217" t="inlineStr">
        <is>
          <t>Бумага шлифовальная</t>
        </is>
      </c>
      <c r="E30" s="392" t="inlineStr">
        <is>
          <t>кг</t>
        </is>
      </c>
      <c r="F30" s="392" t="n">
        <v>17.92</v>
      </c>
      <c r="G30" s="214" t="n">
        <v>50</v>
      </c>
      <c r="H30" s="214">
        <f>ROUND(F30*G30,2)</f>
        <v/>
      </c>
      <c r="I30" s="318" t="n"/>
      <c r="K30" s="318" t="n"/>
    </row>
    <row r="31">
      <c r="A31" s="215">
        <f>A30+1</f>
        <v/>
      </c>
      <c r="B31" s="277" t="n"/>
      <c r="C31" s="216" t="inlineStr">
        <is>
          <t>01.7.11.07-0034</t>
        </is>
      </c>
      <c r="D31" s="217" t="inlineStr">
        <is>
          <t>Электроды сварочные Э42А, диаметр 4 мм</t>
        </is>
      </c>
      <c r="E31" s="392" t="inlineStr">
        <is>
          <t>кг</t>
        </is>
      </c>
      <c r="F31" s="392" t="n">
        <v>56.28</v>
      </c>
      <c r="G31" s="214" t="n">
        <v>10.57</v>
      </c>
      <c r="H31" s="214">
        <f>ROUND(F31*G31,2)</f>
        <v/>
      </c>
      <c r="I31" s="318" t="n"/>
      <c r="K31" s="318" t="n"/>
    </row>
    <row r="32" ht="25.5" customHeight="1" s="313">
      <c r="A32" s="215">
        <f>A31+1</f>
        <v/>
      </c>
      <c r="B32" s="277" t="n"/>
      <c r="C32" s="216" t="inlineStr">
        <is>
          <t>999-9950</t>
        </is>
      </c>
      <c r="D32" s="217" t="inlineStr">
        <is>
          <t>Вспомогательные ненормируемые ресурсы (2% от Оплаты труда рабочих)</t>
        </is>
      </c>
      <c r="E32" s="392" t="inlineStr">
        <is>
          <t>руб</t>
        </is>
      </c>
      <c r="F32" s="392" t="n">
        <v>420.05</v>
      </c>
      <c r="G32" s="214" t="n">
        <v>1</v>
      </c>
      <c r="H32" s="214">
        <f>ROUND(F32*G32,2)</f>
        <v/>
      </c>
      <c r="I32" s="318" t="n"/>
      <c r="K32" s="318" t="n"/>
    </row>
    <row r="33">
      <c r="A33" s="215">
        <f>A32+1</f>
        <v/>
      </c>
      <c r="B33" s="277" t="n"/>
      <c r="C33" s="216" t="inlineStr">
        <is>
          <t>01.3.01.01-0001</t>
        </is>
      </c>
      <c r="D33" s="217" t="inlineStr">
        <is>
          <t>Бензин авиационный Б-70</t>
        </is>
      </c>
      <c r="E33" s="392" t="inlineStr">
        <is>
          <t>т</t>
        </is>
      </c>
      <c r="F33" s="392" t="n">
        <v>0.063</v>
      </c>
      <c r="G33" s="214" t="n">
        <v>4488.4</v>
      </c>
      <c r="H33" s="214">
        <f>ROUND(F33*G33,2)</f>
        <v/>
      </c>
      <c r="K33" s="318" t="n"/>
    </row>
    <row r="34">
      <c r="A34" s="215">
        <f>A33+1</f>
        <v/>
      </c>
      <c r="B34" s="277" t="n"/>
      <c r="C34" s="216" t="inlineStr">
        <is>
          <t>01.7.20.08-0102</t>
        </is>
      </c>
      <c r="D34" s="217" t="inlineStr">
        <is>
          <t>Миткаль суровый</t>
        </is>
      </c>
      <c r="E34" s="392" t="inlineStr">
        <is>
          <t>10 м</t>
        </is>
      </c>
      <c r="F34" s="392" t="n">
        <v>2.597</v>
      </c>
      <c r="G34" s="214" t="n">
        <v>73.65000000000001</v>
      </c>
      <c r="H34" s="214">
        <f>ROUND(F34*G34,2)</f>
        <v/>
      </c>
      <c r="K34" s="318" t="n"/>
    </row>
    <row r="35">
      <c r="A35" s="215">
        <f>A34+1</f>
        <v/>
      </c>
      <c r="B35" s="277" t="n"/>
      <c r="C35" s="216" t="inlineStr">
        <is>
          <t>07.2.07.13-0171</t>
        </is>
      </c>
      <c r="D35" s="217" t="inlineStr">
        <is>
          <t>Подкладки металлические</t>
        </is>
      </c>
      <c r="E35" s="392" t="inlineStr">
        <is>
          <t>кг</t>
        </is>
      </c>
      <c r="F35" s="392" t="n">
        <v>14</v>
      </c>
      <c r="G35" s="214" t="n">
        <v>12.6</v>
      </c>
      <c r="H35" s="214">
        <f>ROUND(F35*G35,2)</f>
        <v/>
      </c>
      <c r="K35" s="318" t="n"/>
    </row>
    <row r="36" ht="25.5" customHeight="1" s="313">
      <c r="A36" s="215">
        <f>A35+1</f>
        <v/>
      </c>
      <c r="B36" s="277" t="n"/>
      <c r="C36" s="216" t="inlineStr">
        <is>
          <t>11.1.03.05-0089</t>
        </is>
      </c>
      <c r="D36" s="217" t="inlineStr">
        <is>
          <t>Доска необрезная, хвойных пород, длина 4-6,5 м, ширина 75-150 мм, толщина 16 мм, сорт III</t>
        </is>
      </c>
      <c r="E36" s="392" t="inlineStr">
        <is>
          <t>м3</t>
        </is>
      </c>
      <c r="F36" s="392" t="n">
        <v>0.112</v>
      </c>
      <c r="G36" s="214" t="n">
        <v>1250</v>
      </c>
      <c r="H36" s="214">
        <f>ROUND(F36*G36,2)</f>
        <v/>
      </c>
      <c r="K36" s="318" t="n"/>
    </row>
    <row r="37" ht="38.25" customHeight="1" s="313">
      <c r="A37" s="215">
        <f>A36+1</f>
        <v/>
      </c>
      <c r="B37" s="277" t="n"/>
      <c r="C37" s="216" t="inlineStr">
        <is>
          <t>01.3.01.06-0023</t>
        </is>
      </c>
      <c r="D37" s="217" t="inlineStr">
        <is>
          <t>Смазка антифрикционная пластичная для узлов трения, работающих при переменных ударных нагрузках, диапазон температур от-60 °C до +80 °C</t>
        </is>
      </c>
      <c r="E37" s="392" t="inlineStr">
        <is>
          <t>т</t>
        </is>
      </c>
      <c r="F37" s="392" t="n">
        <v>0.0035</v>
      </c>
      <c r="G37" s="214" t="n">
        <v>20600</v>
      </c>
      <c r="H37" s="214">
        <f>ROUND(F37*G37,2)</f>
        <v/>
      </c>
      <c r="K37" s="318" t="n"/>
    </row>
    <row r="38">
      <c r="A38" s="215">
        <f>A37+1</f>
        <v/>
      </c>
      <c r="B38" s="277" t="n"/>
      <c r="C38" s="216" t="inlineStr">
        <is>
          <t>08.3.03.03-0002</t>
        </is>
      </c>
      <c r="D38" s="217" t="inlineStr">
        <is>
          <t>Проволока из легированной стали</t>
        </is>
      </c>
      <c r="E38" s="392" t="inlineStr">
        <is>
          <t>т</t>
        </is>
      </c>
      <c r="F38" s="392" t="n">
        <v>0.00364</v>
      </c>
      <c r="G38" s="214" t="n">
        <v>14200</v>
      </c>
      <c r="H38" s="214">
        <f>ROUND(F38*G38,2)</f>
        <v/>
      </c>
      <c r="K38" s="318" t="n"/>
    </row>
    <row r="39" ht="25.5" customHeight="1" s="313">
      <c r="A39" s="215">
        <f>A38+1</f>
        <v/>
      </c>
      <c r="B39" s="277" t="n"/>
      <c r="C39" s="216" t="inlineStr">
        <is>
          <t>01.7.15.06-0121</t>
        </is>
      </c>
      <c r="D39" s="217" t="inlineStr">
        <is>
          <t>Гвозди строительные с плоской головкой, размер 1,6х50 мм</t>
        </is>
      </c>
      <c r="E39" s="392" t="inlineStr">
        <is>
          <t>т</t>
        </is>
      </c>
      <c r="F39" s="392" t="n">
        <v>0.00217</v>
      </c>
      <c r="G39" s="214" t="n">
        <v>8475</v>
      </c>
      <c r="H39" s="214">
        <f>ROUND(F39*G39,2)</f>
        <v/>
      </c>
      <c r="K39" s="318" t="n"/>
    </row>
    <row r="40">
      <c r="K40" s="312" t="n"/>
    </row>
    <row r="41" ht="25.5" customHeight="1" s="313">
      <c r="B41" s="314" t="n"/>
      <c r="C41" s="367" t="n"/>
    </row>
    <row r="45">
      <c r="B45" s="235" t="inlineStr">
        <is>
          <t>Составил ______________________     Е. М. Добровольская</t>
        </is>
      </c>
      <c r="C45" s="258" t="n"/>
    </row>
    <row r="46">
      <c r="B46" s="275" t="inlineStr">
        <is>
          <t xml:space="preserve">                         (подпись, инициалы, фамилия)</t>
        </is>
      </c>
      <c r="C46" s="258" t="n"/>
    </row>
    <row r="47">
      <c r="B47" s="235" t="n"/>
      <c r="C47" s="258" t="n"/>
    </row>
    <row r="48">
      <c r="B48" s="235" t="inlineStr">
        <is>
          <t>Проверил ______________________        А.В. Костянецкая</t>
        </is>
      </c>
      <c r="C48" s="258" t="n"/>
    </row>
    <row r="49">
      <c r="B49" s="275" t="inlineStr">
        <is>
          <t xml:space="preserve">                        (подпись, инициалы, фамилия)</t>
        </is>
      </c>
      <c r="C49" s="258" t="n"/>
    </row>
  </sheetData>
  <mergeCells count="18">
    <mergeCell ref="C9:C10"/>
    <mergeCell ref="C6:H6"/>
    <mergeCell ref="A12:E12"/>
    <mergeCell ref="C41:H41"/>
    <mergeCell ref="A3:H3"/>
    <mergeCell ref="A26:E26"/>
    <mergeCell ref="A24:E24"/>
    <mergeCell ref="A16:E16"/>
    <mergeCell ref="E9:E10"/>
    <mergeCell ref="F9:F10"/>
    <mergeCell ref="A9:A10"/>
    <mergeCell ref="A2:H2"/>
    <mergeCell ref="B9:B10"/>
    <mergeCell ref="D9:D10"/>
    <mergeCell ref="G9:H9"/>
    <mergeCell ref="A14:E14"/>
    <mergeCell ref="A7:C7"/>
    <mergeCell ref="D7:H7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ColWidth="9.140625" defaultRowHeight="15"/>
  <cols>
    <col width="4.140625" customWidth="1" style="313" min="1" max="1"/>
    <col width="36.28515625" customWidth="1" style="313" min="2" max="2"/>
    <col width="18.85546875" customWidth="1" style="313" min="3" max="3"/>
    <col width="18.28515625" customWidth="1" style="313" min="4" max="4"/>
    <col width="18.85546875" customWidth="1" style="313" min="5" max="5"/>
    <col width="9.140625" customWidth="1" style="313" min="6" max="6"/>
    <col width="12.85546875" customWidth="1" style="313" min="7" max="7"/>
    <col width="9.140625" customWidth="1" style="313" min="8" max="11"/>
    <col width="13.5703125" customWidth="1" style="313" min="12" max="12"/>
    <col width="9.140625" customWidth="1" style="313" min="13" max="13"/>
  </cols>
  <sheetData>
    <row r="1">
      <c r="B1" s="235" t="n"/>
      <c r="C1" s="235" t="n"/>
      <c r="D1" s="235" t="n"/>
      <c r="E1" s="235" t="n"/>
    </row>
    <row r="2">
      <c r="B2" s="235" t="n"/>
      <c r="C2" s="235" t="n"/>
      <c r="D2" s="235" t="n"/>
      <c r="E2" s="391" t="inlineStr">
        <is>
          <t>Приложение № 4</t>
        </is>
      </c>
    </row>
    <row r="3">
      <c r="B3" s="235" t="n"/>
      <c r="C3" s="235" t="n"/>
      <c r="D3" s="235" t="n"/>
      <c r="E3" s="235" t="n"/>
    </row>
    <row r="4">
      <c r="B4" s="235" t="n"/>
      <c r="C4" s="235" t="n"/>
      <c r="D4" s="235" t="n"/>
      <c r="E4" s="235" t="n"/>
    </row>
    <row r="5">
      <c r="B5" s="347" t="inlineStr">
        <is>
          <t>Ресурсная модель</t>
        </is>
      </c>
    </row>
    <row r="6">
      <c r="B6" s="347" t="n"/>
    </row>
    <row r="7" ht="45.75" customHeight="1" s="313">
      <c r="B7" s="370" t="inlineStr">
        <is>
          <t xml:space="preserve">Наименование разрабатываемого показателя УНЦ - </t>
        </is>
      </c>
      <c r="D7" s="370">
        <f>'Прил.1 Сравнит табл'!D6</f>
        <v/>
      </c>
    </row>
    <row r="8">
      <c r="B8" s="369">
        <f>'Прил.1 Сравнит табл'!B8</f>
        <v/>
      </c>
    </row>
    <row r="9">
      <c r="B9" s="174" t="n"/>
      <c r="C9" s="235" t="n"/>
      <c r="D9" s="235" t="n"/>
      <c r="E9" s="235" t="n"/>
    </row>
    <row r="10" ht="52.9" customHeight="1" s="313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26" t="inlineStr">
        <is>
          <t>Оплата труда рабочих</t>
        </is>
      </c>
      <c r="C11" s="345">
        <f>'Прил.5 Расчет СМР и ОБ'!J14</f>
        <v/>
      </c>
      <c r="D11" s="228">
        <f>C11/$C$24</f>
        <v/>
      </c>
      <c r="E11" s="228">
        <f>C11/$C$40</f>
        <v/>
      </c>
    </row>
    <row r="12">
      <c r="B12" s="226" t="inlineStr">
        <is>
          <t>Эксплуатация машин основных</t>
        </is>
      </c>
      <c r="C12" s="345">
        <f>'Прил.5 Расчет СМР и ОБ'!J23</f>
        <v/>
      </c>
      <c r="D12" s="228">
        <f>C12/$C$24</f>
        <v/>
      </c>
      <c r="E12" s="228">
        <f>C12/$C$40</f>
        <v/>
      </c>
    </row>
    <row r="13">
      <c r="B13" s="226" t="inlineStr">
        <is>
          <t>Эксплуатация машин прочих</t>
        </is>
      </c>
      <c r="C13" s="345">
        <f>'Прил.5 Расчет СМР и ОБ'!J27</f>
        <v/>
      </c>
      <c r="D13" s="228">
        <f>C13/$C$24</f>
        <v/>
      </c>
      <c r="E13" s="228">
        <f>C13/$C$40</f>
        <v/>
      </c>
    </row>
    <row r="14">
      <c r="B14" s="226" t="inlineStr">
        <is>
          <t>ЭКСПЛУАТАЦИЯ МАШИН, ВСЕГО:</t>
        </is>
      </c>
      <c r="C14" s="345">
        <f>C13+C12</f>
        <v/>
      </c>
      <c r="D14" s="228">
        <f>C14/$C$24</f>
        <v/>
      </c>
      <c r="E14" s="228">
        <f>C14/$C$40</f>
        <v/>
      </c>
    </row>
    <row r="15">
      <c r="B15" s="226" t="inlineStr">
        <is>
          <t>в том числе зарплата машинистов</t>
        </is>
      </c>
      <c r="C15" s="345">
        <f>'Прил.5 Расчет СМР и ОБ'!J16</f>
        <v/>
      </c>
      <c r="D15" s="228">
        <f>C15/$C$24</f>
        <v/>
      </c>
      <c r="E15" s="228">
        <f>C15/$C$40</f>
        <v/>
      </c>
    </row>
    <row r="16">
      <c r="B16" s="226" t="inlineStr">
        <is>
          <t>Материалы основные</t>
        </is>
      </c>
      <c r="C16" s="345">
        <f>'Прил.5 Расчет СМР и ОБ'!J43</f>
        <v/>
      </c>
      <c r="D16" s="228">
        <f>C16/$C$24</f>
        <v/>
      </c>
      <c r="E16" s="228">
        <f>C16/$C$40</f>
        <v/>
      </c>
    </row>
    <row r="17">
      <c r="B17" s="226" t="inlineStr">
        <is>
          <t>Материалы прочие</t>
        </is>
      </c>
      <c r="C17" s="345">
        <f>'Прил.5 Расчет СМР и ОБ'!J52</f>
        <v/>
      </c>
      <c r="D17" s="228">
        <f>C17/$C$24</f>
        <v/>
      </c>
      <c r="E17" s="228">
        <f>C17/$C$40</f>
        <v/>
      </c>
      <c r="G17" s="175" t="n"/>
    </row>
    <row r="18">
      <c r="B18" s="226" t="inlineStr">
        <is>
          <t>МАТЕРИАЛЫ, ВСЕГО:</t>
        </is>
      </c>
      <c r="C18" s="345">
        <f>C17+C16</f>
        <v/>
      </c>
      <c r="D18" s="228">
        <f>C18/$C$24</f>
        <v/>
      </c>
      <c r="E18" s="228">
        <f>C18/$C$40</f>
        <v/>
      </c>
    </row>
    <row r="19">
      <c r="B19" s="226" t="inlineStr">
        <is>
          <t>ИТОГО</t>
        </is>
      </c>
      <c r="C19" s="345">
        <f>C18+C14+C11</f>
        <v/>
      </c>
      <c r="D19" s="228" t="n"/>
      <c r="E19" s="226" t="n"/>
    </row>
    <row r="20">
      <c r="B20" s="226" t="inlineStr">
        <is>
          <t>Сметная прибыль, руб.</t>
        </is>
      </c>
      <c r="C20" s="345">
        <f>ROUND(C21*(C11+C15),2)</f>
        <v/>
      </c>
      <c r="D20" s="228">
        <f>C20/$C$24</f>
        <v/>
      </c>
      <c r="E20" s="228">
        <f>C20/$C$40</f>
        <v/>
      </c>
    </row>
    <row r="21">
      <c r="B21" s="226" t="inlineStr">
        <is>
          <t>Сметная прибыль, %</t>
        </is>
      </c>
      <c r="C21" s="231">
        <f>'Прил.5 Расчет СМР и ОБ'!E56</f>
        <v/>
      </c>
      <c r="D21" s="228" t="n"/>
      <c r="E21" s="226" t="n"/>
    </row>
    <row r="22">
      <c r="B22" s="226" t="inlineStr">
        <is>
          <t>Накладные расходы, руб.</t>
        </is>
      </c>
      <c r="C22" s="345">
        <f>ROUND(C23*(C11+C15),2)</f>
        <v/>
      </c>
      <c r="D22" s="228">
        <f>C22/$C$24</f>
        <v/>
      </c>
      <c r="E22" s="228">
        <f>C22/$C$40</f>
        <v/>
      </c>
    </row>
    <row r="23">
      <c r="B23" s="226" t="inlineStr">
        <is>
          <t>Накладные расходы, %</t>
        </is>
      </c>
      <c r="C23" s="231">
        <f>'Прил.5 Расчет СМР и ОБ'!E55</f>
        <v/>
      </c>
      <c r="D23" s="228" t="n"/>
      <c r="E23" s="226" t="n"/>
    </row>
    <row r="24">
      <c r="B24" s="226" t="inlineStr">
        <is>
          <t>ВСЕГО СМР с НР и СП</t>
        </is>
      </c>
      <c r="C24" s="345">
        <f>C19+C20+C22</f>
        <v/>
      </c>
      <c r="D24" s="228">
        <f>C24/$C$24</f>
        <v/>
      </c>
      <c r="E24" s="228">
        <f>C24/$C$40</f>
        <v/>
      </c>
    </row>
    <row r="25" ht="26.45" customHeight="1" s="313">
      <c r="B25" s="226" t="inlineStr">
        <is>
          <t>ВСЕГО стоимость оборудования, в том числе</t>
        </is>
      </c>
      <c r="C25" s="345">
        <f>'Прил.5 Расчет СМР и ОБ'!J35</f>
        <v/>
      </c>
      <c r="D25" s="228" t="n"/>
      <c r="E25" s="228">
        <f>C25/$C$40</f>
        <v/>
      </c>
    </row>
    <row r="26" ht="26.45" customHeight="1" s="313">
      <c r="B26" s="226" t="inlineStr">
        <is>
          <t>стоимость оборудования технологического</t>
        </is>
      </c>
      <c r="C26" s="345">
        <f>C25</f>
        <v/>
      </c>
      <c r="D26" s="228" t="n"/>
      <c r="E26" s="228">
        <f>C26/$C$40</f>
        <v/>
      </c>
    </row>
    <row r="27">
      <c r="B27" s="226" t="inlineStr">
        <is>
          <t>ИТОГО (СМР + ОБОРУДОВАНИЕ)</t>
        </is>
      </c>
      <c r="C27" s="227">
        <f>C24+C25</f>
        <v/>
      </c>
      <c r="D27" s="228" t="n"/>
      <c r="E27" s="228">
        <f>C27/$C$40</f>
        <v/>
      </c>
    </row>
    <row r="28" ht="33" customHeight="1" s="313">
      <c r="B28" s="226" t="inlineStr">
        <is>
          <t>ПРОЧ. ЗАТР., УЧТЕННЫЕ ПОКАЗАТЕЛЕМ,  в том числе</t>
        </is>
      </c>
      <c r="C28" s="226" t="n"/>
      <c r="D28" s="226" t="n"/>
      <c r="E28" s="226" t="n"/>
    </row>
    <row r="29" ht="25.5" customHeight="1" s="313">
      <c r="B29" s="226" t="inlineStr">
        <is>
          <t>Временные здания и сооружения - 3,9%</t>
        </is>
      </c>
      <c r="C29" s="227">
        <f>ROUND(C24*3.9%,2)</f>
        <v/>
      </c>
      <c r="D29" s="226" t="n"/>
      <c r="E29" s="228">
        <f>C29/$C$40</f>
        <v/>
      </c>
    </row>
    <row r="30" ht="39.6" customHeight="1" s="313">
      <c r="B30" s="226" t="inlineStr">
        <is>
          <t>Дополнительные затраты при производстве строительно-монтажных работ в зимнее время - 2,1%</t>
        </is>
      </c>
      <c r="C30" s="227">
        <f>ROUND((C24+C29)*2.1%,2)</f>
        <v/>
      </c>
      <c r="D30" s="226" t="n"/>
      <c r="E30" s="228">
        <f>C30/$C$40</f>
        <v/>
      </c>
    </row>
    <row r="31">
      <c r="B31" s="226" t="inlineStr">
        <is>
          <t>Пусконаладочные работы</t>
        </is>
      </c>
      <c r="C31" s="227" t="n">
        <v>4921756.28</v>
      </c>
      <c r="D31" s="226" t="n"/>
      <c r="E31" s="228">
        <f>C31/$C$40</f>
        <v/>
      </c>
    </row>
    <row r="32" ht="26.45" customHeight="1" s="313">
      <c r="B32" s="226" t="inlineStr">
        <is>
          <t>Затраты по перевозке работников к месту работы и обратно</t>
        </is>
      </c>
      <c r="C32" s="227" t="n">
        <v>0</v>
      </c>
      <c r="D32" s="226" t="n"/>
      <c r="E32" s="228">
        <f>C32/$C$40</f>
        <v/>
      </c>
    </row>
    <row r="33" ht="26.45" customHeight="1" s="313">
      <c r="B33" s="226" t="inlineStr">
        <is>
          <t>Затраты, связанные с осуществлением работ вахтовым методом</t>
        </is>
      </c>
      <c r="C33" s="227" t="n">
        <v>0</v>
      </c>
      <c r="D33" s="226" t="n"/>
      <c r="E33" s="228">
        <f>C33/$C$40</f>
        <v/>
      </c>
    </row>
    <row r="34" ht="52.9" customHeight="1" s="313">
      <c r="B34" s="22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7" t="n">
        <v>0</v>
      </c>
      <c r="D34" s="226" t="n"/>
      <c r="E34" s="228">
        <f>C34/$C$40</f>
        <v/>
      </c>
    </row>
    <row r="35" ht="79.15000000000001" customHeight="1" s="313">
      <c r="B35" s="22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7" t="n">
        <v>0</v>
      </c>
      <c r="D35" s="226" t="n"/>
      <c r="E35" s="228">
        <f>C35/$C$40</f>
        <v/>
      </c>
    </row>
    <row r="36" ht="26.45" customHeight="1" s="313">
      <c r="B36" s="226" t="inlineStr">
        <is>
          <t>Строительный контроль и содержание службы заказчика - 2,14%</t>
        </is>
      </c>
      <c r="C36" s="227">
        <f>ROUND((C27+C29+C31+C30+C32+C33+C34+C35)*2.14%,2)</f>
        <v/>
      </c>
      <c r="D36" s="226" t="n"/>
      <c r="E36" s="228">
        <f>C36/$C$40</f>
        <v/>
      </c>
      <c r="G36" s="278" t="n"/>
      <c r="L36" s="176" t="n"/>
    </row>
    <row r="37">
      <c r="B37" s="226" t="inlineStr">
        <is>
          <t>Авторский надзор - 0,2%</t>
        </is>
      </c>
      <c r="C37" s="227">
        <f>ROUND((C27+C29+C30+C31+C32+C33+C34+C35)*0.2%,2)</f>
        <v/>
      </c>
      <c r="D37" s="226" t="n"/>
      <c r="E37" s="228">
        <f>C37/$C$40</f>
        <v/>
      </c>
      <c r="G37" s="278" t="n"/>
      <c r="L37" s="176" t="n"/>
    </row>
    <row r="38" ht="26.45" customHeight="1" s="313">
      <c r="B38" s="226" t="inlineStr">
        <is>
          <t>ИТОГО (СМР+ОБОРУДОВАНИЕ+ПРОЧ. ЗАТР., УЧТЕННЫЕ ПОКАЗАТЕЛЕМ)</t>
        </is>
      </c>
      <c r="C38" s="345">
        <f>C36+C30+C27+C29+C31+C37+C32+C33+C34+C35</f>
        <v/>
      </c>
      <c r="D38" s="226" t="n"/>
      <c r="E38" s="228">
        <f>C38/$C$40</f>
        <v/>
      </c>
    </row>
    <row r="39" ht="13.5" customHeight="1" s="313">
      <c r="B39" s="226" t="inlineStr">
        <is>
          <t>Непредвиденные расходы</t>
        </is>
      </c>
      <c r="C39" s="345">
        <f>ROUND(C38*3%,2)</f>
        <v/>
      </c>
      <c r="D39" s="226" t="n"/>
      <c r="E39" s="228">
        <f>C39/$C$38</f>
        <v/>
      </c>
    </row>
    <row r="40">
      <c r="B40" s="226" t="inlineStr">
        <is>
          <t>ВСЕГО:</t>
        </is>
      </c>
      <c r="C40" s="345">
        <f>C39+C38</f>
        <v/>
      </c>
      <c r="D40" s="226" t="n"/>
      <c r="E40" s="228">
        <f>C40/$C$40</f>
        <v/>
      </c>
    </row>
    <row r="41">
      <c r="B41" s="226" t="inlineStr">
        <is>
          <t>ИТОГО ПОКАЗАТЕЛЬ НА ЕД. ИЗМ.</t>
        </is>
      </c>
      <c r="C41" s="345">
        <f>C40/'Прил.5 Расчет СМР и ОБ'!E59</f>
        <v/>
      </c>
      <c r="D41" s="226" t="n"/>
      <c r="E41" s="226" t="n"/>
    </row>
    <row r="42">
      <c r="B42" s="177" t="n"/>
      <c r="C42" s="235" t="n"/>
      <c r="D42" s="235" t="n"/>
      <c r="E42" s="235" t="n"/>
    </row>
    <row r="43">
      <c r="B43" s="177" t="inlineStr">
        <is>
          <t>Составил ____________________________  Е. М. Добровольская</t>
        </is>
      </c>
      <c r="C43" s="235" t="n"/>
      <c r="D43" s="235" t="n"/>
      <c r="E43" s="235" t="n"/>
    </row>
    <row r="44">
      <c r="B44" s="177" t="inlineStr">
        <is>
          <t xml:space="preserve">(должность, подпись, инициалы, фамилия) </t>
        </is>
      </c>
      <c r="C44" s="235" t="n"/>
      <c r="D44" s="235" t="n"/>
      <c r="E44" s="235" t="n"/>
    </row>
    <row r="45">
      <c r="B45" s="177" t="n"/>
      <c r="C45" s="235" t="n"/>
      <c r="D45" s="235" t="n"/>
      <c r="E45" s="235" t="n"/>
    </row>
    <row r="46">
      <c r="B46" s="177" t="inlineStr">
        <is>
          <t>Проверил ____________________________ А.В. Костянецкая</t>
        </is>
      </c>
      <c r="C46" s="235" t="n"/>
      <c r="D46" s="235" t="n"/>
      <c r="E46" s="235" t="n"/>
    </row>
    <row r="47">
      <c r="B47" s="369" t="inlineStr">
        <is>
          <t>(должность, подпись, инициалы, фамилия)</t>
        </is>
      </c>
      <c r="D47" s="235" t="n"/>
      <c r="E47" s="235" t="n"/>
    </row>
    <row r="49">
      <c r="B49" s="235" t="n"/>
      <c r="C49" s="235" t="n"/>
      <c r="D49" s="235" t="n"/>
      <c r="E49" s="235" t="n"/>
    </row>
    <row r="50">
      <c r="B50" s="235" t="n"/>
      <c r="C50" s="235" t="n"/>
      <c r="D50" s="235" t="n"/>
      <c r="E50" s="235" t="n"/>
    </row>
  </sheetData>
  <mergeCells count="6">
    <mergeCell ref="B47:C47"/>
    <mergeCell ref="B8:E8"/>
    <mergeCell ref="D7:E7"/>
    <mergeCell ref="B7:C7"/>
    <mergeCell ref="B6:E6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68"/>
  <sheetViews>
    <sheetView view="pageBreakPreview" topLeftCell="A20" workbookViewId="0">
      <selection activeCell="B67" sqref="B67"/>
    </sheetView>
  </sheetViews>
  <sheetFormatPr baseColWidth="8" defaultColWidth="9.140625" defaultRowHeight="15" outlineLevelRow="1"/>
  <cols>
    <col width="5.7109375" customWidth="1" style="258" min="1" max="1"/>
    <col width="22.5703125" customWidth="1" style="258" min="2" max="2"/>
    <col width="39.140625" customWidth="1" style="258" min="3" max="3"/>
    <col width="10.7109375" customWidth="1" style="258" min="4" max="4"/>
    <col width="12.7109375" customWidth="1" style="258" min="5" max="5"/>
    <col width="14.5703125" customWidth="1" style="258" min="6" max="6"/>
    <col width="15.42578125" customWidth="1" style="258" min="7" max="7"/>
    <col width="12.7109375" customWidth="1" style="258" min="8" max="8"/>
    <col width="14.5703125" customWidth="1" style="258" min="9" max="9"/>
    <col width="16.140625" customWidth="1" style="258" min="10" max="10"/>
    <col width="22.42578125" customWidth="1" style="258" min="11" max="11"/>
    <col width="20.28515625" customWidth="1" style="258" min="12" max="12"/>
    <col width="10.85546875" customWidth="1" style="258" min="13" max="13"/>
    <col width="9.140625" customWidth="1" style="258" min="14" max="14"/>
    <col width="9.140625" customWidth="1" style="313" min="15" max="15"/>
  </cols>
  <sheetData>
    <row r="2" ht="15.6" customHeight="1" s="313">
      <c r="I2" s="303" t="n"/>
      <c r="J2" s="283" t="inlineStr">
        <is>
          <t>Приложение №5</t>
        </is>
      </c>
    </row>
    <row r="4" ht="13.15" customFormat="1" customHeight="1" s="235">
      <c r="A4" s="347" t="inlineStr">
        <is>
          <t>Расчет стоимости СМР и оборудования</t>
        </is>
      </c>
      <c r="I4" s="347" t="n"/>
      <c r="J4" s="347" t="n"/>
    </row>
    <row r="5" ht="13.15" customFormat="1" customHeight="1" s="235">
      <c r="A5" s="347" t="n"/>
      <c r="B5" s="347" t="n"/>
      <c r="C5" s="347" t="n"/>
      <c r="D5" s="347" t="n"/>
      <c r="E5" s="347" t="n"/>
      <c r="F5" s="347" t="n"/>
      <c r="G5" s="347" t="n"/>
      <c r="H5" s="347" t="n"/>
      <c r="I5" s="347" t="n"/>
      <c r="J5" s="347" t="n"/>
    </row>
    <row r="6" ht="26.25" customFormat="1" customHeight="1" s="235">
      <c r="A6" s="350" t="inlineStr">
        <is>
          <t xml:space="preserve">Наименование разрабатываемого показателя УНЦ </t>
        </is>
      </c>
      <c r="D6" s="350" t="inlineStr">
        <is>
          <t>Ячейка выключателя ВУ 220 кВ без учета здания ЗРУ номинальный ток 2500 кА номинальный ток отключения 50 кА</t>
        </is>
      </c>
    </row>
    <row r="7" ht="25.5" customFormat="1" customHeight="1" s="235">
      <c r="A7" s="350">
        <f>'Прил.1 Сравнит табл'!B8</f>
        <v/>
      </c>
      <c r="I7" s="370" t="n"/>
      <c r="J7" s="370" t="n"/>
    </row>
    <row r="8" ht="13.15" customFormat="1" customHeight="1" s="235"/>
    <row r="9" ht="27" customHeight="1" s="313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43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43" t="n"/>
    </row>
    <row r="10" ht="28.5" customHeight="1" s="313">
      <c r="A10" s="445" t="n"/>
      <c r="B10" s="445" t="n"/>
      <c r="C10" s="445" t="n"/>
      <c r="D10" s="445" t="n"/>
      <c r="E10" s="445" t="n"/>
      <c r="F10" s="372" t="inlineStr">
        <is>
          <t>на ед. изм.</t>
        </is>
      </c>
      <c r="G10" s="372" t="inlineStr">
        <is>
          <t>общая</t>
        </is>
      </c>
      <c r="H10" s="445" t="n"/>
      <c r="I10" s="372" t="inlineStr">
        <is>
          <t>на ед. изм.</t>
        </is>
      </c>
      <c r="J10" s="372" t="inlineStr">
        <is>
          <t>общая</t>
        </is>
      </c>
    </row>
    <row r="11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72" t="n">
        <v>9</v>
      </c>
      <c r="J11" s="372" t="n">
        <v>10</v>
      </c>
    </row>
    <row r="12">
      <c r="A12" s="372" t="n"/>
      <c r="B12" s="368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237" t="n"/>
      <c r="J12" s="237" t="n"/>
    </row>
    <row r="13" ht="30" customHeight="1" s="313">
      <c r="A13" s="372" t="n">
        <v>1</v>
      </c>
      <c r="B13" s="326" t="inlineStr">
        <is>
          <t>1-4-0</t>
        </is>
      </c>
      <c r="C13" s="371" t="inlineStr">
        <is>
          <t>Затраты труда рабочих-строителей среднего разряда (4,0)</t>
        </is>
      </c>
      <c r="D13" s="372" t="inlineStr">
        <is>
          <t>чел.-ч.</t>
        </is>
      </c>
      <c r="E13" s="244">
        <f>Прил.3!F12</f>
        <v/>
      </c>
      <c r="F13" s="239" t="n">
        <v>9.619999999999999</v>
      </c>
      <c r="G13" s="239">
        <f>ROUND(E13*F13,2)</f>
        <v/>
      </c>
      <c r="H13" s="375">
        <f>G13/G14</f>
        <v/>
      </c>
      <c r="I13" s="239">
        <f>ФОТр.тек.!E13</f>
        <v/>
      </c>
      <c r="J13" s="239">
        <f>ROUND(I13*E13,2)</f>
        <v/>
      </c>
    </row>
    <row r="14" ht="26.45" customFormat="1" customHeight="1" s="258">
      <c r="A14" s="372" t="n"/>
      <c r="B14" s="372" t="n"/>
      <c r="C14" s="368" t="inlineStr">
        <is>
          <t>Итого по разделу "Затраты труда рабочих-строителей"</t>
        </is>
      </c>
      <c r="D14" s="372" t="inlineStr">
        <is>
          <t>чел.-ч.</t>
        </is>
      </c>
      <c r="E14" s="244">
        <f>SUM(E13:E13)</f>
        <v/>
      </c>
      <c r="F14" s="239" t="n"/>
      <c r="G14" s="239">
        <f>SUM(G13:G13)</f>
        <v/>
      </c>
      <c r="H14" s="375" t="n">
        <v>1</v>
      </c>
      <c r="I14" s="239" t="n"/>
      <c r="J14" s="239">
        <f>J13</f>
        <v/>
      </c>
      <c r="K14" s="242" t="n"/>
    </row>
    <row r="15" ht="13.9" customFormat="1" customHeight="1" s="258">
      <c r="A15" s="372" t="n"/>
      <c r="B15" s="371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237" t="n"/>
      <c r="J15" s="237" t="n"/>
    </row>
    <row r="16" ht="13.9" customFormat="1" customHeight="1" s="258">
      <c r="A16" s="372" t="n">
        <v>2</v>
      </c>
      <c r="B16" s="372" t="n">
        <v>2</v>
      </c>
      <c r="C16" s="371" t="inlineStr">
        <is>
          <t>Затраты труда машинистов</t>
        </is>
      </c>
      <c r="D16" s="372" t="inlineStr">
        <is>
          <t>чел.-ч.</t>
        </is>
      </c>
      <c r="E16" s="244">
        <f>Прил.3!F15</f>
        <v/>
      </c>
      <c r="F16" s="239">
        <f>G16/E16</f>
        <v/>
      </c>
      <c r="G16" s="239">
        <f>Прил.3!H15</f>
        <v/>
      </c>
      <c r="H16" s="375" t="n">
        <v>1</v>
      </c>
      <c r="I16" s="239">
        <f>ROUND(F16*Прил.10!D10,2)</f>
        <v/>
      </c>
      <c r="J16" s="239">
        <f>ROUND(I16*E16,2)</f>
        <v/>
      </c>
      <c r="L16" s="272" t="n"/>
    </row>
    <row r="17" ht="13.9" customFormat="1" customHeight="1" s="258">
      <c r="A17" s="372" t="n"/>
      <c r="B17" s="368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375" t="n"/>
      <c r="J17" s="375" t="n"/>
    </row>
    <row r="18" ht="13.9" customFormat="1" customHeight="1" s="258">
      <c r="A18" s="372" t="n"/>
      <c r="B18" s="371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37" t="n"/>
      <c r="J18" s="237" t="n"/>
    </row>
    <row r="19" ht="26.45" customFormat="1" customHeight="1" s="258">
      <c r="A19" s="372">
        <f>A16+1</f>
        <v/>
      </c>
      <c r="B19" s="326" t="inlineStr">
        <is>
          <t>91.10.01-002</t>
        </is>
      </c>
      <c r="C19" s="371" t="inlineStr">
        <is>
          <t>Агрегаты наполнительно-опрессовочные до 300 м3/ч</t>
        </is>
      </c>
      <c r="D19" s="372" t="inlineStr">
        <is>
          <t>маш.час</t>
        </is>
      </c>
      <c r="E19" s="244" t="n">
        <v>123.9</v>
      </c>
      <c r="F19" s="269" t="n">
        <v>287.99</v>
      </c>
      <c r="G19" s="239">
        <f>ROUND(E19*F19,2)</f>
        <v/>
      </c>
      <c r="H19" s="375">
        <f>G19/$G$28</f>
        <v/>
      </c>
      <c r="I19" s="239">
        <f>ROUND(F19*Прил.10!$D$11,2)</f>
        <v/>
      </c>
      <c r="J19" s="239">
        <f>ROUND(I19*E19,2)</f>
        <v/>
      </c>
    </row>
    <row r="20" ht="26.45" customFormat="1" customHeight="1" s="258">
      <c r="A20" s="372">
        <f>A19+1</f>
        <v/>
      </c>
      <c r="B20" s="326" t="inlineStr">
        <is>
          <t>91.05.05-015</t>
        </is>
      </c>
      <c r="C20" s="371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244" t="n">
        <v>206.5</v>
      </c>
      <c r="F20" s="269" t="n">
        <v>115.4</v>
      </c>
      <c r="G20" s="239">
        <f>ROUND(E20*F20,2)</f>
        <v/>
      </c>
      <c r="H20" s="375">
        <f>G20/$G$28</f>
        <v/>
      </c>
      <c r="I20" s="239">
        <f>ROUND(F20*Прил.10!$D$11,2)</f>
        <v/>
      </c>
      <c r="J20" s="239">
        <f>ROUND(I20*E20,2)</f>
        <v/>
      </c>
    </row>
    <row r="21" ht="26.45" customFormat="1" customHeight="1" s="258">
      <c r="A21" s="372">
        <f>A20+1</f>
        <v/>
      </c>
      <c r="B21" s="326" t="inlineStr">
        <is>
          <t>91.06.06-042</t>
        </is>
      </c>
      <c r="C21" s="371" t="inlineStr">
        <is>
          <t>Подъемники гидравлические, высота подъема 10 м</t>
        </is>
      </c>
      <c r="D21" s="372" t="inlineStr">
        <is>
          <t>маш.час</t>
        </is>
      </c>
      <c r="E21" s="244" t="n">
        <v>448.7</v>
      </c>
      <c r="F21" s="269" t="n">
        <v>29.6</v>
      </c>
      <c r="G21" s="239">
        <f>ROUND(E21*F21,2)</f>
        <v/>
      </c>
      <c r="H21" s="375">
        <f>G21/$G$28</f>
        <v/>
      </c>
      <c r="I21" s="239">
        <f>ROUND(F21*Прил.10!$D$11,2)</f>
        <v/>
      </c>
      <c r="J21" s="239">
        <f>ROUND(I21*E21,2)</f>
        <v/>
      </c>
    </row>
    <row r="22" ht="26.45" customFormat="1" customHeight="1" s="258">
      <c r="A22" s="372">
        <f>A21+1</f>
        <v/>
      </c>
      <c r="B22" s="326" t="inlineStr">
        <is>
          <t>91.06.03-058</t>
        </is>
      </c>
      <c r="C22" s="371" t="inlineStr">
        <is>
          <t>Лебедки электрические тяговым усилием 156,96 кН (16 т)</t>
        </is>
      </c>
      <c r="D22" s="372" t="inlineStr">
        <is>
          <t>маш.час</t>
        </is>
      </c>
      <c r="E22" s="244" t="n">
        <v>64.26000000000001</v>
      </c>
      <c r="F22" s="269" t="n">
        <v>131.44</v>
      </c>
      <c r="G22" s="239">
        <f>ROUND(E22*F22,2)</f>
        <v/>
      </c>
      <c r="H22" s="375">
        <f>G22/$G$28</f>
        <v/>
      </c>
      <c r="I22" s="239">
        <f>ROUND(F22*Прил.10!$D$11,2)</f>
        <v/>
      </c>
      <c r="J22" s="239">
        <f>ROUND(I22*E22,2)</f>
        <v/>
      </c>
    </row>
    <row r="23" ht="13.9" customFormat="1" customHeight="1" s="258">
      <c r="A23" s="372" t="n"/>
      <c r="B23" s="372" t="n"/>
      <c r="C23" s="371" t="inlineStr">
        <is>
          <t>Итого основные машины и механизмы</t>
        </is>
      </c>
      <c r="D23" s="372" t="n"/>
      <c r="E23" s="250" t="n"/>
      <c r="F23" s="239" t="n"/>
      <c r="G23" s="239">
        <f>SUM(G19:G22)</f>
        <v/>
      </c>
      <c r="H23" s="375">
        <f>G23/G28</f>
        <v/>
      </c>
      <c r="I23" s="239" t="n"/>
      <c r="J23" s="239">
        <f>SUM(J19:J22)</f>
        <v/>
      </c>
      <c r="L23" s="242" t="n"/>
    </row>
    <row r="24" hidden="1" outlineLevel="1" ht="26.45" customFormat="1" customHeight="1" s="258">
      <c r="A24" s="372" t="n">
        <v>8</v>
      </c>
      <c r="B24" s="326" t="inlineStr">
        <is>
          <t>91.14.02-001</t>
        </is>
      </c>
      <c r="C24" s="371" t="inlineStr">
        <is>
          <t>Автомобили бортовые, грузоподъемность до 5 т</t>
        </is>
      </c>
      <c r="D24" s="372" t="inlineStr">
        <is>
          <t>маш.час</t>
        </is>
      </c>
      <c r="E24" s="244" t="n">
        <v>41.3</v>
      </c>
      <c r="F24" s="269" t="n">
        <v>65.70999999999999</v>
      </c>
      <c r="G24" s="239">
        <f>ROUND(E24*F24,2)</f>
        <v/>
      </c>
      <c r="H24" s="375">
        <f>G24/$G$28</f>
        <v/>
      </c>
      <c r="I24" s="239">
        <f>ROUND(F24*Прил.10!$D$11,2)</f>
        <v/>
      </c>
      <c r="J24" s="239">
        <f>ROUND(I24*E24,2)</f>
        <v/>
      </c>
      <c r="L24" s="242" t="n"/>
    </row>
    <row r="25" hidden="1" outlineLevel="1" ht="26.45" customFormat="1" customHeight="1" s="258">
      <c r="A25" s="372" t="n">
        <v>9</v>
      </c>
      <c r="B25" s="326" t="inlineStr">
        <is>
          <t>91.17.04-161</t>
        </is>
      </c>
      <c r="C25" s="371" t="inlineStr">
        <is>
          <t>Полуавтоматы сварочные номинальным сварочным током 40-500 А</t>
        </is>
      </c>
      <c r="D25" s="372" t="inlineStr">
        <is>
          <t>маш.час</t>
        </is>
      </c>
      <c r="E25" s="244" t="n">
        <v>138.6</v>
      </c>
      <c r="F25" s="269" t="n">
        <v>16.44</v>
      </c>
      <c r="G25" s="239">
        <f>ROUND(E25*F25,2)</f>
        <v/>
      </c>
      <c r="H25" s="375">
        <f>G25/$G$28</f>
        <v/>
      </c>
      <c r="I25" s="239">
        <f>ROUND(F25*Прил.10!$D$11,2)</f>
        <v/>
      </c>
      <c r="J25" s="239">
        <f>ROUND(I25*E25,2)</f>
        <v/>
      </c>
      <c r="L25" s="242" t="n"/>
    </row>
    <row r="26" hidden="1" outlineLevel="1" ht="26.45" customFormat="1" customHeight="1" s="258">
      <c r="A26" s="372" t="n">
        <v>10</v>
      </c>
      <c r="B26" s="326" t="inlineStr">
        <is>
          <t>91.17.04-233</t>
        </is>
      </c>
      <c r="C26" s="371" t="inlineStr">
        <is>
          <t>Установки для сварки ручной дуговой (постоянного тока)</t>
        </is>
      </c>
      <c r="D26" s="372" t="inlineStr">
        <is>
          <t>маш.час</t>
        </is>
      </c>
      <c r="E26" s="244" t="n">
        <v>126.7</v>
      </c>
      <c r="F26" s="269" t="n">
        <v>8.1</v>
      </c>
      <c r="G26" s="239">
        <f>ROUND(E26*F26,2)</f>
        <v/>
      </c>
      <c r="H26" s="375">
        <f>G26/$G$28</f>
        <v/>
      </c>
      <c r="I26" s="239">
        <f>ROUND(F26*Прил.10!$D$11,2)</f>
        <v/>
      </c>
      <c r="J26" s="239">
        <f>ROUND(I26*E26,2)</f>
        <v/>
      </c>
      <c r="L26" s="242" t="n"/>
    </row>
    <row r="27" collapsed="1" ht="13.9" customFormat="1" customHeight="1" s="258">
      <c r="A27" s="372" t="n"/>
      <c r="B27" s="372" t="n"/>
      <c r="C27" s="371" t="inlineStr">
        <is>
          <t>Итого прочие машины и механизмы</t>
        </is>
      </c>
      <c r="D27" s="372" t="n"/>
      <c r="E27" s="373" t="n"/>
      <c r="F27" s="239" t="n"/>
      <c r="G27" s="239">
        <f>SUM(G24:G26)</f>
        <v/>
      </c>
      <c r="H27" s="375">
        <f>G27/G28</f>
        <v/>
      </c>
      <c r="I27" s="239" t="n"/>
      <c r="J27" s="239">
        <f>SUM(J24:J26)</f>
        <v/>
      </c>
      <c r="K27" s="242" t="n"/>
      <c r="L27" s="242" t="n"/>
    </row>
    <row r="28" ht="26.45" customFormat="1" customHeight="1" s="258">
      <c r="A28" s="372" t="n"/>
      <c r="B28" s="376" t="n"/>
      <c r="C28" s="253" t="inlineStr">
        <is>
          <t>Итого по разделу «Машины и механизмы»</t>
        </is>
      </c>
      <c r="D28" s="376" t="n"/>
      <c r="E28" s="254" t="n"/>
      <c r="F28" s="255" t="n"/>
      <c r="G28" s="255">
        <f>G23+G27</f>
        <v/>
      </c>
      <c r="H28" s="256" t="n">
        <v>1</v>
      </c>
      <c r="I28" s="255" t="n"/>
      <c r="J28" s="255">
        <f>J23+J27</f>
        <v/>
      </c>
    </row>
    <row r="29" ht="29.25" customHeight="1" s="313">
      <c r="A29" s="378" t="n"/>
      <c r="B29" s="368" t="inlineStr">
        <is>
          <t xml:space="preserve">Оборудование </t>
        </is>
      </c>
      <c r="C29" s="442" t="n"/>
      <c r="D29" s="442" t="n"/>
      <c r="E29" s="442" t="n"/>
      <c r="F29" s="442" t="n"/>
      <c r="G29" s="442" t="n"/>
      <c r="H29" s="442" t="n"/>
      <c r="I29" s="442" t="n"/>
      <c r="J29" s="443" t="n"/>
      <c r="K29" s="258" t="n"/>
      <c r="L29" s="258" t="n"/>
      <c r="M29" s="258" t="n"/>
      <c r="N29" s="258" t="n"/>
    </row>
    <row r="30" ht="15" customHeight="1" s="313">
      <c r="A30" s="372" t="n"/>
      <c r="B30" s="381" t="inlineStr">
        <is>
          <t>Основное оборудование</t>
        </is>
      </c>
      <c r="K30" s="258" t="n"/>
      <c r="L30" s="258" t="n"/>
      <c r="M30" s="258" t="n"/>
      <c r="N30" s="258" t="n"/>
    </row>
    <row r="31" s="313">
      <c r="A31" s="372" t="n">
        <v>11</v>
      </c>
      <c r="B31" s="326" t="inlineStr">
        <is>
          <t>БЦ.4_1.476</t>
        </is>
      </c>
      <c r="C31" s="371" t="inlineStr">
        <is>
          <t>Ячейка выключателя 220 кВ 2500/50</t>
        </is>
      </c>
      <c r="D31" s="372" t="inlineStr">
        <is>
          <t>шт.</t>
        </is>
      </c>
      <c r="E31" s="244" t="n">
        <v>7</v>
      </c>
      <c r="F31" s="239">
        <f>I31/Прил.10!$D$13</f>
        <v/>
      </c>
      <c r="G31" s="239">
        <f>ROUND(E31*F31,2)</f>
        <v/>
      </c>
      <c r="H31" s="375">
        <f>G31/$G$34</f>
        <v/>
      </c>
      <c r="I31" s="239" t="n">
        <v>111183000</v>
      </c>
      <c r="J31" s="239">
        <f>ROUND(I31*E31,2)</f>
        <v/>
      </c>
      <c r="K31" s="258" t="n"/>
      <c r="L31" s="258" t="n"/>
      <c r="M31" s="258" t="n"/>
      <c r="N31" s="258" t="n"/>
    </row>
    <row r="32" ht="15.75" customHeight="1" s="313">
      <c r="A32" s="372" t="n"/>
      <c r="B32" s="372" t="n"/>
      <c r="C32" s="371" t="inlineStr">
        <is>
          <t>Итого основное оборудование</t>
        </is>
      </c>
      <c r="D32" s="372" t="n"/>
      <c r="E32" s="244" t="n"/>
      <c r="F32" s="374" t="n"/>
      <c r="G32" s="239">
        <f>SUM(G31:G31)</f>
        <v/>
      </c>
      <c r="H32" s="375">
        <f>G32/$G$34</f>
        <v/>
      </c>
      <c r="I32" s="239" t="n"/>
      <c r="J32" s="239">
        <f>SUM(J31:J31)</f>
        <v/>
      </c>
      <c r="K32" s="242" t="n"/>
      <c r="L32" s="258" t="n"/>
      <c r="M32" s="258" t="n"/>
      <c r="N32" s="258" t="n"/>
    </row>
    <row r="33" ht="13.5" customHeight="1" s="313">
      <c r="A33" s="372" t="n"/>
      <c r="B33" s="372" t="n"/>
      <c r="C33" s="371" t="inlineStr">
        <is>
          <t>Итого прочее оборудование</t>
        </is>
      </c>
      <c r="D33" s="372" t="n"/>
      <c r="E33" s="373" t="n"/>
      <c r="F33" s="374" t="n"/>
      <c r="G33" s="239" t="n">
        <v>0</v>
      </c>
      <c r="H33" s="375">
        <f>G33/$G$34</f>
        <v/>
      </c>
      <c r="I33" s="374" t="n"/>
      <c r="J33" s="239" t="n">
        <v>0</v>
      </c>
      <c r="K33" s="242" t="n"/>
      <c r="L33" s="258" t="n"/>
      <c r="M33" s="258" t="n"/>
      <c r="N33" s="258" t="n"/>
    </row>
    <row r="34" ht="23.25" customHeight="1" s="313">
      <c r="A34" s="372" t="n"/>
      <c r="B34" s="372" t="n"/>
      <c r="C34" s="368" t="inlineStr">
        <is>
          <t>Итого по разделу «Оборудование»</t>
        </is>
      </c>
      <c r="D34" s="372" t="n"/>
      <c r="E34" s="373" t="n"/>
      <c r="F34" s="374" t="n"/>
      <c r="G34" s="239">
        <f>G33+G32</f>
        <v/>
      </c>
      <c r="H34" s="375">
        <f>(G32+G33)/G34</f>
        <v/>
      </c>
      <c r="I34" s="239" t="n"/>
      <c r="J34" s="239">
        <f>J33+J32</f>
        <v/>
      </c>
      <c r="K34" s="242" t="n"/>
      <c r="L34" s="258" t="n"/>
      <c r="M34" s="258" t="n"/>
      <c r="N34" s="258" t="n"/>
    </row>
    <row r="35" ht="26.45" customHeight="1" s="313">
      <c r="A35" s="372" t="n"/>
      <c r="B35" s="372" t="n"/>
      <c r="C35" s="371" t="inlineStr">
        <is>
          <t>в том числе технологическое оборудование</t>
        </is>
      </c>
      <c r="D35" s="372" t="n"/>
      <c r="E35" s="373" t="n"/>
      <c r="F35" s="374" t="n"/>
      <c r="G35" s="239">
        <f>G34</f>
        <v/>
      </c>
      <c r="H35" s="375">
        <f>G35/$G$34</f>
        <v/>
      </c>
      <c r="I35" s="239" t="n"/>
      <c r="J35" s="239">
        <f>J34</f>
        <v/>
      </c>
      <c r="K35" s="242" t="n"/>
      <c r="L35" s="258" t="n"/>
      <c r="M35" s="258" t="n"/>
      <c r="N35" s="258" t="n"/>
    </row>
    <row r="36" ht="30" customFormat="1" customHeight="1" s="258">
      <c r="A36" s="372" t="n"/>
      <c r="B36" s="446" t="inlineStr">
        <is>
          <t xml:space="preserve">Материалы </t>
        </is>
      </c>
      <c r="J36" s="447" t="n"/>
      <c r="K36" s="242" t="n"/>
    </row>
    <row r="37" ht="13.9" customFormat="1" customHeight="1" s="258">
      <c r="A37" s="372" t="n"/>
      <c r="B37" s="371" t="inlineStr">
        <is>
          <t>Основные материалы</t>
        </is>
      </c>
      <c r="C37" s="442" t="n"/>
      <c r="D37" s="442" t="n"/>
      <c r="E37" s="442" t="n"/>
      <c r="F37" s="442" t="n"/>
      <c r="G37" s="442" t="n"/>
      <c r="H37" s="443" t="n"/>
      <c r="I37" s="375" t="n"/>
      <c r="J37" s="375" t="n"/>
    </row>
    <row r="38" ht="14.25" customFormat="1" customHeight="1" s="258">
      <c r="A38" s="372" t="n">
        <v>12</v>
      </c>
      <c r="B38" s="216" t="inlineStr">
        <is>
          <t>01.3.02.02-0001</t>
        </is>
      </c>
      <c r="C38" s="217" t="inlineStr">
        <is>
          <t>Аргон газообразный, сорт I</t>
        </is>
      </c>
      <c r="D38" s="392" t="inlineStr">
        <is>
          <t>м3</t>
        </is>
      </c>
      <c r="E38" s="392" t="n">
        <v>151.9</v>
      </c>
      <c r="F38" s="214" t="n">
        <v>17.86</v>
      </c>
      <c r="G38" s="239">
        <f>ROUND(E38*F38,2)</f>
        <v/>
      </c>
      <c r="H38" s="375">
        <f>G38/$G$53</f>
        <v/>
      </c>
      <c r="I38" s="239">
        <f>ROUND(F38*Прил.10!$D$12,2)</f>
        <v/>
      </c>
      <c r="J38" s="239">
        <f>ROUND(I38*E38,2)</f>
        <v/>
      </c>
    </row>
    <row r="39" ht="14.25" customFormat="1" customHeight="1" s="258">
      <c r="A39" s="372" t="n">
        <v>13</v>
      </c>
      <c r="B39" s="216" t="inlineStr">
        <is>
          <t>14.4.02.09-0001</t>
        </is>
      </c>
      <c r="C39" s="217" t="inlineStr">
        <is>
          <t>Краска</t>
        </is>
      </c>
      <c r="D39" s="392" t="inlineStr">
        <is>
          <t>кг</t>
        </is>
      </c>
      <c r="E39" s="392" t="n">
        <v>66.36</v>
      </c>
      <c r="F39" s="214" t="n">
        <v>28.6</v>
      </c>
      <c r="G39" s="239">
        <f>ROUND(E39*F39,2)</f>
        <v/>
      </c>
      <c r="H39" s="375">
        <f>G39/$G$53</f>
        <v/>
      </c>
      <c r="I39" s="239">
        <f>ROUND(F39*Прил.10!$D$12,2)</f>
        <v/>
      </c>
      <c r="J39" s="239">
        <f>ROUND(I39*E39,2)</f>
        <v/>
      </c>
    </row>
    <row r="40" ht="14.25" customFormat="1" customHeight="1" s="258">
      <c r="A40" s="372" t="n">
        <v>14</v>
      </c>
      <c r="B40" s="216" t="inlineStr">
        <is>
          <t>20.2.08.05-0015</t>
        </is>
      </c>
      <c r="C40" s="217" t="inlineStr">
        <is>
          <t>Профиль монтажный</t>
        </is>
      </c>
      <c r="D40" s="392" t="inlineStr">
        <is>
          <t>м</t>
        </is>
      </c>
      <c r="E40" s="392" t="n">
        <v>42</v>
      </c>
      <c r="F40" s="214" t="n">
        <v>38.42</v>
      </c>
      <c r="G40" s="239">
        <f>ROUND(E40*F40,2)</f>
        <v/>
      </c>
      <c r="H40" s="375">
        <f>G40/$G$53</f>
        <v/>
      </c>
      <c r="I40" s="239">
        <f>ROUND(F40*Прил.10!$D$12,2)</f>
        <v/>
      </c>
      <c r="J40" s="239">
        <f>ROUND(I40*E40,2)</f>
        <v/>
      </c>
    </row>
    <row r="41" ht="14.25" customFormat="1" customHeight="1" s="258">
      <c r="A41" s="372" t="n">
        <v>15</v>
      </c>
      <c r="B41" s="216" t="inlineStr">
        <is>
          <t>01.7.17.11-0001</t>
        </is>
      </c>
      <c r="C41" s="217" t="inlineStr">
        <is>
          <t>Бумага шлифовальная</t>
        </is>
      </c>
      <c r="D41" s="392" t="inlineStr">
        <is>
          <t>кг</t>
        </is>
      </c>
      <c r="E41" s="392" t="n">
        <v>17.92</v>
      </c>
      <c r="F41" s="214" t="n">
        <v>50</v>
      </c>
      <c r="G41" s="239">
        <f>ROUND(E41*F41,2)</f>
        <v/>
      </c>
      <c r="H41" s="375">
        <f>G41/$G$53</f>
        <v/>
      </c>
      <c r="I41" s="239">
        <f>ROUND(F41*Прил.10!$D$12,2)</f>
        <v/>
      </c>
      <c r="J41" s="239">
        <f>ROUND(I41*E41,2)</f>
        <v/>
      </c>
    </row>
    <row r="42" ht="25.5" customFormat="1" customHeight="1" s="258">
      <c r="A42" s="372" t="n">
        <v>16</v>
      </c>
      <c r="B42" s="216" t="inlineStr">
        <is>
          <t>01.7.11.07-0034</t>
        </is>
      </c>
      <c r="C42" s="217" t="inlineStr">
        <is>
          <t>Электроды сварочные Э42А, диаметр 4 мм</t>
        </is>
      </c>
      <c r="D42" s="392" t="inlineStr">
        <is>
          <t>кг</t>
        </is>
      </c>
      <c r="E42" s="392" t="n">
        <v>56.28</v>
      </c>
      <c r="F42" s="214" t="n">
        <v>10.57</v>
      </c>
      <c r="G42" s="239">
        <f>ROUND(E42*F42,2)</f>
        <v/>
      </c>
      <c r="H42" s="375">
        <f>G42/$G$53</f>
        <v/>
      </c>
      <c r="I42" s="239">
        <f>ROUND(F42*Прил.10!$D$12,2)</f>
        <v/>
      </c>
      <c r="J42" s="239">
        <f>ROUND(I42*E42,2)</f>
        <v/>
      </c>
    </row>
    <row r="43" ht="14.25" customFormat="1" customHeight="1" s="258">
      <c r="A43" s="372" t="n"/>
      <c r="B43" s="326" t="n"/>
      <c r="C43" s="371" t="inlineStr">
        <is>
          <t>Итого основные материалы</t>
        </is>
      </c>
      <c r="D43" s="372" t="n"/>
      <c r="E43" s="244" t="n"/>
      <c r="F43" s="269" t="n"/>
      <c r="G43" s="239">
        <f>SUM(G38:G42)</f>
        <v/>
      </c>
      <c r="H43" s="375">
        <f>G43/$G$53</f>
        <v/>
      </c>
      <c r="I43" s="239" t="n"/>
      <c r="J43" s="239">
        <f>SUM(J38:J42)</f>
        <v/>
      </c>
      <c r="K43" s="242" t="n"/>
    </row>
    <row r="44" hidden="1" outlineLevel="1" ht="25.5" customFormat="1" customHeight="1" s="258">
      <c r="A44" s="372" t="n">
        <v>17</v>
      </c>
      <c r="B44" s="216" t="inlineStr">
        <is>
          <t>999-9950</t>
        </is>
      </c>
      <c r="C44" s="217" t="inlineStr">
        <is>
          <t>Вспомогательные ненормируемые ресурсы (2% от Оплаты труда рабочих)</t>
        </is>
      </c>
      <c r="D44" s="392" t="inlineStr">
        <is>
          <t>руб</t>
        </is>
      </c>
      <c r="E44" s="392" t="n">
        <v>420.05</v>
      </c>
      <c r="F44" s="214" t="n">
        <v>1</v>
      </c>
      <c r="G44" s="239">
        <f>ROUND(E44*F44,2)</f>
        <v/>
      </c>
      <c r="H44" s="375">
        <f>G44/$G$53</f>
        <v/>
      </c>
      <c r="I44" s="239">
        <f>ROUND(F44*Прил.10!$D$12,2)</f>
        <v/>
      </c>
      <c r="J44" s="239">
        <f>ROUND(I44*E44,2)</f>
        <v/>
      </c>
    </row>
    <row r="45" hidden="1" outlineLevel="1" ht="14.25" customFormat="1" customHeight="1" s="258">
      <c r="A45" s="372" t="n">
        <v>18</v>
      </c>
      <c r="B45" s="216" t="inlineStr">
        <is>
          <t>01.3.01.01-0001</t>
        </is>
      </c>
      <c r="C45" s="217" t="inlineStr">
        <is>
          <t>Бензин авиационный Б-70</t>
        </is>
      </c>
      <c r="D45" s="392" t="inlineStr">
        <is>
          <t>т</t>
        </is>
      </c>
      <c r="E45" s="392" t="n">
        <v>0.063</v>
      </c>
      <c r="F45" s="214" t="n">
        <v>4488.4</v>
      </c>
      <c r="G45" s="239">
        <f>ROUND(E45*F45,2)</f>
        <v/>
      </c>
      <c r="H45" s="375">
        <f>G45/$G$53</f>
        <v/>
      </c>
      <c r="I45" s="239">
        <f>ROUND(F45*Прил.10!$D$12,2)</f>
        <v/>
      </c>
      <c r="J45" s="239">
        <f>ROUND(I45*E45,2)</f>
        <v/>
      </c>
    </row>
    <row r="46" hidden="1" outlineLevel="1" ht="14.25" customFormat="1" customHeight="1" s="258">
      <c r="A46" s="372" t="n">
        <v>19</v>
      </c>
      <c r="B46" s="216" t="inlineStr">
        <is>
          <t>01.7.20.08-0102</t>
        </is>
      </c>
      <c r="C46" s="217" t="inlineStr">
        <is>
          <t>Миткаль суровый</t>
        </is>
      </c>
      <c r="D46" s="392" t="inlineStr">
        <is>
          <t>10 м</t>
        </is>
      </c>
      <c r="E46" s="392" t="n">
        <v>2.597</v>
      </c>
      <c r="F46" s="214" t="n">
        <v>73.65000000000001</v>
      </c>
      <c r="G46" s="239">
        <f>ROUND(E46*F46,2)</f>
        <v/>
      </c>
      <c r="H46" s="375">
        <f>G46/$G$53</f>
        <v/>
      </c>
      <c r="I46" s="239">
        <f>ROUND(F46*Прил.10!$D$12,2)</f>
        <v/>
      </c>
      <c r="J46" s="239">
        <f>ROUND(I46*E46,2)</f>
        <v/>
      </c>
    </row>
    <row r="47" hidden="1" outlineLevel="1" ht="14.25" customFormat="1" customHeight="1" s="258">
      <c r="A47" s="372" t="n">
        <v>20</v>
      </c>
      <c r="B47" s="216" t="inlineStr">
        <is>
          <t>07.2.07.13-0171</t>
        </is>
      </c>
      <c r="C47" s="217" t="inlineStr">
        <is>
          <t>Подкладки металлические</t>
        </is>
      </c>
      <c r="D47" s="392" t="inlineStr">
        <is>
          <t>кг</t>
        </is>
      </c>
      <c r="E47" s="392" t="n">
        <v>14</v>
      </c>
      <c r="F47" s="214" t="n">
        <v>12.6</v>
      </c>
      <c r="G47" s="239">
        <f>ROUND(E47*F47,2)</f>
        <v/>
      </c>
      <c r="H47" s="375">
        <f>G47/$G$53</f>
        <v/>
      </c>
      <c r="I47" s="239">
        <f>ROUND(F47*Прил.10!$D$12,2)</f>
        <v/>
      </c>
      <c r="J47" s="239">
        <f>ROUND(I47*E47,2)</f>
        <v/>
      </c>
    </row>
    <row r="48" hidden="1" outlineLevel="1" ht="38.25" customFormat="1" customHeight="1" s="258">
      <c r="A48" s="372" t="n">
        <v>21</v>
      </c>
      <c r="B48" s="216" t="inlineStr">
        <is>
          <t>11.1.03.05-0089</t>
        </is>
      </c>
      <c r="C48" s="217" t="inlineStr">
        <is>
          <t>Доска необрезная, хвойных пород, длина 4-6,5 м, ширина 75-150 мм, толщина 16 мм, сорт III</t>
        </is>
      </c>
      <c r="D48" s="392" t="inlineStr">
        <is>
          <t>м3</t>
        </is>
      </c>
      <c r="E48" s="392" t="n">
        <v>0.112</v>
      </c>
      <c r="F48" s="214" t="n">
        <v>1250</v>
      </c>
      <c r="G48" s="239">
        <f>ROUND(E48*F48,2)</f>
        <v/>
      </c>
      <c r="H48" s="375">
        <f>G48/$G$53</f>
        <v/>
      </c>
      <c r="I48" s="239">
        <f>ROUND(F48*Прил.10!$D$12,2)</f>
        <v/>
      </c>
      <c r="J48" s="239">
        <f>ROUND(I48*E48,2)</f>
        <v/>
      </c>
    </row>
    <row r="49" hidden="1" outlineLevel="1" ht="51" customFormat="1" customHeight="1" s="258">
      <c r="A49" s="372" t="n">
        <v>22</v>
      </c>
      <c r="B49" s="216" t="inlineStr">
        <is>
          <t>01.3.01.06-0023</t>
        </is>
      </c>
      <c r="C49" s="217" t="inlineStr">
        <is>
          <t>Смазка антифрикционная пластичная для узлов трения, работающих при переменных ударных нагрузках, диапазон температур от-60 °C до +80 °C</t>
        </is>
      </c>
      <c r="D49" s="392" t="inlineStr">
        <is>
          <t>т</t>
        </is>
      </c>
      <c r="E49" s="392" t="n">
        <v>0.0035</v>
      </c>
      <c r="F49" s="214" t="n">
        <v>20600</v>
      </c>
      <c r="G49" s="239">
        <f>ROUND(E49*F49,2)</f>
        <v/>
      </c>
      <c r="H49" s="375">
        <f>G49/$G$53</f>
        <v/>
      </c>
      <c r="I49" s="239">
        <f>ROUND(F49*Прил.10!$D$12,2)</f>
        <v/>
      </c>
      <c r="J49" s="239">
        <f>ROUND(I49*E49,2)</f>
        <v/>
      </c>
    </row>
    <row r="50" hidden="1" outlineLevel="1" ht="14.25" customFormat="1" customHeight="1" s="258">
      <c r="A50" s="372" t="n">
        <v>23</v>
      </c>
      <c r="B50" s="216" t="inlineStr">
        <is>
          <t>08.3.03.03-0002</t>
        </is>
      </c>
      <c r="C50" s="217" t="inlineStr">
        <is>
          <t>Проволока из легированной стали</t>
        </is>
      </c>
      <c r="D50" s="392" t="inlineStr">
        <is>
          <t>т</t>
        </is>
      </c>
      <c r="E50" s="392" t="n">
        <v>0.00364</v>
      </c>
      <c r="F50" s="214" t="n">
        <v>14200</v>
      </c>
      <c r="G50" s="239">
        <f>ROUND(E50*F50,2)</f>
        <v/>
      </c>
      <c r="H50" s="375">
        <f>G50/$G$53</f>
        <v/>
      </c>
      <c r="I50" s="239">
        <f>ROUND(F50*Прил.10!$D$12,2)</f>
        <v/>
      </c>
      <c r="J50" s="239">
        <f>ROUND(I50*E50,2)</f>
        <v/>
      </c>
    </row>
    <row r="51" hidden="1" outlineLevel="1" ht="25.5" customFormat="1" customHeight="1" s="258">
      <c r="A51" s="372" t="n">
        <v>24</v>
      </c>
      <c r="B51" s="216" t="inlineStr">
        <is>
          <t>01.7.15.06-0121</t>
        </is>
      </c>
      <c r="C51" s="217" t="inlineStr">
        <is>
          <t>Гвозди строительные с плоской головкой, размер 1,6х50 мм</t>
        </is>
      </c>
      <c r="D51" s="392" t="inlineStr">
        <is>
          <t>т</t>
        </is>
      </c>
      <c r="E51" s="392" t="n">
        <v>0.00217</v>
      </c>
      <c r="F51" s="214" t="n">
        <v>8475</v>
      </c>
      <c r="G51" s="239">
        <f>ROUND(E51*F51,2)</f>
        <v/>
      </c>
      <c r="H51" s="375">
        <f>G51/$G$53</f>
        <v/>
      </c>
      <c r="I51" s="239">
        <f>ROUND(F51*Прил.10!$D$12,2)</f>
        <v/>
      </c>
      <c r="J51" s="239">
        <f>ROUND(I51*E51,2)</f>
        <v/>
      </c>
    </row>
    <row r="52" collapsed="1" ht="13.9" customFormat="1" customHeight="1" s="258">
      <c r="A52" s="372" t="n"/>
      <c r="B52" s="372" t="n"/>
      <c r="C52" s="371" t="inlineStr">
        <is>
          <t>Итого прочие материалы</t>
        </is>
      </c>
      <c r="D52" s="372" t="n"/>
      <c r="E52" s="373" t="n"/>
      <c r="F52" s="374" t="n"/>
      <c r="G52" s="239">
        <f>SUM(G44:G51)</f>
        <v/>
      </c>
      <c r="H52" s="375">
        <f>G52/G53</f>
        <v/>
      </c>
      <c r="I52" s="239" t="n"/>
      <c r="J52" s="239">
        <f>SUM(J44:J51)</f>
        <v/>
      </c>
    </row>
    <row r="53" ht="13.9" customFormat="1" customHeight="1" s="258">
      <c r="A53" s="372" t="n"/>
      <c r="B53" s="372" t="n"/>
      <c r="C53" s="368" t="inlineStr">
        <is>
          <t>Итого по разделу «Материалы»</t>
        </is>
      </c>
      <c r="D53" s="372" t="n"/>
      <c r="E53" s="373" t="n"/>
      <c r="F53" s="374" t="n"/>
      <c r="G53" s="239">
        <f>G43+G52</f>
        <v/>
      </c>
      <c r="H53" s="375" t="n">
        <v>1</v>
      </c>
      <c r="I53" s="374" t="n"/>
      <c r="J53" s="239">
        <f>J43+J52</f>
        <v/>
      </c>
      <c r="K53" s="242" t="n"/>
    </row>
    <row r="54" ht="13.9" customFormat="1" customHeight="1" s="258">
      <c r="A54" s="372" t="n"/>
      <c r="B54" s="372" t="n"/>
      <c r="C54" s="371" t="inlineStr">
        <is>
          <t>ИТОГО ПО РМ</t>
        </is>
      </c>
      <c r="D54" s="372" t="n"/>
      <c r="E54" s="373" t="n"/>
      <c r="F54" s="374" t="n"/>
      <c r="G54" s="239">
        <f>G14+G28+G53</f>
        <v/>
      </c>
      <c r="H54" s="375" t="n"/>
      <c r="I54" s="374" t="n"/>
      <c r="J54" s="239">
        <f>J14+J28+J53</f>
        <v/>
      </c>
    </row>
    <row r="55" ht="13.9" customFormat="1" customHeight="1" s="258">
      <c r="A55" s="372" t="n"/>
      <c r="B55" s="372" t="n"/>
      <c r="C55" s="371" t="inlineStr">
        <is>
          <t>Накладные расходы</t>
        </is>
      </c>
      <c r="D55" s="372" t="inlineStr">
        <is>
          <t>%</t>
        </is>
      </c>
      <c r="E55" s="270">
        <f>ROUND(G55/(G14+G16),2)</f>
        <v/>
      </c>
      <c r="F55" s="374" t="n"/>
      <c r="G55" s="239" t="n">
        <v>34551.39</v>
      </c>
      <c r="H55" s="375" t="n"/>
      <c r="I55" s="374" t="n"/>
      <c r="J55" s="239">
        <f>ROUND(E55*(J14+J16),2)</f>
        <v/>
      </c>
      <c r="K55" s="271" t="n"/>
    </row>
    <row r="56" ht="13.9" customFormat="1" customHeight="1" s="258">
      <c r="A56" s="372" t="n"/>
      <c r="B56" s="372" t="n"/>
      <c r="C56" s="371" t="inlineStr">
        <is>
          <t>Сметная прибыль</t>
        </is>
      </c>
      <c r="D56" s="372" t="inlineStr">
        <is>
          <t>%</t>
        </is>
      </c>
      <c r="E56" s="270">
        <f>ROUND(G56/(G14+G16),2)</f>
        <v/>
      </c>
      <c r="F56" s="374" t="n"/>
      <c r="G56" s="239" t="n">
        <v>18166.19</v>
      </c>
      <c r="H56" s="375" t="n"/>
      <c r="I56" s="374" t="n"/>
      <c r="J56" s="239">
        <f>ROUND(E56*(J14+J16),2)</f>
        <v/>
      </c>
      <c r="K56" s="271" t="n"/>
    </row>
    <row r="57" ht="13.9" customFormat="1" customHeight="1" s="258">
      <c r="A57" s="372" t="n"/>
      <c r="B57" s="372" t="n"/>
      <c r="C57" s="371" t="inlineStr">
        <is>
          <t>Итого СМР (с НР и СП)</t>
        </is>
      </c>
      <c r="D57" s="372" t="n"/>
      <c r="E57" s="373" t="n"/>
      <c r="F57" s="374" t="n"/>
      <c r="G57" s="239">
        <f>G14+G28+G53+G55+G56</f>
        <v/>
      </c>
      <c r="H57" s="375" t="n"/>
      <c r="I57" s="374" t="n"/>
      <c r="J57" s="239">
        <f>J14+J28+J53+J55+J56</f>
        <v/>
      </c>
      <c r="L57" s="272" t="n"/>
    </row>
    <row r="58" ht="13.9" customFormat="1" customHeight="1" s="258">
      <c r="A58" s="372" t="n"/>
      <c r="B58" s="372" t="n"/>
      <c r="C58" s="371" t="inlineStr">
        <is>
          <t>ВСЕГО СМР + ОБОРУДОВАНИЕ</t>
        </is>
      </c>
      <c r="D58" s="372" t="n"/>
      <c r="E58" s="373" t="n"/>
      <c r="F58" s="374" t="n"/>
      <c r="G58" s="239">
        <f>G57+G34</f>
        <v/>
      </c>
      <c r="H58" s="375" t="n"/>
      <c r="I58" s="374" t="n"/>
      <c r="J58" s="239">
        <f>J57+J34</f>
        <v/>
      </c>
      <c r="L58" s="271" t="n"/>
    </row>
    <row r="59" ht="13.9" customFormat="1" customHeight="1" s="258">
      <c r="A59" s="372" t="n"/>
      <c r="B59" s="372" t="n"/>
      <c r="C59" s="371" t="inlineStr">
        <is>
          <t>ИТОГО ПОКАЗАТЕЛЬ НА ЕД. ИЗМ.</t>
        </is>
      </c>
      <c r="D59" s="372" t="inlineStr">
        <is>
          <t>ед.</t>
        </is>
      </c>
      <c r="E59" s="273" t="n">
        <v>7</v>
      </c>
      <c r="F59" s="374" t="n"/>
      <c r="G59" s="239">
        <f>G58/E59</f>
        <v/>
      </c>
      <c r="H59" s="375" t="n"/>
      <c r="I59" s="374" t="n"/>
      <c r="J59" s="239">
        <f>J58/E59</f>
        <v/>
      </c>
      <c r="L59" s="271" t="n"/>
    </row>
    <row r="63" ht="13.9" customFormat="1" customHeight="1" s="258">
      <c r="A63" s="274" t="n"/>
    </row>
    <row r="64" ht="13.9" customFormat="1" customHeight="1" s="258">
      <c r="A64" s="235" t="inlineStr">
        <is>
          <t>Составил ______________________      Е. М. Добровольская</t>
        </is>
      </c>
    </row>
    <row r="65" ht="13.9" customFormat="1" customHeight="1" s="258">
      <c r="A65" s="275" t="inlineStr">
        <is>
          <t xml:space="preserve">                         (подпись, инициалы, фамилия)</t>
        </is>
      </c>
    </row>
    <row r="66" ht="13.9" customFormat="1" customHeight="1" s="258">
      <c r="A66" s="235" t="n"/>
    </row>
    <row r="67" ht="13.9" customFormat="1" customHeight="1" s="258">
      <c r="A67" s="235" t="inlineStr">
        <is>
          <t>Проверил ______________________        А.В. Костянецкая</t>
        </is>
      </c>
    </row>
    <row r="68" ht="13.9" customFormat="1" customHeight="1" s="258">
      <c r="A68" s="275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B29:J29"/>
    <mergeCell ref="C9:C10"/>
    <mergeCell ref="E9:E10"/>
    <mergeCell ref="A7:H7"/>
    <mergeCell ref="B30:J30"/>
    <mergeCell ref="B9:B10"/>
    <mergeCell ref="D9:D10"/>
    <mergeCell ref="B18:H18"/>
    <mergeCell ref="B36:J36"/>
    <mergeCell ref="B12:H12"/>
    <mergeCell ref="D6:J6"/>
    <mergeCell ref="F9:G9"/>
    <mergeCell ref="A4:H4"/>
    <mergeCell ref="B17:H17"/>
    <mergeCell ref="A9:A10"/>
    <mergeCell ref="A6:C6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18" sqref="C18"/>
    </sheetView>
  </sheetViews>
  <sheetFormatPr baseColWidth="8" defaultRowHeight="15"/>
  <cols>
    <col width="5.7109375" customWidth="1" style="313" min="1" max="1"/>
    <col width="14.85546875" customWidth="1" style="313" min="2" max="2"/>
    <col width="41.85546875" customWidth="1" style="313" min="3" max="3"/>
    <col width="9.7109375" customWidth="1" style="313" min="4" max="4"/>
    <col width="13.5703125" customWidth="1" style="313" min="5" max="6"/>
    <col width="17" customWidth="1" style="313" min="7" max="7"/>
  </cols>
  <sheetData>
    <row r="1">
      <c r="A1" s="391" t="inlineStr">
        <is>
          <t>Приложение №6</t>
        </is>
      </c>
    </row>
    <row r="2">
      <c r="A2" s="391" t="n"/>
      <c r="B2" s="391" t="n"/>
      <c r="C2" s="391" t="n"/>
      <c r="D2" s="391" t="n"/>
      <c r="E2" s="391" t="n"/>
      <c r="F2" s="391" t="n"/>
      <c r="G2" s="391" t="n"/>
    </row>
    <row r="3" ht="24.75" customHeight="1" s="313">
      <c r="A3" s="347" t="inlineStr">
        <is>
          <t>Расчет стоимости оборудования</t>
        </is>
      </c>
    </row>
    <row r="4" ht="24.75" customHeight="1" s="313">
      <c r="A4" s="347" t="n"/>
      <c r="B4" s="347" t="n"/>
      <c r="C4" s="347" t="n"/>
      <c r="D4" s="347" t="n"/>
      <c r="E4" s="347" t="n"/>
      <c r="F4" s="347" t="n"/>
      <c r="G4" s="347" t="n"/>
    </row>
    <row r="5" ht="25.5" customHeight="1" s="313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</f>
        <v/>
      </c>
    </row>
    <row r="6">
      <c r="A6" s="235" t="n"/>
      <c r="B6" s="235" t="n"/>
      <c r="C6" s="235" t="n"/>
      <c r="D6" s="235" t="n"/>
      <c r="E6" s="235" t="n"/>
      <c r="F6" s="235" t="n"/>
      <c r="G6" s="235" t="n"/>
    </row>
    <row r="7" ht="30" customHeight="1" s="313">
      <c r="A7" s="392" t="inlineStr">
        <is>
          <t>№ пп.</t>
        </is>
      </c>
      <c r="B7" s="392" t="inlineStr">
        <is>
          <t>Код ресурса</t>
        </is>
      </c>
      <c r="C7" s="392" t="inlineStr">
        <is>
          <t>Наименование</t>
        </is>
      </c>
      <c r="D7" s="392" t="inlineStr">
        <is>
          <t>Ед. изм.</t>
        </is>
      </c>
      <c r="E7" s="372" t="inlineStr">
        <is>
          <t>Кол-во единиц по проектным данным</t>
        </is>
      </c>
      <c r="F7" s="392" t="inlineStr">
        <is>
          <t>Сметная стоимость в ценах на 01.01.2000 (руб.)</t>
        </is>
      </c>
      <c r="G7" s="443" t="n"/>
    </row>
    <row r="8">
      <c r="A8" s="445" t="n"/>
      <c r="B8" s="445" t="n"/>
      <c r="C8" s="445" t="n"/>
      <c r="D8" s="445" t="n"/>
      <c r="E8" s="445" t="n"/>
      <c r="F8" s="372" t="inlineStr">
        <is>
          <t>на ед. изм.</t>
        </is>
      </c>
      <c r="G8" s="372" t="inlineStr">
        <is>
          <t>общая</t>
        </is>
      </c>
    </row>
    <row r="9">
      <c r="A9" s="372" t="n">
        <v>1</v>
      </c>
      <c r="B9" s="372" t="n">
        <v>2</v>
      </c>
      <c r="C9" s="372" t="n">
        <v>3</v>
      </c>
      <c r="D9" s="372" t="n">
        <v>4</v>
      </c>
      <c r="E9" s="372" t="n">
        <v>5</v>
      </c>
      <c r="F9" s="372" t="n">
        <v>6</v>
      </c>
      <c r="G9" s="372" t="n">
        <v>7</v>
      </c>
    </row>
    <row r="10" ht="15" customHeight="1" s="313">
      <c r="A10" s="226" t="n"/>
      <c r="B10" s="371" t="inlineStr">
        <is>
          <t>ИНЖЕНЕРНОЕ ОБОРУДОВАНИЕ</t>
        </is>
      </c>
      <c r="C10" s="442" t="n"/>
      <c r="D10" s="442" t="n"/>
      <c r="E10" s="442" t="n"/>
      <c r="F10" s="442" t="n"/>
      <c r="G10" s="443" t="n"/>
    </row>
    <row r="11" ht="20.25" customHeight="1" s="313">
      <c r="A11" s="372" t="n"/>
      <c r="B11" s="368" t="n"/>
      <c r="C11" s="371" t="inlineStr">
        <is>
          <t>ИТОГО ИНЖЕНЕРНОЕ ОБОРУДОВАНИЕ</t>
        </is>
      </c>
      <c r="D11" s="368" t="n"/>
      <c r="E11" s="148" t="n"/>
      <c r="F11" s="374" t="n"/>
      <c r="G11" s="374" t="n">
        <v>0</v>
      </c>
    </row>
    <row r="12" ht="15" customHeight="1" s="313">
      <c r="A12" s="372" t="n"/>
      <c r="B12" s="162" t="inlineStr">
        <is>
          <t>ТЕХНОЛОГИЧЕСКОЕ ОБОРУДОВАНИЕ</t>
        </is>
      </c>
      <c r="C12" s="448" t="n"/>
      <c r="D12" s="448" t="n"/>
      <c r="E12" s="448" t="n"/>
      <c r="F12" s="448" t="n"/>
      <c r="G12" s="449" t="n"/>
    </row>
    <row r="13">
      <c r="A13" s="372" t="n">
        <v>1</v>
      </c>
      <c r="B13" s="273">
        <f>'Прил.5 Расчет СМР и ОБ'!B31</f>
        <v/>
      </c>
      <c r="C13" s="342">
        <f>'Прил.5 Расчет СМР и ОБ'!C31</f>
        <v/>
      </c>
      <c r="D13" s="273">
        <f>'Прил.5 Расчет СМР и ОБ'!D31</f>
        <v/>
      </c>
      <c r="E13" s="343">
        <f>'Прил.5 Расчет СМР и ОБ'!E31</f>
        <v/>
      </c>
      <c r="F13" s="239">
        <f>'Прил.5 Расчет СМР и ОБ'!F31</f>
        <v/>
      </c>
      <c r="G13" s="239">
        <f>ROUND(E13*F13,2)</f>
        <v/>
      </c>
    </row>
    <row r="14" ht="25.5" customHeight="1" s="313">
      <c r="A14" s="372" t="n"/>
      <c r="B14" s="166" t="n"/>
      <c r="C14" s="166" t="inlineStr">
        <is>
          <t>ИТОГО ТЕХНОЛОГИЧЕСКОЕ ОБОРУДОВАНИЕ</t>
        </is>
      </c>
      <c r="D14" s="166" t="n"/>
      <c r="E14" s="167" t="n"/>
      <c r="F14" s="374" t="n"/>
      <c r="G14" s="239">
        <f>SUM(G13:G13)</f>
        <v/>
      </c>
    </row>
    <row r="15" ht="19.5" customHeight="1" s="313">
      <c r="A15" s="372" t="n"/>
      <c r="B15" s="371" t="n"/>
      <c r="C15" s="371" t="inlineStr">
        <is>
          <t>Всего по разделу «Оборудование»</t>
        </is>
      </c>
      <c r="D15" s="371" t="n"/>
      <c r="E15" s="269" t="n"/>
      <c r="F15" s="374" t="n"/>
      <c r="G15" s="239">
        <f>G11+G14</f>
        <v/>
      </c>
    </row>
    <row r="16">
      <c r="A16" s="274" t="n"/>
      <c r="B16" s="151" t="n"/>
      <c r="C16" s="274" t="n"/>
      <c r="D16" s="274" t="n"/>
      <c r="E16" s="274" t="n"/>
      <c r="F16" s="274" t="n"/>
      <c r="G16" s="274" t="n"/>
    </row>
    <row r="17" s="313">
      <c r="A17" s="235" t="inlineStr">
        <is>
          <t>Составил ______________________      Е. М. Добровольская</t>
        </is>
      </c>
      <c r="B17" s="258" t="n"/>
      <c r="C17" s="258" t="n"/>
      <c r="D17" s="274" t="n"/>
      <c r="E17" s="274" t="n"/>
      <c r="F17" s="274" t="n"/>
      <c r="G17" s="274" t="n"/>
    </row>
    <row r="18" s="313">
      <c r="A18" s="275" t="inlineStr">
        <is>
          <t xml:space="preserve">                         (подпись, инициалы, фамилия)</t>
        </is>
      </c>
      <c r="B18" s="258" t="n"/>
      <c r="C18" s="258" t="n"/>
      <c r="D18" s="274" t="n"/>
      <c r="E18" s="274" t="n"/>
      <c r="F18" s="274" t="n"/>
      <c r="G18" s="274" t="n"/>
    </row>
    <row r="19" s="313">
      <c r="A19" s="235" t="n"/>
      <c r="B19" s="258" t="n"/>
      <c r="C19" s="258" t="n"/>
      <c r="D19" s="274" t="n"/>
      <c r="E19" s="274" t="n"/>
      <c r="F19" s="274" t="n"/>
      <c r="G19" s="274" t="n"/>
    </row>
    <row r="20" s="313">
      <c r="A20" s="235" t="inlineStr">
        <is>
          <t>Проверил ______________________        А.В. Костянецкая</t>
        </is>
      </c>
      <c r="B20" s="258" t="n"/>
      <c r="C20" s="258" t="n"/>
      <c r="D20" s="274" t="n"/>
      <c r="E20" s="274" t="n"/>
      <c r="F20" s="274" t="n"/>
      <c r="G20" s="274" t="n"/>
    </row>
    <row r="21" s="313">
      <c r="A21" s="275" t="inlineStr">
        <is>
          <t xml:space="preserve">                        (подпись, инициалы, фамилия)</t>
        </is>
      </c>
      <c r="B21" s="258" t="n"/>
      <c r="C21" s="258" t="n"/>
      <c r="D21" s="274" t="n"/>
      <c r="E21" s="274" t="n"/>
      <c r="F21" s="274" t="n"/>
      <c r="G21" s="274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1.85546875" customWidth="1" style="313" min="1" max="1"/>
    <col width="29.7109375" customWidth="1" style="313" min="2" max="2"/>
    <col width="35" customWidth="1" style="313" min="3" max="3"/>
    <col width="27.5703125" customWidth="1" style="313" min="4" max="4"/>
    <col width="24.85546875" customWidth="1" style="313" min="5" max="5"/>
    <col width="8.85546875" customWidth="1" style="313" min="6" max="6"/>
  </cols>
  <sheetData>
    <row r="1">
      <c r="B1" s="235" t="n"/>
      <c r="C1" s="235" t="n"/>
      <c r="D1" s="391" t="inlineStr">
        <is>
          <t>Приложение №7</t>
        </is>
      </c>
    </row>
    <row r="2">
      <c r="A2" s="391" t="n"/>
      <c r="B2" s="391" t="n"/>
      <c r="C2" s="391" t="n"/>
      <c r="D2" s="391" t="n"/>
    </row>
    <row r="3" ht="24.75" customHeight="1" s="313">
      <c r="A3" s="347" t="inlineStr">
        <is>
          <t>Расчет показателя УНЦ</t>
        </is>
      </c>
    </row>
    <row r="4" ht="24.75" customHeight="1" s="313">
      <c r="A4" s="347" t="n"/>
      <c r="B4" s="347" t="n"/>
      <c r="C4" s="347" t="n"/>
      <c r="D4" s="347" t="n"/>
    </row>
    <row r="5" ht="63.75" customHeight="1" s="313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</f>
        <v/>
      </c>
    </row>
    <row r="6" ht="19.9" customHeight="1" s="313">
      <c r="A6" s="350">
        <f>'Прил.1 Сравнит табл'!B8</f>
        <v/>
      </c>
      <c r="D6" s="350" t="n"/>
    </row>
    <row r="7">
      <c r="A7" s="235" t="n"/>
      <c r="B7" s="235" t="n"/>
      <c r="C7" s="235" t="n"/>
      <c r="D7" s="235" t="n"/>
    </row>
    <row r="8" ht="14.45" customHeight="1" s="313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 ht="15" customHeight="1" s="313">
      <c r="A9" s="445" t="n"/>
      <c r="B9" s="445" t="n"/>
      <c r="C9" s="445" t="n"/>
      <c r="D9" s="445" t="n"/>
    </row>
    <row r="10">
      <c r="A10" s="372" t="n">
        <v>1</v>
      </c>
      <c r="B10" s="372" t="n">
        <v>2</v>
      </c>
      <c r="C10" s="372" t="n">
        <v>3</v>
      </c>
      <c r="D10" s="372" t="n">
        <v>4</v>
      </c>
    </row>
    <row r="11" ht="51" customHeight="1" s="313">
      <c r="A11" s="372" t="inlineStr">
        <is>
          <t>В5-03-2</t>
        </is>
      </c>
      <c r="B11" s="372" t="inlineStr">
        <is>
          <t>УНЦ ячейки выключателя ВУ 110 - 500 кВ без учета здания ЗРУ</t>
        </is>
      </c>
      <c r="C11" s="345">
        <f>D5</f>
        <v/>
      </c>
      <c r="D11" s="346">
        <f>'Прил.4 РМ'!C41/1000</f>
        <v/>
      </c>
      <c r="E11" s="177" t="n"/>
    </row>
    <row r="12">
      <c r="A12" s="274" t="n"/>
      <c r="B12" s="151" t="n"/>
      <c r="C12" s="274" t="n"/>
      <c r="D12" s="274" t="n"/>
    </row>
    <row r="13">
      <c r="A13" s="235" t="inlineStr">
        <is>
          <t>Составил ______________________        Е. М. Добровольская</t>
        </is>
      </c>
      <c r="B13" s="258" t="n"/>
      <c r="C13" s="258" t="n"/>
      <c r="D13" s="274" t="n"/>
    </row>
    <row r="14">
      <c r="A14" s="275" t="inlineStr">
        <is>
          <t xml:space="preserve">                         (подпись, инициалы, фамилия)</t>
        </is>
      </c>
      <c r="B14" s="258" t="n"/>
      <c r="C14" s="258" t="n"/>
      <c r="D14" s="274" t="n"/>
    </row>
    <row r="15">
      <c r="A15" s="235" t="n"/>
      <c r="B15" s="258" t="n"/>
      <c r="C15" s="258" t="n"/>
      <c r="D15" s="274" t="n"/>
    </row>
    <row r="16">
      <c r="A16" s="235" t="inlineStr">
        <is>
          <t>Проверил ______________________        А.В. Костянецкая</t>
        </is>
      </c>
      <c r="B16" s="258" t="n"/>
      <c r="C16" s="258" t="n"/>
      <c r="D16" s="274" t="n"/>
    </row>
    <row r="17">
      <c r="A17" s="275" t="inlineStr">
        <is>
          <t xml:space="preserve">                        (подпись, инициалы, фамилия)</t>
        </is>
      </c>
      <c r="B17" s="258" t="n"/>
      <c r="C17" s="258" t="n"/>
      <c r="D17" s="27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C24" sqref="C24"/>
    </sheetView>
  </sheetViews>
  <sheetFormatPr baseColWidth="8" defaultRowHeight="15"/>
  <cols>
    <col width="40.7109375" customWidth="1" style="313" min="2" max="2"/>
    <col width="37" customWidth="1" style="313" min="3" max="3"/>
    <col width="32" customWidth="1" style="313" min="4" max="4"/>
  </cols>
  <sheetData>
    <row r="4" ht="15.6" customHeight="1" s="313">
      <c r="B4" s="355" t="inlineStr">
        <is>
          <t>Приложение № 10</t>
        </is>
      </c>
    </row>
    <row r="5" ht="18" customHeight="1" s="313">
      <c r="B5" s="196" t="n"/>
    </row>
    <row r="6" ht="15.6" customHeight="1" s="313">
      <c r="B6" s="359" t="inlineStr">
        <is>
          <t>Используемые индексы изменений сметной стоимости и нормы сопутствующих затрат</t>
        </is>
      </c>
    </row>
    <row r="7" ht="18" customHeight="1" s="313">
      <c r="B7" s="279" t="n"/>
    </row>
    <row r="8" ht="46.9" customHeight="1" s="313">
      <c r="B8" s="362" t="inlineStr">
        <is>
          <t>Наименование индекса / норм сопутствующих затрат</t>
        </is>
      </c>
      <c r="C8" s="362" t="inlineStr">
        <is>
          <t>Дата применения и обоснование индекса / норм сопутствующих затрат</t>
        </is>
      </c>
      <c r="D8" s="362" t="inlineStr">
        <is>
          <t>Размер индекса / норма сопутствующих затрат</t>
        </is>
      </c>
    </row>
    <row r="9" ht="15.6" customHeight="1" s="313">
      <c r="B9" s="362" t="n">
        <v>1</v>
      </c>
      <c r="C9" s="362" t="n">
        <v>2</v>
      </c>
      <c r="D9" s="362" t="n">
        <v>3</v>
      </c>
    </row>
    <row r="10" ht="45" customHeight="1" s="313">
      <c r="B10" s="362" t="inlineStr">
        <is>
          <t xml:space="preserve">Индекс изменения сметной стоимости на 1 квартал 2023 года. ОЗП </t>
        </is>
      </c>
      <c r="C10" s="362" t="inlineStr">
        <is>
          <t>Письмо Минстроя России от 30.03.2023г. №17106-ИФ/09  прил.1</t>
        </is>
      </c>
      <c r="D10" s="362" t="n">
        <v>44.29</v>
      </c>
    </row>
    <row r="11" ht="29.25" customHeight="1" s="313">
      <c r="B11" s="362" t="inlineStr">
        <is>
          <t>Индекс изменения сметной стоимости на 1 квартал 2023 года. ЭМ</t>
        </is>
      </c>
      <c r="C11" s="362" t="inlineStr">
        <is>
          <t>Письмо Минстроя России от 30.03.2023г. №17106-ИФ/09  прил.1</t>
        </is>
      </c>
      <c r="D11" s="362" t="n">
        <v>13.47</v>
      </c>
    </row>
    <row r="12" ht="29.25" customHeight="1" s="313">
      <c r="B12" s="362" t="inlineStr">
        <is>
          <t>Индекс изменения сметной стоимости на 1 квартал 2023 года. МАТ</t>
        </is>
      </c>
      <c r="C12" s="362" t="inlineStr">
        <is>
          <t>Письмо Минстроя России от 30.03.2023г. №17106-ИФ/09  прил.1</t>
        </is>
      </c>
      <c r="D12" s="362" t="n">
        <v>8.039999999999999</v>
      </c>
    </row>
    <row r="13" ht="30.75" customHeight="1" s="313">
      <c r="B13" s="362" t="inlineStr">
        <is>
          <t>Индекс изменения сметной стоимости на 1 квартал 2023 года. ОБ</t>
        </is>
      </c>
      <c r="C13" s="281" t="inlineStr">
        <is>
          <t>Письмо Минстроя России от 23.02.2023г. №9791-ИФ/09 прил.6</t>
        </is>
      </c>
      <c r="D13" s="362" t="n">
        <v>6.26</v>
      </c>
    </row>
    <row r="14" ht="89.25" customHeight="1" s="313">
      <c r="B14" s="362" t="inlineStr">
        <is>
          <t>Временные здания и сооружения</t>
        </is>
      </c>
      <c r="C14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9" t="n">
        <v>0.039</v>
      </c>
    </row>
    <row r="15" ht="78" customHeight="1" s="313">
      <c r="B15" s="362" t="inlineStr">
        <is>
          <t>Дополнительные затраты при производстве строительно-монтажных работ в зимнее время</t>
        </is>
      </c>
      <c r="C15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9" t="n">
        <v>0.021</v>
      </c>
    </row>
    <row r="16" ht="15.75" customHeight="1" s="313">
      <c r="B16" s="362" t="inlineStr">
        <is>
          <t>Пусконаладочные работы</t>
        </is>
      </c>
      <c r="C16" s="362" t="n"/>
      <c r="D16" s="362" t="inlineStr">
        <is>
          <t>Расчет</t>
        </is>
      </c>
    </row>
    <row r="17" ht="31.5" customHeight="1" s="313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209" t="n">
        <v>0.0214</v>
      </c>
    </row>
    <row r="18" ht="31.5" customHeight="1" s="313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209" t="n">
        <v>0.002</v>
      </c>
    </row>
    <row r="19" ht="24" customHeight="1" s="313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209" t="n">
        <v>0.03</v>
      </c>
    </row>
    <row r="20" ht="18" customHeight="1" s="313">
      <c r="B20" s="279" t="n"/>
    </row>
    <row r="21" ht="18" customHeight="1" s="313">
      <c r="B21" s="279" t="n"/>
    </row>
    <row r="22" ht="18" customHeight="1" s="313">
      <c r="B22" s="279" t="n"/>
    </row>
    <row r="23" ht="18" customHeight="1" s="313">
      <c r="B23" s="279" t="n"/>
    </row>
    <row r="26">
      <c r="B26" s="235" t="inlineStr">
        <is>
          <t>Составил ______________________    Е. М. Добровольская</t>
        </is>
      </c>
      <c r="C26" s="258" t="n"/>
    </row>
    <row r="27">
      <c r="B27" s="275" t="inlineStr">
        <is>
          <t xml:space="preserve">                         (подпись, инициалы, фамилия)</t>
        </is>
      </c>
      <c r="C27" s="258" t="n"/>
    </row>
    <row r="28">
      <c r="B28" s="235" t="n"/>
      <c r="C28" s="258" t="n"/>
    </row>
    <row r="29">
      <c r="B29" s="235" t="inlineStr">
        <is>
          <t>Проверил ______________________        А.В. Костянецкая</t>
        </is>
      </c>
      <c r="C29" s="258" t="n"/>
    </row>
    <row r="30">
      <c r="B30" s="275" t="inlineStr">
        <is>
          <t xml:space="preserve">                        (подпись, инициалы, фамилия)</t>
        </is>
      </c>
      <c r="C30" s="25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A26" sqref="B26"/>
    </sheetView>
  </sheetViews>
  <sheetFormatPr baseColWidth="8" defaultColWidth="9.140625" defaultRowHeight="15"/>
  <cols>
    <col width="9.140625" customWidth="1" style="313" min="1" max="1"/>
    <col width="44.85546875" customWidth="1" style="313" min="2" max="2"/>
    <col width="13" customWidth="1" style="313" min="3" max="3"/>
    <col width="22.85546875" customWidth="1" style="313" min="4" max="4"/>
    <col width="21.5703125" customWidth="1" style="313" min="5" max="5"/>
    <col width="43.85546875" customWidth="1" style="313" min="6" max="6"/>
    <col width="9.140625" customWidth="1" style="313" min="7" max="7"/>
  </cols>
  <sheetData>
    <row r="2" ht="15.6" customHeight="1" s="313">
      <c r="A2" s="39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13">
      <c r="A4" s="179" t="inlineStr">
        <is>
          <t>Составлен в уровне цен на 01.01.2023 г.</t>
        </is>
      </c>
    </row>
    <row r="5">
      <c r="A5" s="419" t="inlineStr">
        <is>
          <t>№ пп.</t>
        </is>
      </c>
      <c r="B5" s="419" t="inlineStr">
        <is>
          <t>Наименование элемента</t>
        </is>
      </c>
      <c r="C5" s="419" t="inlineStr">
        <is>
          <t>Обозначение</t>
        </is>
      </c>
      <c r="D5" s="419" t="inlineStr">
        <is>
          <t>Формула</t>
        </is>
      </c>
      <c r="E5" s="419" t="inlineStr">
        <is>
          <t>Величина элемента</t>
        </is>
      </c>
      <c r="F5" s="419" t="inlineStr">
        <is>
          <t>Наименования обосновывающих документов</t>
        </is>
      </c>
    </row>
    <row r="6">
      <c r="A6" s="419" t="n">
        <v>1</v>
      </c>
      <c r="B6" s="419" t="n">
        <v>2</v>
      </c>
      <c r="C6" s="419" t="n">
        <v>3</v>
      </c>
      <c r="D6" s="419" t="n">
        <v>4</v>
      </c>
      <c r="E6" s="419" t="n">
        <v>5</v>
      </c>
      <c r="F6" s="419" t="n">
        <v>6</v>
      </c>
    </row>
    <row r="7" ht="86.45" customHeight="1" s="313">
      <c r="A7" s="181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8" t="inlineStr">
        <is>
          <t>С1ср</t>
        </is>
      </c>
      <c r="D7" s="418" t="inlineStr">
        <is>
          <t>-</t>
        </is>
      </c>
      <c r="E7" s="206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28.9" customHeight="1" s="313">
      <c r="A8" s="181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418" t="inlineStr">
        <is>
          <t>tср</t>
        </is>
      </c>
      <c r="D8" s="418" t="inlineStr">
        <is>
          <t>1973ч/12мес.</t>
        </is>
      </c>
      <c r="E8" s="206">
        <f>1973/12</f>
        <v/>
      </c>
      <c r="F8" s="207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207" t="inlineStr">
        <is>
          <t>Коэффициент увеличения</t>
        </is>
      </c>
      <c r="C9" s="418" t="inlineStr">
        <is>
          <t>Кув</t>
        </is>
      </c>
      <c r="D9" s="418" t="inlineStr">
        <is>
          <t>-</t>
        </is>
      </c>
      <c r="E9" s="206" t="n">
        <v>1</v>
      </c>
      <c r="F9" s="207" t="n"/>
      <c r="G9" s="188" t="n"/>
    </row>
    <row r="10">
      <c r="A10" s="181" t="inlineStr">
        <is>
          <t>1.4</t>
        </is>
      </c>
      <c r="B10" s="207" t="inlineStr">
        <is>
          <t>Средний разряд работ</t>
        </is>
      </c>
      <c r="C10" s="418" t="n"/>
      <c r="D10" s="418" t="n"/>
      <c r="E10" s="189" t="n">
        <v>4</v>
      </c>
      <c r="F10" s="207" t="inlineStr">
        <is>
          <t>РТМ</t>
        </is>
      </c>
      <c r="G10" s="188" t="n"/>
    </row>
    <row r="11" ht="57.6" customHeight="1" s="313">
      <c r="A11" s="181" t="inlineStr">
        <is>
          <t>1.5</t>
        </is>
      </c>
      <c r="B11" s="207" t="inlineStr">
        <is>
          <t>Тарифный коэффициент среднего разряда работ</t>
        </is>
      </c>
      <c r="C11" s="418" t="inlineStr">
        <is>
          <t>КТ</t>
        </is>
      </c>
      <c r="D11" s="418" t="inlineStr">
        <is>
          <t>-</t>
        </is>
      </c>
      <c r="E11" s="190" t="n">
        <v>1.34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2" customHeight="1" s="313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18" t="inlineStr">
        <is>
          <t>Кинф</t>
        </is>
      </c>
      <c r="D12" s="418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57.6" customHeight="1" s="313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18" t="inlineStr">
        <is>
          <t>ФОТр.тек.</t>
        </is>
      </c>
      <c r="D13" s="418" t="inlineStr">
        <is>
          <t>(С1ср/tср*КТ*Т*Кув)*Кинф</t>
        </is>
      </c>
      <c r="E13" s="195">
        <f>((E7*E9/E8)*E11)*E12</f>
        <v/>
      </c>
      <c r="F13" s="2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2025-01-24T11:55:18Z</dcterms:modified>
  <cp:lastModifiedBy>Danil</cp:lastModifiedBy>
  <cp:lastPrinted>2023-11-27T09:10:12Z</cp:lastPrinted>
</cp:coreProperties>
</file>