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РМ'!$B$6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1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0.0_ ;\-0.0\ "/>
    <numFmt numFmtId="173" formatCode="#,##0.00_ ;\-#,##0.00\ "/>
    <numFmt numFmtId="174" formatCode="#,##0.0000_ ;\-#,##0.0000\ 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1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71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172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73" fontId="21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2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0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0" fillId="0" borderId="0" pivotButton="0" quotePrefix="0" xfId="0"/>
    <xf numFmtId="174" fontId="2" fillId="0" borderId="1" applyAlignment="1" pivotButton="0" quotePrefix="0" xfId="0">
      <alignment vertical="center" wrapText="1"/>
    </xf>
    <xf numFmtId="49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top" wrapText="1"/>
    </xf>
    <xf numFmtId="169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pivotButton="0" quotePrefix="0" xfId="0"/>
    <xf numFmtId="0" fontId="19" fillId="0" borderId="1" applyAlignment="1" pivotButton="0" quotePrefix="1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167" fontId="23" fillId="0" borderId="1" applyAlignment="1" pivotButton="0" quotePrefix="0" xfId="0">
      <alignment vertical="center" wrapText="1"/>
    </xf>
    <xf numFmtId="167" fontId="23" fillId="0" borderId="1" applyAlignment="1" pivotButton="0" quotePrefix="0" xfId="0">
      <alignment vertical="center" wrapText="1"/>
    </xf>
    <xf numFmtId="0" fontId="19" fillId="0" borderId="12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right" vertical="center" wrapText="1"/>
    </xf>
    <xf numFmtId="4" fontId="19" fillId="0" borderId="0" applyAlignment="1" pivotButton="0" quotePrefix="0" xfId="0">
      <alignment vertical="center" wrapText="1"/>
    </xf>
    <xf numFmtId="4" fontId="19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left" vertical="center" wrapText="1"/>
    </xf>
    <xf numFmtId="4" fontId="19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6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19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20" applyAlignment="1" pivotButton="0" quotePrefix="0" xfId="0">
      <alignment horizontal="center" wrapText="1"/>
    </xf>
    <xf numFmtId="0" fontId="0" fillId="0" borderId="21" applyAlignment="1" pivotButton="0" quotePrefix="0" xfId="0">
      <alignment horizontal="center" wrapText="1"/>
    </xf>
    <xf numFmtId="0" fontId="0" fillId="0" borderId="2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6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6" pivotButton="0" quotePrefix="0" xfId="0"/>
    <xf numFmtId="0" fontId="0" fillId="0" borderId="12" pivotButton="0" quotePrefix="0" xfId="0"/>
    <xf numFmtId="0" fontId="0" fillId="0" borderId="4" pivotButton="0" quotePrefix="0" xfId="0"/>
    <xf numFmtId="0" fontId="2" fillId="0" borderId="12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8" pivotButton="0" quotePrefix="0" xfId="0"/>
    <xf numFmtId="0" fontId="0" fillId="0" borderId="1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tabSelected="1" view="pageBreakPreview" topLeftCell="A10" zoomScale="60" zoomScaleNormal="85" workbookViewId="0">
      <selection activeCell="C28" sqref="C28"/>
    </sheetView>
  </sheetViews>
  <sheetFormatPr baseColWidth="8" defaultRowHeight="15"/>
  <cols>
    <col width="36.85546875" customWidth="1" style="345" min="3" max="3"/>
    <col width="39.42578125" customWidth="1" style="345" min="4" max="4"/>
    <col width="14.28515625" customWidth="1" style="345" min="7" max="7"/>
    <col width="15" customWidth="1" style="345" min="10" max="10"/>
  </cols>
  <sheetData>
    <row r="2" ht="15.75" customHeight="1" s="345">
      <c r="B2" s="366" t="inlineStr">
        <is>
          <t>Приложение № 1</t>
        </is>
      </c>
    </row>
    <row r="3" ht="18.75" customHeight="1" s="345">
      <c r="B3" s="367" t="inlineStr">
        <is>
          <t>Сравнительная таблица отбора объекта-представителя</t>
        </is>
      </c>
    </row>
    <row r="4" ht="84" customHeight="1" s="345">
      <c r="B4" s="3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345">
      <c r="B5" s="303" t="n"/>
      <c r="C5" s="303" t="n"/>
      <c r="D5" s="303" t="n"/>
    </row>
    <row r="6" ht="64.5" customHeight="1" s="345">
      <c r="B6" s="369" t="inlineStr">
        <is>
          <t xml:space="preserve">Наименование разрабатываемого показателя УНЦ - </t>
        </is>
      </c>
      <c r="D6" s="343">
        <f>'Прил.5 Расчет СМР и ОБ'!D6</f>
        <v/>
      </c>
    </row>
    <row r="7" ht="31.5" customHeight="1" s="345">
      <c r="B7" s="365" t="inlineStr">
        <is>
          <t>Сопоставимый уровень цен: 4 кв. 2012 г</t>
        </is>
      </c>
    </row>
    <row r="8" ht="15.75" customHeight="1" s="345">
      <c r="B8" s="365" t="inlineStr">
        <is>
          <t>Единица измерения  — 1 ячейка</t>
        </is>
      </c>
    </row>
    <row r="9" ht="18.75" customHeight="1" s="345">
      <c r="B9" s="278" t="n"/>
    </row>
    <row r="10" ht="15.75" customHeight="1" s="345">
      <c r="B10" s="373" t="inlineStr">
        <is>
          <t>№ п/п</t>
        </is>
      </c>
      <c r="C10" s="373" t="inlineStr">
        <is>
          <t>Параметр</t>
        </is>
      </c>
      <c r="D10" s="373" t="inlineStr">
        <is>
          <t>Объект-представитель</t>
        </is>
      </c>
    </row>
    <row r="11" ht="31.5" customHeight="1" s="345">
      <c r="B11" s="373" t="n">
        <v>1</v>
      </c>
      <c r="C11" s="334" t="inlineStr">
        <is>
          <t>Наименование объекта-представителя</t>
        </is>
      </c>
      <c r="D11" s="340" t="inlineStr">
        <is>
          <t xml:space="preserve"> ПС 330кВ Кисловодск с заходами ВЛ 330 кВ</t>
        </is>
      </c>
    </row>
    <row r="12" ht="31.5" customHeight="1" s="345">
      <c r="B12" s="373" t="n">
        <v>2</v>
      </c>
      <c r="C12" s="334" t="inlineStr">
        <is>
          <t>Наименование субъекта Российской Федерации</t>
        </is>
      </c>
      <c r="D12" s="340" t="inlineStr">
        <is>
          <t>Ставропольский край</t>
        </is>
      </c>
    </row>
    <row r="13" ht="15.75" customHeight="1" s="345">
      <c r="B13" s="373" t="n">
        <v>3</v>
      </c>
      <c r="C13" s="334" t="inlineStr">
        <is>
          <t>Климатический район и подрайон</t>
        </is>
      </c>
      <c r="D13" s="373" t="inlineStr">
        <is>
          <t>IVГ</t>
        </is>
      </c>
    </row>
    <row r="14" ht="15.75" customHeight="1" s="345">
      <c r="B14" s="373" t="n">
        <v>4</v>
      </c>
      <c r="C14" s="334" t="inlineStr">
        <is>
          <t>Мощность объекта</t>
        </is>
      </c>
      <c r="D14" s="373" t="n">
        <v>4</v>
      </c>
    </row>
    <row r="15" ht="94.5" customHeight="1" s="345">
      <c r="B15" s="373" t="n">
        <v>5</v>
      </c>
      <c r="C15" s="28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73" t="inlineStr">
        <is>
          <t>Схема РУ 330-7
Марка КРУЭ - АББ</t>
        </is>
      </c>
    </row>
    <row r="16" ht="78.75" customHeight="1" s="345">
      <c r="B16" s="373" t="n">
        <v>6</v>
      </c>
      <c r="C16" s="28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322">
        <f>D17+D18+D19+D20</f>
        <v/>
      </c>
    </row>
    <row r="17" ht="15.75" customHeight="1" s="345">
      <c r="B17" s="321" t="inlineStr">
        <is>
          <t>6.1</t>
        </is>
      </c>
      <c r="C17" s="334" t="inlineStr">
        <is>
          <t>строительно-монтажные работы</t>
        </is>
      </c>
      <c r="D17" s="322">
        <f>'Прил.2 Расч стоим'!G13+'Прил.2 Расч стоим'!F13</f>
        <v/>
      </c>
    </row>
    <row r="18" ht="15.75" customHeight="1" s="345">
      <c r="B18" s="321" t="inlineStr">
        <is>
          <t>6.2</t>
        </is>
      </c>
      <c r="C18" s="334" t="inlineStr">
        <is>
          <t>оборудование и инвентарь</t>
        </is>
      </c>
      <c r="D18" s="322">
        <f>'Прил.2 Расч стоим'!H13</f>
        <v/>
      </c>
    </row>
    <row r="19" ht="15.75" customHeight="1" s="345">
      <c r="B19" s="321" t="inlineStr">
        <is>
          <t>6.3</t>
        </is>
      </c>
      <c r="C19" s="334" t="inlineStr">
        <is>
          <t>пусконаладочные работы</t>
        </is>
      </c>
      <c r="D19" s="322" t="n"/>
    </row>
    <row r="20" ht="15.75" customHeight="1" s="345">
      <c r="B20" s="321" t="inlineStr">
        <is>
          <t>6.4</t>
        </is>
      </c>
      <c r="C20" s="334" t="inlineStr">
        <is>
          <t>прочие и лимитированные затраты</t>
        </is>
      </c>
      <c r="D20" s="322">
        <f>'Прил.2 Расч стоим'!I13</f>
        <v/>
      </c>
    </row>
    <row r="21" ht="15.75" customHeight="1" s="345">
      <c r="B21" s="373" t="n">
        <v>7</v>
      </c>
      <c r="C21" s="334" t="inlineStr">
        <is>
          <t>Сопоставимый уровень цен</t>
        </is>
      </c>
      <c r="D21" s="321" t="inlineStr">
        <is>
          <t>4 кв. 2012 г</t>
        </is>
      </c>
      <c r="G21" s="315" t="n"/>
    </row>
    <row r="22" ht="110.25" customHeight="1" s="345">
      <c r="B22" s="373" t="n">
        <v>8</v>
      </c>
      <c r="C22" s="2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322">
        <f>D16</f>
        <v/>
      </c>
    </row>
    <row r="23" ht="47.25" customHeight="1" s="345">
      <c r="B23" s="373" t="n">
        <v>9</v>
      </c>
      <c r="C23" s="280" t="inlineStr">
        <is>
          <t>Приведенная сметная стоимость на единицу мощности, тыс. руб. (строка 8/строку 4)</t>
        </is>
      </c>
      <c r="D23" s="322">
        <f>D22/D14</f>
        <v/>
      </c>
      <c r="G23" s="315" t="n"/>
    </row>
    <row r="24" hidden="1" ht="110.25" customHeight="1" s="345">
      <c r="B24" s="373" t="n">
        <v>10</v>
      </c>
      <c r="C24" s="334" t="inlineStr">
        <is>
          <t>Примечание</t>
        </is>
      </c>
      <c r="D24" s="334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345">
      <c r="B25" s="308" t="n"/>
      <c r="C25" s="309" t="n"/>
      <c r="D25" s="309" t="n"/>
    </row>
    <row r="26">
      <c r="B26" s="346" t="inlineStr">
        <is>
          <t>Составил ______________________        Е. М. Добровольская</t>
        </is>
      </c>
      <c r="C26" s="356" t="n"/>
    </row>
    <row r="27">
      <c r="B27" s="357" t="inlineStr">
        <is>
          <t xml:space="preserve">                         (подпись, инициалы, фамилия)</t>
        </is>
      </c>
      <c r="C27" s="356" t="n"/>
    </row>
    <row r="28">
      <c r="B28" s="346" t="n"/>
      <c r="C28" s="356" t="n"/>
    </row>
    <row r="29">
      <c r="B29" s="346" t="inlineStr">
        <is>
          <t>Проверил ______________________        А.В. Костянецкая</t>
        </is>
      </c>
      <c r="C29" s="356" t="n"/>
    </row>
    <row r="30">
      <c r="B30" s="357" t="inlineStr">
        <is>
          <t xml:space="preserve">                        (подпись, инициалы, фамилия)</t>
        </is>
      </c>
      <c r="C30" s="356" t="n"/>
    </row>
    <row r="31" ht="15.75" customHeight="1" s="345">
      <c r="B31" s="309" t="n"/>
      <c r="C31" s="309" t="n"/>
      <c r="D31" s="309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1"/>
  <sheetViews>
    <sheetView view="pageBreakPreview" zoomScale="60" zoomScaleNormal="85" workbookViewId="0">
      <selection activeCell="F19" sqref="F19"/>
    </sheetView>
  </sheetViews>
  <sheetFormatPr baseColWidth="8" defaultRowHeight="15"/>
  <cols>
    <col width="5.5703125" customWidth="1" style="345" min="1" max="1"/>
    <col width="44.85546875" customWidth="1" style="345" min="3" max="3"/>
    <col width="13.85546875" customWidth="1" style="345" min="4" max="4"/>
    <col width="17.42578125" customWidth="1" style="345" min="5" max="5"/>
    <col width="12.7109375" customWidth="1" style="345" min="6" max="6"/>
    <col width="14.85546875" customWidth="1" style="345" min="7" max="7"/>
    <col width="16.7109375" customWidth="1" style="345" min="8" max="8"/>
    <col width="13" customWidth="1" style="345" min="9" max="10"/>
    <col width="18" customWidth="1" style="345" min="11" max="11"/>
  </cols>
  <sheetData>
    <row r="3" ht="15.75" customHeight="1" s="345">
      <c r="B3" s="366" t="inlineStr">
        <is>
          <t>Приложение № 2</t>
        </is>
      </c>
    </row>
    <row r="4" ht="15.75" customHeight="1" s="345">
      <c r="B4" s="371" t="inlineStr">
        <is>
          <t>Расчет стоимости основных видов работ для выбора объекта-представителя</t>
        </is>
      </c>
    </row>
    <row r="5" ht="15.75" customHeight="1" s="345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345">
      <c r="B6" s="372" t="inlineStr">
        <is>
          <t xml:space="preserve">Наименование разрабатываемого показателя УНЦ - </t>
        </is>
      </c>
      <c r="D6" s="344">
        <f>'Прил.5 Расчет СМР и ОБ'!D6</f>
        <v/>
      </c>
      <c r="E6" s="308" t="n"/>
      <c r="F6" s="308" t="n"/>
      <c r="G6" s="308" t="n"/>
      <c r="H6" s="308" t="n"/>
      <c r="I6" s="308" t="n"/>
      <c r="J6" s="308" t="n"/>
      <c r="K6" s="308" t="n"/>
    </row>
    <row r="7" ht="15.75" customHeight="1" s="345">
      <c r="B7" s="365">
        <f>'Прил.1 Сравнит табл'!B8</f>
        <v/>
      </c>
    </row>
    <row r="8" ht="18.75" customHeight="1" s="345">
      <c r="B8" s="278" t="n"/>
    </row>
    <row r="9" ht="15.75" customHeight="1" s="345">
      <c r="B9" s="373" t="inlineStr">
        <is>
          <t>№ п/п</t>
        </is>
      </c>
      <c r="C9" s="3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3" t="inlineStr">
        <is>
          <t>Объект-представитель 1</t>
        </is>
      </c>
      <c r="E9" s="453" t="n"/>
      <c r="F9" s="453" t="n"/>
      <c r="G9" s="453" t="n"/>
      <c r="H9" s="453" t="n"/>
      <c r="I9" s="453" t="n"/>
      <c r="J9" s="454" t="n"/>
    </row>
    <row r="10" ht="15.75" customHeight="1" s="345">
      <c r="B10" s="455" t="n"/>
      <c r="C10" s="455" t="n"/>
      <c r="D10" s="373" t="inlineStr">
        <is>
          <t>Номер сметы</t>
        </is>
      </c>
      <c r="E10" s="373" t="inlineStr">
        <is>
          <t>Наименование сметы</t>
        </is>
      </c>
      <c r="F10" s="373" t="inlineStr">
        <is>
          <t>Сметная стоимость в уровне цен 4 кв. 2012 г., тыс. руб.</t>
        </is>
      </c>
      <c r="G10" s="453" t="n"/>
      <c r="H10" s="453" t="n"/>
      <c r="I10" s="453" t="n"/>
      <c r="J10" s="454" t="n"/>
    </row>
    <row r="11" ht="58.5" customHeight="1" s="345">
      <c r="B11" s="456" t="n"/>
      <c r="C11" s="456" t="n"/>
      <c r="D11" s="456" t="n"/>
      <c r="E11" s="456" t="n"/>
      <c r="F11" s="373" t="inlineStr">
        <is>
          <t>Строительные работы</t>
        </is>
      </c>
      <c r="G11" s="373" t="inlineStr">
        <is>
          <t>Монтажные работы</t>
        </is>
      </c>
      <c r="H11" s="373" t="inlineStr">
        <is>
          <t>Оборудование</t>
        </is>
      </c>
      <c r="I11" s="373" t="inlineStr">
        <is>
          <t>Прочее</t>
        </is>
      </c>
      <c r="J11" s="373" t="inlineStr">
        <is>
          <t>Всего</t>
        </is>
      </c>
    </row>
    <row r="12" ht="31.5" customHeight="1" s="345">
      <c r="B12" s="332" t="n">
        <v>1</v>
      </c>
      <c r="C12" s="339">
        <f>'Прил.1 Сравнит табл'!D15</f>
        <v/>
      </c>
      <c r="D12" s="333" t="inlineStr">
        <is>
          <t>02-02-05</t>
        </is>
      </c>
      <c r="E12" s="334" t="inlineStr">
        <is>
          <t>Электромонтажные работы</t>
        </is>
      </c>
      <c r="F12" s="335" t="n"/>
      <c r="G12" s="335" t="n">
        <v>640.7222400000001</v>
      </c>
      <c r="H12" s="335" t="n">
        <v>217740</v>
      </c>
      <c r="I12" s="335" t="n"/>
      <c r="J12" s="336">
        <f>SUM(F12:I12)</f>
        <v/>
      </c>
    </row>
    <row r="13" ht="15.75" customHeight="1" s="345">
      <c r="B13" s="370" t="inlineStr">
        <is>
          <t>Всего по объекту:</t>
        </is>
      </c>
      <c r="C13" s="453" t="n"/>
      <c r="D13" s="453" t="n"/>
      <c r="E13" s="454" t="n"/>
      <c r="F13" s="338">
        <f>SUM(F12:F12)</f>
        <v/>
      </c>
      <c r="G13" s="338">
        <f>SUM(G12:G12)</f>
        <v/>
      </c>
      <c r="H13" s="338">
        <f>SUM(H12:H12)</f>
        <v/>
      </c>
      <c r="I13" s="338">
        <f>(F13+G13)*3.9%+((F13+G13)*3.9%+F13+G13)*1.2%*0.6</f>
        <v/>
      </c>
      <c r="J13" s="338">
        <f>SUM(F13:I13)</f>
        <v/>
      </c>
    </row>
    <row r="14" ht="15.75" customHeight="1" s="345">
      <c r="B14" s="370" t="inlineStr">
        <is>
          <t>Всего по объекту в сопоставимом уровне цен 4 кв. 2012г:</t>
        </is>
      </c>
      <c r="C14" s="453" t="n"/>
      <c r="D14" s="453" t="n"/>
      <c r="E14" s="454" t="n"/>
      <c r="F14" s="338">
        <f>F13</f>
        <v/>
      </c>
      <c r="G14" s="338">
        <f>G13</f>
        <v/>
      </c>
      <c r="H14" s="338">
        <f>H13</f>
        <v/>
      </c>
      <c r="I14" s="338">
        <f>(F14+G14)*3.9%+((F14+G14)*3.9%+F14+G14)*1.2%*0.6</f>
        <v/>
      </c>
      <c r="J14" s="338">
        <f>SUM(F14:I14)</f>
        <v/>
      </c>
    </row>
    <row r="15">
      <c r="D15" s="356" t="n"/>
    </row>
    <row r="16">
      <c r="D16" s="356" t="n"/>
    </row>
    <row r="17">
      <c r="B17" s="346" t="inlineStr">
        <is>
          <t>Составил ______________________        Е. М. Добровольская</t>
        </is>
      </c>
    </row>
    <row r="18">
      <c r="B18" s="357" t="inlineStr">
        <is>
          <t xml:space="preserve">                         (подпись, инициалы, фамилия)</t>
        </is>
      </c>
    </row>
    <row r="19">
      <c r="B19" s="346" t="n"/>
    </row>
    <row r="20">
      <c r="B20" s="346" t="inlineStr">
        <is>
          <t>Проверил ______________________        А.В. Костянецкая</t>
        </is>
      </c>
    </row>
    <row r="21">
      <c r="B21" s="357" t="inlineStr">
        <is>
          <t xml:space="preserve">                        (подпись, инициалы, фамилия)</t>
        </is>
      </c>
    </row>
  </sheetData>
  <mergeCells count="12">
    <mergeCell ref="B6:C6"/>
    <mergeCell ref="D10:D11"/>
    <mergeCell ref="B4:K4"/>
    <mergeCell ref="D9:J9"/>
    <mergeCell ref="B13:E13"/>
    <mergeCell ref="F10:J10"/>
    <mergeCell ref="B7:K7"/>
    <mergeCell ref="B9:B11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1"/>
  <sheetViews>
    <sheetView view="pageBreakPreview" topLeftCell="A28" workbookViewId="0">
      <selection activeCell="A34" sqref="A34:XFD34"/>
    </sheetView>
  </sheetViews>
  <sheetFormatPr baseColWidth="8" defaultRowHeight="15"/>
  <cols>
    <col width="11.140625" customWidth="1" style="345" min="1" max="1"/>
    <col width="14.7109375" customWidth="1" style="345" min="2" max="2"/>
    <col width="21.42578125" customWidth="1" style="345" min="3" max="3"/>
    <col width="49.7109375" customWidth="1" style="345" min="4" max="4"/>
    <col width="16.28515625" customWidth="1" style="345" min="5" max="5"/>
    <col width="20.7109375" customWidth="1" style="345" min="6" max="6"/>
    <col width="16.140625" customWidth="1" style="345" min="7" max="7"/>
    <col width="16.7109375" customWidth="1" style="345" min="8" max="8"/>
    <col width="11.140625" customWidth="1" style="345" min="9" max="9"/>
    <col width="9.28515625" customWidth="1" style="345" min="10" max="10"/>
    <col width="13" customWidth="1" style="345" min="11" max="11"/>
    <col width="9.140625" customWidth="1" style="345" min="12" max="12"/>
  </cols>
  <sheetData>
    <row r="2" ht="15.75" customHeight="1" s="345">
      <c r="A2" s="366" t="inlineStr">
        <is>
          <t xml:space="preserve">Приложение № 3 </t>
        </is>
      </c>
    </row>
    <row r="3" ht="18.75" customHeight="1" s="345">
      <c r="A3" s="367" t="inlineStr">
        <is>
          <t>Объектная ресурсная ведомость</t>
        </is>
      </c>
    </row>
    <row r="4" ht="18.75" customHeight="1" s="345">
      <c r="A4" s="367" t="n"/>
      <c r="B4" s="367" t="n"/>
      <c r="C4" s="367" t="n"/>
      <c r="D4" s="367" t="n"/>
      <c r="E4" s="367" t="n"/>
      <c r="F4" s="367" t="n"/>
      <c r="G4" s="367" t="n"/>
      <c r="H4" s="367" t="n"/>
    </row>
    <row r="5">
      <c r="B5" s="313" t="n"/>
    </row>
    <row r="6" ht="18.75" customHeight="1" s="345">
      <c r="A6" s="367" t="n"/>
      <c r="B6" s="367" t="n"/>
      <c r="C6" s="378" t="n"/>
    </row>
    <row r="7" ht="32.25" customHeight="1" s="345">
      <c r="A7" s="374" t="inlineStr">
        <is>
          <t xml:space="preserve">Наименование разрабатываемого показателя УНЦ - </t>
        </is>
      </c>
      <c r="D7" s="375">
        <f>'Прил.5 Расчет СМР и ОБ'!D6</f>
        <v/>
      </c>
    </row>
    <row r="8" ht="21.75" customHeight="1" s="345">
      <c r="A8" s="201" t="n"/>
      <c r="B8" s="201" t="n"/>
      <c r="C8" s="201" t="n"/>
      <c r="D8" s="201" t="n"/>
      <c r="E8" s="201" t="n"/>
      <c r="F8" s="201" t="n"/>
      <c r="G8" s="201" t="n"/>
      <c r="H8" s="275" t="n"/>
    </row>
    <row r="9" ht="38.25" customHeight="1" s="345">
      <c r="A9" s="373" t="inlineStr">
        <is>
          <t>п/п</t>
        </is>
      </c>
      <c r="B9" s="373" t="inlineStr">
        <is>
          <t>№ЛСР</t>
        </is>
      </c>
      <c r="C9" s="373" t="inlineStr">
        <is>
          <t>Код ресурса</t>
        </is>
      </c>
      <c r="D9" s="373" t="inlineStr">
        <is>
          <t>Наименование ресурса</t>
        </is>
      </c>
      <c r="E9" s="373" t="inlineStr">
        <is>
          <t>Ед. изм.</t>
        </is>
      </c>
      <c r="F9" s="373" t="inlineStr">
        <is>
          <t>Кол-во единиц по данным объекта-представителя</t>
        </is>
      </c>
      <c r="G9" s="373" t="inlineStr">
        <is>
          <t>Сметная стоимость в ценах на 01.01.2000 (руб.)</t>
        </is>
      </c>
      <c r="H9" s="454" t="n"/>
    </row>
    <row r="10" ht="40.5" customHeight="1" s="345">
      <c r="A10" s="456" t="n"/>
      <c r="B10" s="456" t="n"/>
      <c r="C10" s="456" t="n"/>
      <c r="D10" s="456" t="n"/>
      <c r="E10" s="456" t="n"/>
      <c r="F10" s="456" t="n"/>
      <c r="G10" s="373" t="inlineStr">
        <is>
          <t>на ед.изм.</t>
        </is>
      </c>
      <c r="H10" s="373" t="inlineStr">
        <is>
          <t>общая</t>
        </is>
      </c>
    </row>
    <row r="11" ht="15.75" customHeight="1" s="345">
      <c r="A11" s="373" t="n">
        <v>1</v>
      </c>
      <c r="B11" s="221" t="n"/>
      <c r="C11" s="373" t="n">
        <v>2</v>
      </c>
      <c r="D11" s="373" t="inlineStr">
        <is>
          <t>З</t>
        </is>
      </c>
      <c r="E11" s="373" t="n">
        <v>4</v>
      </c>
      <c r="F11" s="373" t="n">
        <v>5</v>
      </c>
      <c r="G11" s="221" t="n">
        <v>6</v>
      </c>
      <c r="H11" s="221" t="n">
        <v>7</v>
      </c>
    </row>
    <row r="12" ht="15" customHeight="1" s="345">
      <c r="A12" s="376" t="inlineStr">
        <is>
          <t>Затраты труда рабочих</t>
        </is>
      </c>
      <c r="B12" s="453" t="n"/>
      <c r="C12" s="453" t="n"/>
      <c r="D12" s="453" t="n"/>
      <c r="E12" s="453" t="n"/>
      <c r="F12" s="320">
        <f>SUM(F13:F14)</f>
        <v/>
      </c>
      <c r="G12" s="223" t="n"/>
      <c r="H12" s="222">
        <f>SUM(H13:H14)</f>
        <v/>
      </c>
      <c r="J12" s="281" t="n"/>
    </row>
    <row r="13">
      <c r="A13" s="216" t="n">
        <v>1</v>
      </c>
      <c r="B13" s="276" t="n"/>
      <c r="C13" s="216" t="inlineStr">
        <is>
          <t>1-5-0</t>
        </is>
      </c>
      <c r="D13" s="217" t="inlineStr">
        <is>
          <t>Затраты труда рабочих (ср 5)</t>
        </is>
      </c>
      <c r="E13" s="403" t="inlineStr">
        <is>
          <t>чел.-ч</t>
        </is>
      </c>
      <c r="F13" s="318" t="n">
        <v>1285.82</v>
      </c>
      <c r="G13" s="214" t="n">
        <v>11.09</v>
      </c>
      <c r="H13" s="214">
        <f>ROUND(F13*G13,2)</f>
        <v/>
      </c>
    </row>
    <row r="14">
      <c r="A14" s="324">
        <f>A13+1</f>
        <v/>
      </c>
      <c r="B14" s="276" t="n"/>
      <c r="C14" s="216" t="inlineStr">
        <is>
          <t>1-4-9</t>
        </is>
      </c>
      <c r="D14" s="217" t="inlineStr">
        <is>
          <t>Затраты труда рабочих (ср 4,9)</t>
        </is>
      </c>
      <c r="E14" s="403" t="inlineStr">
        <is>
          <t>чел.-ч</t>
        </is>
      </c>
      <c r="F14" s="318" t="n">
        <v>494.6</v>
      </c>
      <c r="G14" s="214" t="n">
        <v>10.94</v>
      </c>
      <c r="H14" s="214">
        <f>ROUND(F14*G14,2)</f>
        <v/>
      </c>
    </row>
    <row r="15" ht="15" customHeight="1" s="345">
      <c r="A15" s="379" t="inlineStr">
        <is>
          <t>Затраты труда машинистов</t>
        </is>
      </c>
      <c r="B15" s="453" t="n"/>
      <c r="C15" s="453" t="n"/>
      <c r="D15" s="453" t="n"/>
      <c r="E15" s="454" t="n"/>
      <c r="F15" s="223" t="n"/>
      <c r="G15" s="223" t="n"/>
      <c r="H15" s="222">
        <f>H16</f>
        <v/>
      </c>
    </row>
    <row r="16">
      <c r="A16" s="215">
        <f>A14+1</f>
        <v/>
      </c>
      <c r="B16" s="276" t="n"/>
      <c r="C16" s="216" t="n">
        <v>2</v>
      </c>
      <c r="D16" s="217" t="inlineStr">
        <is>
          <t>Затраты труда машинистов</t>
        </is>
      </c>
      <c r="E16" s="403" t="inlineStr">
        <is>
          <t>чел.-ч</t>
        </is>
      </c>
      <c r="F16" s="318" t="n">
        <v>77.12</v>
      </c>
      <c r="G16" s="214" t="n"/>
      <c r="H16" s="203" t="n">
        <v>967.86</v>
      </c>
      <c r="L16" s="205" t="n"/>
      <c r="N16" s="319" t="n"/>
    </row>
    <row r="17" ht="15" customHeight="1" s="345">
      <c r="A17" s="379" t="inlineStr">
        <is>
          <t>Машины и механизмы</t>
        </is>
      </c>
      <c r="B17" s="453" t="n"/>
      <c r="C17" s="453" t="n"/>
      <c r="D17" s="453" t="n"/>
      <c r="E17" s="454" t="n"/>
      <c r="F17" s="223" t="n"/>
      <c r="G17" s="223" t="n"/>
      <c r="H17" s="222">
        <f>SUM(H18:H22)</f>
        <v/>
      </c>
    </row>
    <row r="18" ht="25.5" customHeight="1" s="345">
      <c r="A18" s="216">
        <f>A16+1</f>
        <v/>
      </c>
      <c r="B18" s="276" t="n"/>
      <c r="C18" s="216" t="inlineStr">
        <is>
          <t>91.05.13-002</t>
        </is>
      </c>
      <c r="D18" s="217" t="inlineStr">
        <is>
          <t>Автомобили бортовые, грузоподъемность до 6 т, с краном-манипулятором-6,2 т</t>
        </is>
      </c>
      <c r="E18" s="403" t="inlineStr">
        <is>
          <t>маш.час</t>
        </is>
      </c>
      <c r="F18" s="403" t="n">
        <v>61.4</v>
      </c>
      <c r="G18" s="219" t="n">
        <v>406.66</v>
      </c>
      <c r="H18" s="214">
        <f>ROUND(F18*G18,2)</f>
        <v/>
      </c>
    </row>
    <row r="19" ht="25.5" customHeight="1" s="345">
      <c r="A19" s="216">
        <f>A18+1</f>
        <v/>
      </c>
      <c r="B19" s="276" t="n"/>
      <c r="C19" s="216" t="inlineStr">
        <is>
          <t>91.06.05-016</t>
        </is>
      </c>
      <c r="D19" s="217" t="inlineStr">
        <is>
          <t>Погрузчики с вилочными подхватами, грузоподъемность 5 т</t>
        </is>
      </c>
      <c r="E19" s="403" t="inlineStr">
        <is>
          <t>маш.час</t>
        </is>
      </c>
      <c r="F19" s="403" t="n">
        <v>15.72</v>
      </c>
      <c r="G19" s="219" t="n">
        <v>99.89</v>
      </c>
      <c r="H19" s="214">
        <f>ROUND(F19*G19,2)</f>
        <v/>
      </c>
    </row>
    <row r="20">
      <c r="A20" s="216">
        <f>A19+1</f>
        <v/>
      </c>
      <c r="B20" s="276" t="n"/>
      <c r="C20" s="216" t="inlineStr">
        <is>
          <t>91.21.22-433</t>
        </is>
      </c>
      <c r="D20" s="217" t="inlineStr">
        <is>
          <t>Установка газотехнологическая</t>
        </is>
      </c>
      <c r="E20" s="403" t="inlineStr">
        <is>
          <t>маш.час</t>
        </is>
      </c>
      <c r="F20" s="403" t="n">
        <v>9.48</v>
      </c>
      <c r="G20" s="219" t="n">
        <v>101.62</v>
      </c>
      <c r="H20" s="214">
        <f>ROUND(F20*G20,2)</f>
        <v/>
      </c>
    </row>
    <row r="21" ht="25.5" customHeight="1" s="345">
      <c r="A21" s="216">
        <f>A20+1</f>
        <v/>
      </c>
      <c r="B21" s="276" t="n"/>
      <c r="C21" s="216" t="inlineStr">
        <is>
          <t>91.05.04-032</t>
        </is>
      </c>
      <c r="D21" s="217" t="inlineStr">
        <is>
          <t>Краны подвесные электрические (кран-балки), грузоподъемность 5 т</t>
        </is>
      </c>
      <c r="E21" s="403" t="inlineStr">
        <is>
          <t>маш.час</t>
        </is>
      </c>
      <c r="F21" s="403" t="n">
        <v>149.16</v>
      </c>
      <c r="G21" s="219" t="n">
        <v>5.25</v>
      </c>
      <c r="H21" s="214">
        <f>ROUND(F21*G21,2)</f>
        <v/>
      </c>
    </row>
    <row r="22" ht="25.5" customHeight="1" s="345">
      <c r="A22" s="216">
        <f>A21+1</f>
        <v/>
      </c>
      <c r="B22" s="276" t="n"/>
      <c r="C22" s="216" t="inlineStr">
        <is>
          <t>91.17.04-233</t>
        </is>
      </c>
      <c r="D22" s="217" t="inlineStr">
        <is>
          <t>Установки для сварки ручной дуговой (постоянного тока)</t>
        </is>
      </c>
      <c r="E22" s="403" t="inlineStr">
        <is>
          <t>маш.час</t>
        </is>
      </c>
      <c r="F22" s="403" t="n">
        <v>5.04</v>
      </c>
      <c r="G22" s="219" t="n">
        <v>8.1</v>
      </c>
      <c r="H22" s="214">
        <f>ROUND(F22*G22,2)</f>
        <v/>
      </c>
    </row>
    <row r="23" ht="15" customHeight="1" s="345">
      <c r="A23" s="379" t="inlineStr">
        <is>
          <t>Оборудование</t>
        </is>
      </c>
      <c r="B23" s="453" t="n"/>
      <c r="C23" s="453" t="n"/>
      <c r="D23" s="453" t="n"/>
      <c r="E23" s="454" t="n"/>
      <c r="F23" s="223" t="n"/>
      <c r="G23" s="223" t="n"/>
      <c r="H23" s="222">
        <f>SUM(H24:H27)</f>
        <v/>
      </c>
    </row>
    <row r="24">
      <c r="A24" s="215">
        <f>A22+1</f>
        <v/>
      </c>
      <c r="B24" s="379" t="n"/>
      <c r="C24" s="216" t="inlineStr">
        <is>
          <t>Прайс из СД ОП</t>
        </is>
      </c>
      <c r="D24" s="217" t="inlineStr">
        <is>
          <t>Ячейка выключателя 330 кВ</t>
        </is>
      </c>
      <c r="E24" s="403" t="inlineStr">
        <is>
          <t>к-т</t>
        </is>
      </c>
      <c r="F24" s="403" t="n">
        <v>4</v>
      </c>
      <c r="G24" s="214" t="n">
        <v>13017015.71</v>
      </c>
      <c r="H24" s="214">
        <f>ROUND(F24*G24,2)</f>
        <v/>
      </c>
      <c r="I24" s="317" t="n"/>
    </row>
    <row r="25">
      <c r="A25" s="215">
        <f>A24+1</f>
        <v/>
      </c>
      <c r="B25" s="276" t="n"/>
      <c r="C25" s="216" t="inlineStr">
        <is>
          <t>Прайс из СД ОП</t>
        </is>
      </c>
      <c r="D25" s="217" t="inlineStr">
        <is>
          <t xml:space="preserve">Шеф-монтаж </t>
        </is>
      </c>
      <c r="E25" s="403" t="inlineStr">
        <is>
          <t>к-т</t>
        </is>
      </c>
      <c r="F25" s="403" t="n">
        <v>4</v>
      </c>
      <c r="G25" s="214" t="n">
        <v>518324.61</v>
      </c>
      <c r="H25" s="214">
        <f>ROUND(F25*G25,2)</f>
        <v/>
      </c>
    </row>
    <row r="26" ht="32.25" customHeight="1" s="345">
      <c r="A26" s="215">
        <f>A25+1</f>
        <v/>
      </c>
      <c r="B26" s="379" t="n"/>
      <c r="C26" s="216" t="inlineStr">
        <is>
          <t>Прайс из СД ОП</t>
        </is>
      </c>
      <c r="D26" s="217" t="inlineStr">
        <is>
          <t>Газотехнологическое оборудование для монтажа КРУЭ 330 кв</t>
        </is>
      </c>
      <c r="E26" s="403" t="inlineStr">
        <is>
          <t>к-т</t>
        </is>
      </c>
      <c r="F26" s="403" t="n">
        <v>1</v>
      </c>
      <c r="G26" s="214" t="n">
        <v>1492146.6</v>
      </c>
      <c r="H26" s="214">
        <f>ROUND(F26*G26,2)</f>
        <v/>
      </c>
      <c r="I26" s="317" t="n"/>
    </row>
    <row r="27" ht="25.5" customHeight="1" s="345">
      <c r="A27" s="215">
        <f>A26+1</f>
        <v/>
      </c>
      <c r="B27" s="276" t="n"/>
      <c r="C27" s="216" t="inlineStr">
        <is>
          <t>Прайс из СД ОП</t>
        </is>
      </c>
      <c r="D27" s="217" t="inlineStr">
        <is>
          <t>элегаз в балонах (40 кг) для первичного заполнения-для монтажа КРУЭ 330 кв</t>
        </is>
      </c>
      <c r="E27" s="403" t="inlineStr">
        <is>
          <t>шт</t>
        </is>
      </c>
      <c r="F27" s="403" t="n">
        <v>87</v>
      </c>
      <c r="G27" s="214" t="n">
        <v>15706.81</v>
      </c>
      <c r="H27" s="214">
        <f>ROUND(F27*G27,2)</f>
        <v/>
      </c>
    </row>
    <row r="28" ht="15" customHeight="1" s="345">
      <c r="A28" s="379" t="inlineStr">
        <is>
          <t>Материалы</t>
        </is>
      </c>
      <c r="B28" s="453" t="n"/>
      <c r="C28" s="453" t="n"/>
      <c r="D28" s="453" t="n"/>
      <c r="E28" s="454" t="n"/>
      <c r="F28" s="223" t="n"/>
      <c r="G28" s="223" t="n"/>
      <c r="H28" s="222">
        <f>SUM(H29:H32)</f>
        <v/>
      </c>
    </row>
    <row r="29">
      <c r="A29" s="215">
        <f>A27+1</f>
        <v/>
      </c>
      <c r="B29" s="276" t="n"/>
      <c r="C29" s="216" t="inlineStr">
        <is>
          <t>01.3.01.07-0003</t>
        </is>
      </c>
      <c r="D29" s="217" t="inlineStr">
        <is>
          <t>Спирт изопропиловый</t>
        </is>
      </c>
      <c r="E29" s="403" t="inlineStr">
        <is>
          <t>л</t>
        </is>
      </c>
      <c r="F29" s="403" t="n">
        <v>33.2</v>
      </c>
      <c r="G29" s="214" t="n">
        <v>55.6</v>
      </c>
      <c r="H29" s="214">
        <f>ROUND(F29*G29,2)</f>
        <v/>
      </c>
      <c r="I29" s="317" t="n"/>
      <c r="K29" s="317" t="n"/>
    </row>
    <row r="30">
      <c r="A30" s="215">
        <f>A29+1</f>
        <v/>
      </c>
      <c r="B30" s="276" t="n"/>
      <c r="C30" s="216" t="inlineStr">
        <is>
          <t>14.2.06.05-0001</t>
        </is>
      </c>
      <c r="D30" s="217" t="inlineStr">
        <is>
          <t>Герметик Компаунд КЛД-ЗОМФ</t>
        </is>
      </c>
      <c r="E30" s="403" t="inlineStr">
        <is>
          <t>кг</t>
        </is>
      </c>
      <c r="F30" s="403" t="n">
        <v>4.96</v>
      </c>
      <c r="G30" s="214" t="n">
        <v>254.25</v>
      </c>
      <c r="H30" s="214">
        <f>ROUND(F30*G30,2)</f>
        <v/>
      </c>
      <c r="I30" s="317" t="n"/>
      <c r="K30" s="317" t="n"/>
    </row>
    <row r="31" ht="25.5" customHeight="1" s="345">
      <c r="A31" s="215">
        <f>A30+1</f>
        <v/>
      </c>
      <c r="B31" s="276" t="n"/>
      <c r="C31" s="216" t="inlineStr">
        <is>
          <t>999-9950</t>
        </is>
      </c>
      <c r="D31" s="217" t="inlineStr">
        <is>
          <t>Вспомогательные ненормируемые ресурсы (2% от Оплаты труда рабочих)</t>
        </is>
      </c>
      <c r="E31" s="403" t="inlineStr">
        <is>
          <t>руб.</t>
        </is>
      </c>
      <c r="F31" s="403" t="n">
        <v>393.4</v>
      </c>
      <c r="G31" s="214" t="n">
        <v>1</v>
      </c>
      <c r="H31" s="214">
        <f>ROUND(F31*G31,2)</f>
        <v/>
      </c>
      <c r="I31" s="317" t="n"/>
      <c r="K31" s="317" t="n"/>
    </row>
    <row r="32">
      <c r="A32" s="215">
        <f>A31+1</f>
        <v/>
      </c>
      <c r="B32" s="276" t="n"/>
      <c r="C32" s="216" t="inlineStr">
        <is>
          <t>01.7.11.07-0036</t>
        </is>
      </c>
      <c r="D32" s="217" t="inlineStr">
        <is>
          <t>Электроды диаметром: 4 мм Э46</t>
        </is>
      </c>
      <c r="E32" s="403" t="inlineStr">
        <is>
          <t>кг</t>
        </is>
      </c>
      <c r="F32" s="403" t="n">
        <v>8.4</v>
      </c>
      <c r="G32" s="214" t="n">
        <v>10.75</v>
      </c>
      <c r="H32" s="214">
        <f>ROUND(F32*G32,2)</f>
        <v/>
      </c>
      <c r="I32" s="317" t="n"/>
      <c r="K32" s="317" t="n"/>
    </row>
    <row r="33">
      <c r="K33" s="311" t="n"/>
    </row>
    <row r="37">
      <c r="B37" s="346" t="inlineStr">
        <is>
          <t>Составил ______________________     Е. М. Добровольская</t>
        </is>
      </c>
      <c r="C37" s="356" t="n"/>
    </row>
    <row r="38">
      <c r="B38" s="357" t="inlineStr">
        <is>
          <t xml:space="preserve">                         (подпись, инициалы, фамилия)</t>
        </is>
      </c>
      <c r="C38" s="356" t="n"/>
    </row>
    <row r="39">
      <c r="B39" s="346" t="n"/>
      <c r="C39" s="356" t="n"/>
    </row>
    <row r="40">
      <c r="B40" s="346" t="inlineStr">
        <is>
          <t>Проверил ______________________        А.В. Костянецкая</t>
        </is>
      </c>
      <c r="C40" s="356" t="n"/>
    </row>
    <row r="41">
      <c r="B41" s="357" t="inlineStr">
        <is>
          <t xml:space="preserve">                        (подпись, инициалы, фамилия)</t>
        </is>
      </c>
      <c r="C41" s="356" t="n"/>
    </row>
  </sheetData>
  <mergeCells count="17">
    <mergeCell ref="C9:C10"/>
    <mergeCell ref="C6:H6"/>
    <mergeCell ref="A12:E12"/>
    <mergeCell ref="A3:H3"/>
    <mergeCell ref="E9:E10"/>
    <mergeCell ref="B9:B10"/>
    <mergeCell ref="F9:F10"/>
    <mergeCell ref="D9:D10"/>
    <mergeCell ref="A9:A10"/>
    <mergeCell ref="A15:E15"/>
    <mergeCell ref="D7:H7"/>
    <mergeCell ref="A28:E28"/>
    <mergeCell ref="A2:H2"/>
    <mergeCell ref="G9:H9"/>
    <mergeCell ref="A23:E23"/>
    <mergeCell ref="A7:C7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style="345" min="1" max="1"/>
    <col width="36.28515625" customWidth="1" style="345" min="2" max="2"/>
    <col width="18.85546875" customWidth="1" style="345" min="3" max="3"/>
    <col width="18.28515625" customWidth="1" style="345" min="4" max="4"/>
    <col width="18.85546875" customWidth="1" style="345" min="5" max="5"/>
    <col width="9.140625" customWidth="1" style="345" min="6" max="6"/>
    <col width="12.85546875" customWidth="1" style="345" min="7" max="7"/>
    <col width="9.140625" customWidth="1" style="345" min="8" max="11"/>
    <col width="13.5703125" customWidth="1" style="345" min="12" max="12"/>
    <col width="9.140625" customWidth="1" style="345" min="13" max="13"/>
  </cols>
  <sheetData>
    <row r="1">
      <c r="B1" s="346" t="n"/>
      <c r="C1" s="346" t="n"/>
      <c r="D1" s="346" t="n"/>
      <c r="E1" s="346" t="n"/>
    </row>
    <row r="2">
      <c r="B2" s="346" t="n"/>
      <c r="C2" s="346" t="n"/>
      <c r="D2" s="346" t="n"/>
      <c r="E2" s="402" t="inlineStr">
        <is>
          <t>Приложение № 4</t>
        </is>
      </c>
    </row>
    <row r="3">
      <c r="B3" s="346" t="n"/>
      <c r="C3" s="346" t="n"/>
      <c r="D3" s="346" t="n"/>
      <c r="E3" s="346" t="n"/>
    </row>
    <row r="4">
      <c r="B4" s="346" t="n"/>
      <c r="C4" s="346" t="n"/>
      <c r="D4" s="346" t="n"/>
      <c r="E4" s="346" t="n"/>
    </row>
    <row r="5" s="345">
      <c r="B5" s="358" t="inlineStr">
        <is>
          <t>Ресурсная модель</t>
        </is>
      </c>
    </row>
    <row r="6" s="345">
      <c r="B6" s="326" t="n"/>
      <c r="C6" s="326" t="n"/>
      <c r="D6" s="326" t="n"/>
      <c r="E6" s="326" t="n"/>
    </row>
    <row r="7" ht="45.75" customHeight="1" s="345">
      <c r="B7" s="381" t="inlineStr">
        <is>
          <t xml:space="preserve">Наименование разрабатываемого показателя УНЦ - </t>
        </is>
      </c>
      <c r="D7" s="361">
        <f>'Прил.5 Расчет СМР и ОБ'!D6</f>
        <v/>
      </c>
    </row>
    <row r="8">
      <c r="B8" s="380">
        <f>'Прил.1 Сравнит табл'!B8</f>
        <v/>
      </c>
    </row>
    <row r="9">
      <c r="B9" s="174" t="n"/>
      <c r="C9" s="346" t="n"/>
      <c r="D9" s="346" t="n"/>
      <c r="E9" s="346" t="n"/>
    </row>
    <row r="10" ht="51" customHeight="1" s="345">
      <c r="B10" s="383" t="inlineStr">
        <is>
          <t>Наименование</t>
        </is>
      </c>
      <c r="C10" s="383" t="inlineStr">
        <is>
          <t>Сметная стоимость в ценах на 01.01.2023
 (руб.)</t>
        </is>
      </c>
      <c r="D10" s="383" t="inlineStr">
        <is>
          <t>Удельный вес, 
(в СМР)</t>
        </is>
      </c>
      <c r="E10" s="383" t="inlineStr">
        <is>
          <t>Удельный вес, % 
(от всего по РМ)</t>
        </is>
      </c>
    </row>
    <row r="11">
      <c r="B11" s="225" t="inlineStr">
        <is>
          <t>Оплата труда рабочих</t>
        </is>
      </c>
      <c r="C11" s="351">
        <f>'Прил.5 Расчет СМР и ОБ'!J14</f>
        <v/>
      </c>
      <c r="D11" s="227">
        <f>C11/$C$24</f>
        <v/>
      </c>
      <c r="E11" s="227">
        <f>C11/$C$40</f>
        <v/>
      </c>
    </row>
    <row r="12">
      <c r="B12" s="225" t="inlineStr">
        <is>
          <t>Эксплуатация машин основных</t>
        </is>
      </c>
      <c r="C12" s="351">
        <f>'Прил.5 Расчет СМР и ОБ'!J20</f>
        <v/>
      </c>
      <c r="D12" s="227">
        <f>C12/$C$24</f>
        <v/>
      </c>
      <c r="E12" s="227">
        <f>C12/$C$40</f>
        <v/>
      </c>
    </row>
    <row r="13">
      <c r="B13" s="225" t="inlineStr">
        <is>
          <t>Эксплуатация машин прочих</t>
        </is>
      </c>
      <c r="C13" s="351">
        <f>'Прил.5 Расчет СМР и ОБ'!J25</f>
        <v/>
      </c>
      <c r="D13" s="227">
        <f>C13/$C$24</f>
        <v/>
      </c>
      <c r="E13" s="227">
        <f>C13/$C$40</f>
        <v/>
      </c>
    </row>
    <row r="14">
      <c r="B14" s="225" t="inlineStr">
        <is>
          <t>ЭКСПЛУАТАЦИЯ МАШИН, ВСЕГО:</t>
        </is>
      </c>
      <c r="C14" s="351">
        <f>C13+C12</f>
        <v/>
      </c>
      <c r="D14" s="227">
        <f>C14/$C$24</f>
        <v/>
      </c>
      <c r="E14" s="227">
        <f>C14/$C$40</f>
        <v/>
      </c>
    </row>
    <row r="15">
      <c r="B15" s="225" t="inlineStr">
        <is>
          <t>в том числе зарплата машинистов</t>
        </is>
      </c>
      <c r="C15" s="351">
        <f>'Прил.5 Расчет СМР и ОБ'!J16</f>
        <v/>
      </c>
      <c r="D15" s="227">
        <f>C15/$C$24</f>
        <v/>
      </c>
      <c r="E15" s="227">
        <f>C15/$C$40</f>
        <v/>
      </c>
    </row>
    <row r="16">
      <c r="B16" s="225" t="inlineStr">
        <is>
          <t>Материалы основные</t>
        </is>
      </c>
      <c r="C16" s="351">
        <f>'Прил.5 Расчет СМР и ОБ'!J40</f>
        <v/>
      </c>
      <c r="D16" s="227">
        <f>C16/$C$24</f>
        <v/>
      </c>
      <c r="E16" s="227">
        <f>C16/$C$40</f>
        <v/>
      </c>
    </row>
    <row r="17">
      <c r="B17" s="225" t="inlineStr">
        <is>
          <t>Материалы прочие</t>
        </is>
      </c>
      <c r="C17" s="351">
        <f>'Прил.5 Расчет СМР и ОБ'!J43</f>
        <v/>
      </c>
      <c r="D17" s="227">
        <f>C17/$C$24</f>
        <v/>
      </c>
      <c r="E17" s="227">
        <f>C17/$C$40</f>
        <v/>
      </c>
      <c r="G17" s="175" t="n"/>
    </row>
    <row r="18">
      <c r="B18" s="225" t="inlineStr">
        <is>
          <t>МАТЕРИАЛЫ, ВСЕГО:</t>
        </is>
      </c>
      <c r="C18" s="351">
        <f>C17+C16</f>
        <v/>
      </c>
      <c r="D18" s="227">
        <f>C18/$C$24</f>
        <v/>
      </c>
      <c r="E18" s="227">
        <f>C18/$C$40</f>
        <v/>
      </c>
    </row>
    <row r="19">
      <c r="B19" s="225" t="inlineStr">
        <is>
          <t>ИТОГО</t>
        </is>
      </c>
      <c r="C19" s="351">
        <f>C18+C14+C11</f>
        <v/>
      </c>
      <c r="D19" s="227" t="n"/>
      <c r="E19" s="225" t="n"/>
    </row>
    <row r="20">
      <c r="B20" s="225" t="inlineStr">
        <is>
          <t>Сметная прибыль, руб.</t>
        </is>
      </c>
      <c r="C20" s="351">
        <f>ROUND(C21*(C11+C15),2)</f>
        <v/>
      </c>
      <c r="D20" s="227">
        <f>C20/$C$24</f>
        <v/>
      </c>
      <c r="E20" s="227">
        <f>C20/$C$40</f>
        <v/>
      </c>
    </row>
    <row r="21">
      <c r="B21" s="225" t="inlineStr">
        <is>
          <t>Сметная прибыль, %</t>
        </is>
      </c>
      <c r="C21" s="230">
        <f>'Прил.5 Расчет СМР и ОБ'!E47</f>
        <v/>
      </c>
      <c r="D21" s="227" t="n"/>
      <c r="E21" s="225" t="n"/>
    </row>
    <row r="22">
      <c r="B22" s="225" t="inlineStr">
        <is>
          <t>Накладные расходы, руб.</t>
        </is>
      </c>
      <c r="C22" s="351">
        <f>ROUND(C23*(C11+C15),2)</f>
        <v/>
      </c>
      <c r="D22" s="227">
        <f>C22/$C$24</f>
        <v/>
      </c>
      <c r="E22" s="227">
        <f>C22/$C$40</f>
        <v/>
      </c>
    </row>
    <row r="23">
      <c r="B23" s="225" t="inlineStr">
        <is>
          <t>Накладные расходы, %</t>
        </is>
      </c>
      <c r="C23" s="230">
        <f>'Прил.5 Расчет СМР и ОБ'!E46</f>
        <v/>
      </c>
      <c r="D23" s="227" t="n"/>
      <c r="E23" s="225" t="n"/>
    </row>
    <row r="24">
      <c r="B24" s="225" t="inlineStr">
        <is>
          <t>ВСЕГО СМР с НР и СП</t>
        </is>
      </c>
      <c r="C24" s="351">
        <f>C19+C20+C22</f>
        <v/>
      </c>
      <c r="D24" s="227">
        <f>C24/$C$24</f>
        <v/>
      </c>
      <c r="E24" s="227">
        <f>C24/$C$40</f>
        <v/>
      </c>
    </row>
    <row r="25" ht="25.5" customHeight="1" s="345">
      <c r="B25" s="225" t="inlineStr">
        <is>
          <t>ВСЕГО стоимость оборудования, в том числе</t>
        </is>
      </c>
      <c r="C25" s="351">
        <f>'Прил.5 Расчет СМР и ОБ'!J35</f>
        <v/>
      </c>
      <c r="D25" s="227" t="n"/>
      <c r="E25" s="227">
        <f>C25/$C$40</f>
        <v/>
      </c>
    </row>
    <row r="26" ht="25.5" customHeight="1" s="345">
      <c r="B26" s="225" t="inlineStr">
        <is>
          <t>стоимость оборудования технологического</t>
        </is>
      </c>
      <c r="C26" s="351">
        <f>C25</f>
        <v/>
      </c>
      <c r="D26" s="227" t="n"/>
      <c r="E26" s="227">
        <f>C26/$C$40</f>
        <v/>
      </c>
    </row>
    <row r="27">
      <c r="B27" s="225" t="inlineStr">
        <is>
          <t>ИТОГО (СМР + ОБОРУДОВАНИЕ)</t>
        </is>
      </c>
      <c r="C27" s="226">
        <f>C24+C25</f>
        <v/>
      </c>
      <c r="D27" s="227" t="n"/>
      <c r="E27" s="227">
        <f>C27/$C$40</f>
        <v/>
      </c>
    </row>
    <row r="28" ht="33" customHeight="1" s="345">
      <c r="B28" s="225" t="inlineStr">
        <is>
          <t>ПРОЧ. ЗАТР., УЧТЕННЫЕ ПОКАЗАТЕЛЕМ,  в том числе</t>
        </is>
      </c>
      <c r="C28" s="225" t="n"/>
      <c r="D28" s="225" t="n"/>
      <c r="E28" s="225" t="n"/>
    </row>
    <row r="29" ht="25.5" customHeight="1" s="345">
      <c r="B29" s="225" t="inlineStr">
        <is>
          <t>Временные здания и сооружения - 3,9%</t>
        </is>
      </c>
      <c r="C29" s="226">
        <f>ROUND(C24*3.9%,2)</f>
        <v/>
      </c>
      <c r="D29" s="225" t="n"/>
      <c r="E29" s="227">
        <f>C29/$C$40</f>
        <v/>
      </c>
    </row>
    <row r="30" ht="38.25" customHeight="1" s="345">
      <c r="B30" s="225" t="inlineStr">
        <is>
          <t>Дополнительные затраты при производстве строительно-монтажных работ в зимнее время - 2,1%</t>
        </is>
      </c>
      <c r="C30" s="226">
        <f>ROUND((C24+C29)*2.1%,2)</f>
        <v/>
      </c>
      <c r="D30" s="225" t="n"/>
      <c r="E30" s="227">
        <f>C30/$C$40</f>
        <v/>
      </c>
    </row>
    <row r="31">
      <c r="B31" s="225" t="inlineStr">
        <is>
          <t>Пусконаладочные работы</t>
        </is>
      </c>
      <c r="C31" s="226" t="n">
        <v>2987583.08</v>
      </c>
      <c r="D31" s="225" t="n"/>
      <c r="E31" s="227">
        <f>C31/$C$40</f>
        <v/>
      </c>
    </row>
    <row r="32" ht="25.5" customHeight="1" s="345">
      <c r="B32" s="225" t="inlineStr">
        <is>
          <t>Затраты по перевозке работников к месту работы и обратно</t>
        </is>
      </c>
      <c r="C32" s="226" t="n">
        <v>0</v>
      </c>
      <c r="D32" s="225" t="n"/>
      <c r="E32" s="227" t="n">
        <v>0</v>
      </c>
    </row>
    <row r="33" ht="25.5" customHeight="1" s="345">
      <c r="B33" s="225" t="inlineStr">
        <is>
          <t>Затраты, связанные с осуществлением работ вахтовым методом</t>
        </is>
      </c>
      <c r="C33" s="226" t="n">
        <v>0</v>
      </c>
      <c r="D33" s="225" t="n"/>
      <c r="E33" s="227" t="n">
        <v>0</v>
      </c>
    </row>
    <row r="34" ht="51" customHeight="1" s="345">
      <c r="B34" s="2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6" t="n">
        <v>0</v>
      </c>
      <c r="D34" s="225" t="n"/>
      <c r="E34" s="227" t="n">
        <v>0</v>
      </c>
    </row>
    <row r="35" ht="76.5" customHeight="1" s="345">
      <c r="B35" s="2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6" t="n">
        <v>0</v>
      </c>
      <c r="D35" s="225" t="n"/>
      <c r="E35" s="227" t="n">
        <v>0</v>
      </c>
    </row>
    <row r="36" ht="25.5" customHeight="1" s="345">
      <c r="B36" s="225" t="inlineStr">
        <is>
          <t>Строительный контроль и содержание службы заказчика - 2,14%</t>
        </is>
      </c>
      <c r="C36" s="226">
        <f>ROUND((C27+C29+C31+C30+C32+C33+C34+C35)*2.14%,2)</f>
        <v/>
      </c>
      <c r="D36" s="225" t="n"/>
      <c r="E36" s="227">
        <f>C36/$C$40</f>
        <v/>
      </c>
      <c r="G36" s="277" t="n"/>
      <c r="L36" s="176" t="n"/>
    </row>
    <row r="37">
      <c r="B37" s="225" t="inlineStr">
        <is>
          <t>Авторский надзор - 0,2%</t>
        </is>
      </c>
      <c r="C37" s="226">
        <f>ROUND((C27+C29+C30+C31+C32+C33+C34+C35)*0.2%,2)</f>
        <v/>
      </c>
      <c r="D37" s="225" t="n"/>
      <c r="E37" s="227">
        <f>C37/$C$40</f>
        <v/>
      </c>
      <c r="G37" s="277" t="n"/>
      <c r="L37" s="176" t="n"/>
    </row>
    <row r="38" ht="38.25" customHeight="1" s="345">
      <c r="B38" s="225" t="inlineStr">
        <is>
          <t>ИТОГО (СМР+ОБОРУДОВАНИЕ+ПРОЧ. ЗАТР., УЧТЕННЫЕ ПОКАЗАТЕЛЕМ)</t>
        </is>
      </c>
      <c r="C38" s="351">
        <f>C36+C30+C27+C29+C31+C37+C32+C33+C34+C35</f>
        <v/>
      </c>
      <c r="D38" s="225" t="n"/>
      <c r="E38" s="227">
        <f>C38/$C$40</f>
        <v/>
      </c>
    </row>
    <row r="39" ht="13.5" customHeight="1" s="345">
      <c r="B39" s="225" t="inlineStr">
        <is>
          <t>Непредвиденные расходы</t>
        </is>
      </c>
      <c r="C39" s="351">
        <f>ROUND(C38*3%,2)</f>
        <v/>
      </c>
      <c r="D39" s="225" t="n"/>
      <c r="E39" s="227">
        <f>C39/$C$38</f>
        <v/>
      </c>
    </row>
    <row r="40">
      <c r="B40" s="225" t="inlineStr">
        <is>
          <t>ВСЕГО:</t>
        </is>
      </c>
      <c r="C40" s="351">
        <f>C39+C38</f>
        <v/>
      </c>
      <c r="D40" s="225" t="n"/>
      <c r="E40" s="227">
        <f>C40/$C$40</f>
        <v/>
      </c>
    </row>
    <row r="41">
      <c r="B41" s="225" t="inlineStr">
        <is>
          <t>ИТОГО ПОКАЗАТЕЛЬ НА ЕД. ИЗМ.</t>
        </is>
      </c>
      <c r="C41" s="351">
        <f>C40/'Прил.5 Расчет СМР и ОБ'!E50</f>
        <v/>
      </c>
      <c r="D41" s="225" t="n"/>
      <c r="E41" s="225" t="n"/>
    </row>
    <row r="42">
      <c r="B42" s="353" t="n"/>
      <c r="C42" s="346" t="n"/>
      <c r="D42" s="346" t="n"/>
      <c r="E42" s="346" t="n"/>
    </row>
    <row r="43">
      <c r="B43" s="353" t="inlineStr">
        <is>
          <t>Составил ____________________________  Е. М. Добровольская</t>
        </is>
      </c>
      <c r="C43" s="346" t="n"/>
      <c r="D43" s="346" t="n"/>
      <c r="E43" s="346" t="n"/>
    </row>
    <row r="44">
      <c r="B44" s="353" t="inlineStr">
        <is>
          <t xml:space="preserve">(должность, подпись, инициалы, фамилия) </t>
        </is>
      </c>
      <c r="C44" s="346" t="n"/>
      <c r="D44" s="346" t="n"/>
      <c r="E44" s="346" t="n"/>
    </row>
    <row r="45">
      <c r="B45" s="353" t="n"/>
      <c r="C45" s="346" t="n"/>
      <c r="D45" s="346" t="n"/>
      <c r="E45" s="346" t="n"/>
    </row>
    <row r="46">
      <c r="B46" s="353" t="inlineStr">
        <is>
          <t>Проверил ____________________________ А.В. Костянецкая</t>
        </is>
      </c>
      <c r="C46" s="346" t="n"/>
      <c r="D46" s="346" t="n"/>
      <c r="E46" s="346" t="n"/>
    </row>
    <row r="47">
      <c r="B47" s="380" t="inlineStr">
        <is>
          <t>(должность, подпись, инициалы, фамилия)</t>
        </is>
      </c>
      <c r="D47" s="346" t="n"/>
      <c r="E47" s="346" t="n"/>
    </row>
    <row r="49">
      <c r="B49" s="346" t="n"/>
      <c r="C49" s="346" t="n"/>
      <c r="D49" s="346" t="n"/>
      <c r="E49" s="346" t="n"/>
    </row>
    <row r="50">
      <c r="B50" s="346" t="n"/>
      <c r="C50" s="346" t="n"/>
      <c r="D50" s="346" t="n"/>
      <c r="E50" s="346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52" workbookViewId="0">
      <selection activeCell="B67" sqref="B67"/>
    </sheetView>
  </sheetViews>
  <sheetFormatPr baseColWidth="8" defaultColWidth="9.140625" defaultRowHeight="15" outlineLevelRow="1"/>
  <cols>
    <col width="5.7109375" customWidth="1" style="356" min="1" max="1"/>
    <col width="22.5703125" customWidth="1" style="356" min="2" max="2"/>
    <col width="39.140625" customWidth="1" style="356" min="3" max="3"/>
    <col width="10.7109375" customWidth="1" style="356" min="4" max="4"/>
    <col width="12.7109375" customWidth="1" style="356" min="5" max="5"/>
    <col width="14.5703125" customWidth="1" style="356" min="6" max="6"/>
    <col width="15.42578125" customWidth="1" style="356" min="7" max="7"/>
    <col width="12.7109375" customWidth="1" style="356" min="8" max="8"/>
    <col width="14.5703125" customWidth="1" style="356" min="9" max="9"/>
    <col width="16.140625" customWidth="1" style="356" min="10" max="10"/>
    <col width="22.42578125" customWidth="1" style="356" min="11" max="11"/>
    <col width="20.28515625" customWidth="1" style="356" min="12" max="12"/>
    <col width="10.85546875" customWidth="1" style="356" min="13" max="13"/>
    <col width="9.140625" customWidth="1" style="356" min="14" max="14"/>
    <col width="9.140625" customWidth="1" style="345" min="15" max="15"/>
  </cols>
  <sheetData>
    <row r="2" ht="15.75" customHeight="1" s="345">
      <c r="I2" s="302" t="n"/>
      <c r="J2" s="282" t="inlineStr">
        <is>
          <t>Приложение №5</t>
        </is>
      </c>
    </row>
    <row r="4" ht="12.75" customFormat="1" customHeight="1" s="346">
      <c r="A4" s="358" t="inlineStr">
        <is>
          <t>Расчет стоимости СМР и оборудования</t>
        </is>
      </c>
      <c r="I4" s="358" t="n"/>
      <c r="J4" s="358" t="n"/>
    </row>
    <row r="5" ht="12.75" customFormat="1" customHeight="1" s="346">
      <c r="A5" s="358" t="n"/>
      <c r="B5" s="358" t="n"/>
      <c r="C5" s="358" t="n"/>
      <c r="D5" s="358" t="n"/>
      <c r="E5" s="358" t="n"/>
      <c r="F5" s="358" t="n"/>
      <c r="G5" s="358" t="n"/>
      <c r="H5" s="358" t="n"/>
      <c r="I5" s="358" t="n"/>
      <c r="J5" s="358" t="n"/>
    </row>
    <row r="6" ht="26.25" customFormat="1" customHeight="1" s="346">
      <c r="A6" s="361" t="inlineStr">
        <is>
          <t xml:space="preserve">Наименование разрабатываемого показателя УНЦ </t>
        </is>
      </c>
      <c r="D6" s="361" t="inlineStr">
        <is>
          <t>Ячейка выключателя ВУ 330 кВ без учета здания ЗРУ, ном.ток 3150 А, ном.ток отключения 40 кА</t>
        </is>
      </c>
    </row>
    <row r="7" ht="25.5" customFormat="1" customHeight="1" s="346">
      <c r="A7" s="361">
        <f>'Прил.1 Сравнит табл'!B8</f>
        <v/>
      </c>
      <c r="I7" s="381" t="n"/>
      <c r="J7" s="381" t="n"/>
    </row>
    <row r="8" ht="12.75" customFormat="1" customHeight="1" s="346"/>
    <row r="9" ht="27" customHeight="1" s="345">
      <c r="A9" s="383" t="inlineStr">
        <is>
          <t>№ пп.</t>
        </is>
      </c>
      <c r="B9" s="383" t="inlineStr">
        <is>
          <t>Код ресурса</t>
        </is>
      </c>
      <c r="C9" s="383" t="inlineStr">
        <is>
          <t>Наименование</t>
        </is>
      </c>
      <c r="D9" s="383" t="inlineStr">
        <is>
          <t>Ед. изм.</t>
        </is>
      </c>
      <c r="E9" s="383" t="inlineStr">
        <is>
          <t>Кол-во единиц по проектным данным</t>
        </is>
      </c>
      <c r="F9" s="383" t="inlineStr">
        <is>
          <t>Сметная стоимость в ценах на 01.01.2000 (руб.)</t>
        </is>
      </c>
      <c r="G9" s="454" t="n"/>
      <c r="H9" s="383" t="inlineStr">
        <is>
          <t>Удельный вес, %</t>
        </is>
      </c>
      <c r="I9" s="383" t="inlineStr">
        <is>
          <t>Сметная стоимость в ценах на 01.01.2023 (руб.)</t>
        </is>
      </c>
      <c r="J9" s="454" t="n"/>
    </row>
    <row r="10" ht="28.5" customHeight="1" s="345">
      <c r="A10" s="456" t="n"/>
      <c r="B10" s="456" t="n"/>
      <c r="C10" s="456" t="n"/>
      <c r="D10" s="456" t="n"/>
      <c r="E10" s="456" t="n"/>
      <c r="F10" s="383" t="inlineStr">
        <is>
          <t>на ед. изм.</t>
        </is>
      </c>
      <c r="G10" s="383" t="inlineStr">
        <is>
          <t>общая</t>
        </is>
      </c>
      <c r="H10" s="456" t="n"/>
      <c r="I10" s="383" t="inlineStr">
        <is>
          <t>на ед. изм.</t>
        </is>
      </c>
      <c r="J10" s="383" t="inlineStr">
        <is>
          <t>общая</t>
        </is>
      </c>
    </row>
    <row r="11">
      <c r="A11" s="383" t="n">
        <v>1</v>
      </c>
      <c r="B11" s="383" t="n">
        <v>2</v>
      </c>
      <c r="C11" s="383" t="n">
        <v>3</v>
      </c>
      <c r="D11" s="383" t="n">
        <v>4</v>
      </c>
      <c r="E11" s="383" t="n">
        <v>5</v>
      </c>
      <c r="F11" s="383" t="n">
        <v>6</v>
      </c>
      <c r="G11" s="383" t="n">
        <v>7</v>
      </c>
      <c r="H11" s="383" t="n">
        <v>8</v>
      </c>
      <c r="I11" s="383" t="n">
        <v>9</v>
      </c>
      <c r="J11" s="383" t="n">
        <v>10</v>
      </c>
    </row>
    <row r="12">
      <c r="A12" s="383" t="n"/>
      <c r="B12" s="379" t="inlineStr">
        <is>
          <t>Затраты труда рабочих-строителей</t>
        </is>
      </c>
      <c r="C12" s="453" t="n"/>
      <c r="D12" s="453" t="n"/>
      <c r="E12" s="453" t="n"/>
      <c r="F12" s="453" t="n"/>
      <c r="G12" s="453" t="n"/>
      <c r="H12" s="454" t="n"/>
      <c r="I12" s="236" t="n"/>
      <c r="J12" s="236" t="n"/>
    </row>
    <row r="13" ht="30" customHeight="1" s="345">
      <c r="A13" s="383" t="n">
        <v>1</v>
      </c>
      <c r="B13" s="327" t="inlineStr">
        <is>
          <t>1-5-0</t>
        </is>
      </c>
      <c r="C13" s="382" t="inlineStr">
        <is>
          <t>Затраты труда рабочих-строителей среднего разряда (5,0)</t>
        </is>
      </c>
      <c r="D13" s="383" t="inlineStr">
        <is>
          <t>чел.-ч.</t>
        </is>
      </c>
      <c r="E13" s="325">
        <f>G13/F13</f>
        <v/>
      </c>
      <c r="F13" s="238" t="n">
        <v>11.09</v>
      </c>
      <c r="G13" s="238">
        <f>Прил.3!H12</f>
        <v/>
      </c>
      <c r="H13" s="386">
        <f>G13/G14</f>
        <v/>
      </c>
      <c r="I13" s="238">
        <f>ФОТр.тек.!E13</f>
        <v/>
      </c>
      <c r="J13" s="238">
        <f>ROUND(I13*E13,2)</f>
        <v/>
      </c>
    </row>
    <row r="14" ht="25.5" customFormat="1" customHeight="1" s="356">
      <c r="A14" s="383" t="n"/>
      <c r="B14" s="383" t="n"/>
      <c r="C14" s="379" t="inlineStr">
        <is>
          <t>Итого по разделу "Затраты труда рабочих-строителей"</t>
        </is>
      </c>
      <c r="D14" s="383" t="inlineStr">
        <is>
          <t>чел.-ч.</t>
        </is>
      </c>
      <c r="E14" s="325">
        <f>SUM(E13:E13)</f>
        <v/>
      </c>
      <c r="F14" s="238" t="n"/>
      <c r="G14" s="238">
        <f>SUM(G13:G13)</f>
        <v/>
      </c>
      <c r="H14" s="386" t="n">
        <v>1</v>
      </c>
      <c r="I14" s="238" t="n"/>
      <c r="J14" s="238">
        <f>J13</f>
        <v/>
      </c>
      <c r="K14" s="241" t="n"/>
    </row>
    <row r="15" ht="14.25" customFormat="1" customHeight="1" s="356">
      <c r="A15" s="383" t="n"/>
      <c r="B15" s="382" t="inlineStr">
        <is>
          <t>Затраты труда машинистов</t>
        </is>
      </c>
      <c r="C15" s="453" t="n"/>
      <c r="D15" s="453" t="n"/>
      <c r="E15" s="453" t="n"/>
      <c r="F15" s="453" t="n"/>
      <c r="G15" s="453" t="n"/>
      <c r="H15" s="454" t="n"/>
      <c r="I15" s="236" t="n"/>
      <c r="J15" s="236" t="n"/>
    </row>
    <row r="16" ht="14.25" customFormat="1" customHeight="1" s="356">
      <c r="A16" s="383" t="n">
        <v>2</v>
      </c>
      <c r="B16" s="383" t="n">
        <v>2</v>
      </c>
      <c r="C16" s="382" t="inlineStr">
        <is>
          <t>Затраты труда машинистов</t>
        </is>
      </c>
      <c r="D16" s="383" t="inlineStr">
        <is>
          <t>чел.-ч.</t>
        </is>
      </c>
      <c r="E16" s="325">
        <f>Прил.3!F16</f>
        <v/>
      </c>
      <c r="F16" s="238">
        <f>G16/E16</f>
        <v/>
      </c>
      <c r="G16" s="238">
        <f>Прил.3!H16</f>
        <v/>
      </c>
      <c r="H16" s="386" t="n">
        <v>1</v>
      </c>
      <c r="I16" s="238">
        <f>ROUND(F16*Прил.10!D10,2)</f>
        <v/>
      </c>
      <c r="J16" s="238">
        <f>ROUND(I16*E16,2)</f>
        <v/>
      </c>
      <c r="L16" s="271" t="n"/>
    </row>
    <row r="17" ht="14.25" customFormat="1" customHeight="1" s="356">
      <c r="A17" s="383" t="n"/>
      <c r="B17" s="379" t="inlineStr">
        <is>
          <t>Машины и механизмы</t>
        </is>
      </c>
      <c r="C17" s="453" t="n"/>
      <c r="D17" s="453" t="n"/>
      <c r="E17" s="453" t="n"/>
      <c r="F17" s="453" t="n"/>
      <c r="G17" s="453" t="n"/>
      <c r="H17" s="454" t="n"/>
      <c r="I17" s="386" t="n"/>
      <c r="J17" s="386" t="n"/>
    </row>
    <row r="18" ht="14.25" customFormat="1" customHeight="1" s="356">
      <c r="A18" s="383" t="n"/>
      <c r="B18" s="382" t="inlineStr">
        <is>
          <t>Основные машины и механизмы</t>
        </is>
      </c>
      <c r="C18" s="453" t="n"/>
      <c r="D18" s="453" t="n"/>
      <c r="E18" s="453" t="n"/>
      <c r="F18" s="453" t="n"/>
      <c r="G18" s="453" t="n"/>
      <c r="H18" s="454" t="n"/>
      <c r="I18" s="236" t="n"/>
      <c r="J18" s="236" t="n"/>
    </row>
    <row r="19" ht="25.5" customFormat="1" customHeight="1" s="356">
      <c r="A19" s="383" t="n">
        <v>3</v>
      </c>
      <c r="B19" s="327" t="inlineStr">
        <is>
          <t>91.05.13-002</t>
        </is>
      </c>
      <c r="C19" s="382" t="inlineStr">
        <is>
          <t>Автомобили бортовые, грузоподъемность до 6 т, с краном-манипулятором-6,2 т</t>
        </is>
      </c>
      <c r="D19" s="383" t="inlineStr">
        <is>
          <t>маш.час</t>
        </is>
      </c>
      <c r="E19" s="325" t="n">
        <v>61.4</v>
      </c>
      <c r="F19" s="268" t="n">
        <v>406.66</v>
      </c>
      <c r="G19" s="238">
        <f>ROUND(E19*F19,2)</f>
        <v/>
      </c>
      <c r="H19" s="386">
        <f>G19/$G$26</f>
        <v/>
      </c>
      <c r="I19" s="238">
        <f>ROUND(F19*Прил.10!$D$11,2)</f>
        <v/>
      </c>
      <c r="J19" s="238">
        <f>ROUND(I19*E19,2)</f>
        <v/>
      </c>
    </row>
    <row r="20" ht="14.25" customFormat="1" customHeight="1" s="356">
      <c r="A20" s="383" t="n"/>
      <c r="B20" s="383" t="n"/>
      <c r="C20" s="382" t="inlineStr">
        <is>
          <t>Итого основные машины и механизмы</t>
        </is>
      </c>
      <c r="D20" s="383" t="n"/>
      <c r="E20" s="249" t="n"/>
      <c r="F20" s="238" t="n"/>
      <c r="G20" s="238">
        <f>SUM(G19:G19)</f>
        <v/>
      </c>
      <c r="H20" s="386">
        <f>G20/G26</f>
        <v/>
      </c>
      <c r="I20" s="238" t="n"/>
      <c r="J20" s="238">
        <f>SUM(J19:J19)</f>
        <v/>
      </c>
      <c r="L20" s="241" t="n"/>
    </row>
    <row r="21" outlineLevel="1" ht="25.5" customFormat="1" customHeight="1" s="356">
      <c r="A21" s="383" t="n">
        <v>4</v>
      </c>
      <c r="B21" s="327" t="inlineStr">
        <is>
          <t>91.06.05-016</t>
        </is>
      </c>
      <c r="C21" s="382" t="inlineStr">
        <is>
          <t>Погрузчики с вилочными подхватами, грузоподъемность 5 т</t>
        </is>
      </c>
      <c r="D21" s="383" t="inlineStr">
        <is>
          <t>маш.час</t>
        </is>
      </c>
      <c r="E21" s="325" t="n">
        <v>15.72</v>
      </c>
      <c r="F21" s="268" t="n">
        <v>99.89</v>
      </c>
      <c r="G21" s="238">
        <f>ROUND(E21*F21,2)</f>
        <v/>
      </c>
      <c r="H21" s="386">
        <f>G21/$G$26</f>
        <v/>
      </c>
      <c r="I21" s="238">
        <f>ROUND(F21*Прил.10!$D$11,2)</f>
        <v/>
      </c>
      <c r="J21" s="238">
        <f>ROUND(I21*E21,2)</f>
        <v/>
      </c>
      <c r="L21" s="241" t="n"/>
    </row>
    <row r="22" outlineLevel="1" ht="14.25" customFormat="1" customHeight="1" s="356">
      <c r="A22" s="383" t="n">
        <v>5</v>
      </c>
      <c r="B22" s="327" t="inlineStr">
        <is>
          <t>91.21.22-433</t>
        </is>
      </c>
      <c r="C22" s="382" t="inlineStr">
        <is>
          <t>Установка газотехнологическая</t>
        </is>
      </c>
      <c r="D22" s="383" t="inlineStr">
        <is>
          <t>маш.час</t>
        </is>
      </c>
      <c r="E22" s="325" t="n">
        <v>9.48</v>
      </c>
      <c r="F22" s="268" t="n">
        <v>101.62</v>
      </c>
      <c r="G22" s="238">
        <f>ROUND(E22*F22,2)</f>
        <v/>
      </c>
      <c r="H22" s="386">
        <f>G22/$G$26</f>
        <v/>
      </c>
      <c r="I22" s="238">
        <f>ROUND(F22*Прил.10!$D$11,2)</f>
        <v/>
      </c>
      <c r="J22" s="238">
        <f>ROUND(I22*E22,2)</f>
        <v/>
      </c>
      <c r="L22" s="241" t="n"/>
    </row>
    <row r="23" outlineLevel="1" ht="25.5" customFormat="1" customHeight="1" s="356">
      <c r="A23" s="383" t="n">
        <v>6</v>
      </c>
      <c r="B23" s="327" t="inlineStr">
        <is>
          <t>91.05.04-032</t>
        </is>
      </c>
      <c r="C23" s="382" t="inlineStr">
        <is>
          <t>Краны подвесные электрические (кран-балки), грузоподъемность 5 т</t>
        </is>
      </c>
      <c r="D23" s="383" t="inlineStr">
        <is>
          <t>маш.час</t>
        </is>
      </c>
      <c r="E23" s="325" t="n">
        <v>149.16</v>
      </c>
      <c r="F23" s="268" t="n">
        <v>5.25</v>
      </c>
      <c r="G23" s="238">
        <f>ROUND(E23*F23,2)</f>
        <v/>
      </c>
      <c r="H23" s="386">
        <f>G23/$G$26</f>
        <v/>
      </c>
      <c r="I23" s="238">
        <f>ROUND(F23*Прил.10!$D$11,2)</f>
        <v/>
      </c>
      <c r="J23" s="238">
        <f>ROUND(I23*E23,2)</f>
        <v/>
      </c>
      <c r="L23" s="241" t="n"/>
    </row>
    <row r="24" outlineLevel="1" ht="25.5" customFormat="1" customHeight="1" s="356">
      <c r="A24" s="383" t="n">
        <v>7</v>
      </c>
      <c r="B24" s="327" t="inlineStr">
        <is>
          <t>91.17.04-233</t>
        </is>
      </c>
      <c r="C24" s="382" t="inlineStr">
        <is>
          <t>Установки для сварки ручной дуговой (постоянного тока)</t>
        </is>
      </c>
      <c r="D24" s="383" t="inlineStr">
        <is>
          <t>маш.час</t>
        </is>
      </c>
      <c r="E24" s="325" t="n">
        <v>5.04</v>
      </c>
      <c r="F24" s="268" t="n">
        <v>8.1</v>
      </c>
      <c r="G24" s="238">
        <f>ROUND(E24*F24,2)</f>
        <v/>
      </c>
      <c r="H24" s="386">
        <f>G24/$G$26</f>
        <v/>
      </c>
      <c r="I24" s="238">
        <f>ROUND(F24*Прил.10!$D$11,2)</f>
        <v/>
      </c>
      <c r="J24" s="238">
        <f>ROUND(I24*E24,2)</f>
        <v/>
      </c>
      <c r="L24" s="241" t="n"/>
    </row>
    <row r="25" ht="14.25" customFormat="1" customHeight="1" s="356">
      <c r="A25" s="383" t="n"/>
      <c r="B25" s="383" t="n"/>
      <c r="C25" s="382" t="inlineStr">
        <is>
          <t>Итого прочие машины и механизмы</t>
        </is>
      </c>
      <c r="D25" s="383" t="n"/>
      <c r="E25" s="384" t="n"/>
      <c r="F25" s="238" t="n"/>
      <c r="G25" s="238">
        <f>SUM(G21:G24)</f>
        <v/>
      </c>
      <c r="H25" s="386">
        <f>G25/G26</f>
        <v/>
      </c>
      <c r="I25" s="238" t="n"/>
      <c r="J25" s="238">
        <f>SUM(J21:J24)</f>
        <v/>
      </c>
      <c r="K25" s="241" t="n"/>
      <c r="L25" s="241" t="n"/>
    </row>
    <row r="26" ht="25.5" customFormat="1" customHeight="1" s="356">
      <c r="A26" s="383" t="n"/>
      <c r="B26" s="387" t="n"/>
      <c r="C26" s="252" t="inlineStr">
        <is>
          <t>Итого по разделу «Машины и механизмы»</t>
        </is>
      </c>
      <c r="D26" s="387" t="n"/>
      <c r="E26" s="253" t="n"/>
      <c r="F26" s="254" t="n"/>
      <c r="G26" s="254">
        <f>G20+G25</f>
        <v/>
      </c>
      <c r="H26" s="255" t="n">
        <v>1</v>
      </c>
      <c r="I26" s="254" t="n"/>
      <c r="J26" s="254">
        <f>J20+J25</f>
        <v/>
      </c>
    </row>
    <row r="27" ht="29.25" customHeight="1" s="345">
      <c r="A27" s="389" t="n"/>
      <c r="B27" s="379" t="inlineStr">
        <is>
          <t xml:space="preserve">Оборудование </t>
        </is>
      </c>
      <c r="C27" s="453" t="n"/>
      <c r="D27" s="453" t="n"/>
      <c r="E27" s="453" t="n"/>
      <c r="F27" s="453" t="n"/>
      <c r="G27" s="453" t="n"/>
      <c r="H27" s="453" t="n"/>
      <c r="I27" s="453" t="n"/>
      <c r="J27" s="454" t="n"/>
      <c r="K27" s="356" t="n"/>
      <c r="L27" s="356" t="n"/>
      <c r="M27" s="356" t="n"/>
      <c r="N27" s="356" t="n"/>
    </row>
    <row r="28" ht="15" customHeight="1" s="345">
      <c r="A28" s="383" t="n"/>
      <c r="B28" s="392" t="inlineStr">
        <is>
          <t>Основное оборудование</t>
        </is>
      </c>
      <c r="K28" s="356" t="n"/>
      <c r="L28" s="356" t="n"/>
      <c r="M28" s="356" t="n"/>
      <c r="N28" s="356" t="n"/>
    </row>
    <row r="29" s="345">
      <c r="A29" s="383" t="n">
        <v>8</v>
      </c>
      <c r="B29" s="327" t="inlineStr">
        <is>
          <t>БЦ.4_1.565</t>
        </is>
      </c>
      <c r="C29" s="382" t="inlineStr">
        <is>
          <t>Ячейка выключателя 330 кВ 3150/40</t>
        </is>
      </c>
      <c r="D29" s="383" t="inlineStr">
        <is>
          <t>шт</t>
        </is>
      </c>
      <c r="E29" s="325" t="n">
        <v>4</v>
      </c>
      <c r="F29" s="238">
        <f>I29/Прил.10!$D$13</f>
        <v/>
      </c>
      <c r="G29" s="238">
        <f>ROUND(E29*F29,2)</f>
        <v/>
      </c>
      <c r="H29" s="386">
        <f>G29/$G$34</f>
        <v/>
      </c>
      <c r="I29" s="238" t="n">
        <v>198630000</v>
      </c>
      <c r="J29" s="238">
        <f>ROUND(I29*E29,2)</f>
        <v/>
      </c>
      <c r="K29" s="356" t="n"/>
      <c r="L29" s="356" t="n"/>
      <c r="M29" s="356" t="n"/>
      <c r="N29" s="356" t="n"/>
    </row>
    <row r="30" ht="15.75" customHeight="1" s="345">
      <c r="A30" s="383" t="n"/>
      <c r="B30" s="383" t="n"/>
      <c r="C30" s="382" t="inlineStr">
        <is>
          <t>Итого основное оборудование</t>
        </is>
      </c>
      <c r="D30" s="383" t="n"/>
      <c r="E30" s="325" t="n"/>
      <c r="F30" s="385" t="n"/>
      <c r="G30" s="238">
        <f>SUM(G29:G29)</f>
        <v/>
      </c>
      <c r="H30" s="386">
        <f>G30/$G$34</f>
        <v/>
      </c>
      <c r="I30" s="238" t="n"/>
      <c r="J30" s="238">
        <f>SUM(J29:J29)</f>
        <v/>
      </c>
      <c r="K30" s="241" t="n"/>
      <c r="L30" s="356" t="n"/>
      <c r="M30" s="356" t="n"/>
      <c r="N30" s="356" t="n"/>
    </row>
    <row r="31" outlineLevel="1" ht="25.5" customHeight="1" s="345">
      <c r="A31" s="383" t="n">
        <v>9</v>
      </c>
      <c r="B31" s="327" t="inlineStr">
        <is>
          <t>Прайс из СД ОП</t>
        </is>
      </c>
      <c r="C31" s="382" t="inlineStr">
        <is>
          <t>Газотехнологическое оборудование для монтажа КРУЭ 330 кв</t>
        </is>
      </c>
      <c r="D31" s="383" t="inlineStr">
        <is>
          <t>к-т</t>
        </is>
      </c>
      <c r="E31" s="325" t="n">
        <v>1</v>
      </c>
      <c r="F31" s="238" t="n">
        <v>1492146.6</v>
      </c>
      <c r="G31" s="238">
        <f>ROUND(E31*F31,2)</f>
        <v/>
      </c>
      <c r="H31" s="386">
        <f>G31/$G$34</f>
        <v/>
      </c>
      <c r="I31" s="238">
        <f>ROUND(F31*Прил.10!$D$13,2)</f>
        <v/>
      </c>
      <c r="J31" s="238">
        <f>ROUND(I31*E31,2)</f>
        <v/>
      </c>
      <c r="K31" s="356" t="n"/>
      <c r="L31" s="356" t="n"/>
      <c r="M31" s="356" t="n"/>
      <c r="N31" s="356" t="n"/>
    </row>
    <row r="32" outlineLevel="1" ht="25.5" customHeight="1" s="345">
      <c r="A32" s="383" t="n">
        <v>10</v>
      </c>
      <c r="B32" s="327" t="inlineStr">
        <is>
          <t>Прайс из СД ОП</t>
        </is>
      </c>
      <c r="C32" s="382" t="inlineStr">
        <is>
          <t>элегаз в балонах (40 кг) для первичного заполнения-для монтажа КРУЭ 330 кв</t>
        </is>
      </c>
      <c r="D32" s="383" t="inlineStr">
        <is>
          <t>шт</t>
        </is>
      </c>
      <c r="E32" s="325" t="n">
        <v>87</v>
      </c>
      <c r="F32" s="238" t="n">
        <v>15706.81</v>
      </c>
      <c r="G32" s="238">
        <f>ROUND(E32*F32,2)</f>
        <v/>
      </c>
      <c r="H32" s="386">
        <f>G32/$G$34</f>
        <v/>
      </c>
      <c r="I32" s="238">
        <f>ROUND(F32*Прил.10!$D$13,2)</f>
        <v/>
      </c>
      <c r="J32" s="238">
        <f>ROUND(I32*E32,2)</f>
        <v/>
      </c>
      <c r="K32" s="356" t="n"/>
      <c r="L32" s="356" t="n"/>
      <c r="M32" s="356" t="n"/>
      <c r="N32" s="356" t="n"/>
    </row>
    <row r="33" ht="13.5" customHeight="1" s="345">
      <c r="A33" s="383" t="n"/>
      <c r="B33" s="383" t="n"/>
      <c r="C33" s="382" t="inlineStr">
        <is>
          <t>Итого прочее оборудование</t>
        </is>
      </c>
      <c r="D33" s="383" t="n"/>
      <c r="E33" s="384" t="n"/>
      <c r="F33" s="385" t="n"/>
      <c r="G33" s="238">
        <f>SUM(G31:G32)</f>
        <v/>
      </c>
      <c r="H33" s="386">
        <f>G33/$G$34</f>
        <v/>
      </c>
      <c r="I33" s="385" t="n"/>
      <c r="J33" s="238">
        <f>SUM(J31:J32)</f>
        <v/>
      </c>
      <c r="K33" s="241" t="n"/>
      <c r="L33" s="356" t="n"/>
      <c r="M33" s="356" t="n"/>
      <c r="N33" s="356" t="n"/>
    </row>
    <row r="34" ht="23.25" customHeight="1" s="345">
      <c r="A34" s="383" t="n"/>
      <c r="B34" s="383" t="n"/>
      <c r="C34" s="379" t="inlineStr">
        <is>
          <t>Итого по разделу «Оборудование»</t>
        </is>
      </c>
      <c r="D34" s="383" t="n"/>
      <c r="E34" s="384" t="n"/>
      <c r="F34" s="385" t="n"/>
      <c r="G34" s="238">
        <f>G33+G30</f>
        <v/>
      </c>
      <c r="H34" s="386">
        <f>(G30+G33)/G34</f>
        <v/>
      </c>
      <c r="I34" s="238" t="n"/>
      <c r="J34" s="238">
        <f>J33+J30</f>
        <v/>
      </c>
      <c r="K34" s="241" t="n"/>
      <c r="L34" s="356" t="n"/>
      <c r="M34" s="356" t="n"/>
      <c r="N34" s="356" t="n"/>
    </row>
    <row r="35" ht="25.5" customHeight="1" s="345">
      <c r="A35" s="383" t="n"/>
      <c r="B35" s="383" t="n"/>
      <c r="C35" s="382" t="inlineStr">
        <is>
          <t>в том числе технологическое оборудование</t>
        </is>
      </c>
      <c r="D35" s="383" t="n"/>
      <c r="E35" s="384" t="n"/>
      <c r="F35" s="385" t="n"/>
      <c r="G35" s="238">
        <f>G34</f>
        <v/>
      </c>
      <c r="H35" s="386">
        <f>G35/$G$34</f>
        <v/>
      </c>
      <c r="I35" s="238" t="n"/>
      <c r="J35" s="238">
        <f>J34</f>
        <v/>
      </c>
      <c r="K35" s="241" t="n"/>
      <c r="L35" s="356" t="n"/>
      <c r="M35" s="356" t="n"/>
      <c r="N35" s="356" t="n"/>
    </row>
    <row r="36" ht="30" customFormat="1" customHeight="1" s="356">
      <c r="A36" s="383" t="n"/>
      <c r="B36" s="457" t="inlineStr">
        <is>
          <t xml:space="preserve">Материалы </t>
        </is>
      </c>
      <c r="J36" s="458" t="n"/>
      <c r="K36" s="241" t="n"/>
    </row>
    <row r="37" ht="14.25" customFormat="1" customHeight="1" s="356">
      <c r="A37" s="383" t="n"/>
      <c r="B37" s="382" t="inlineStr">
        <is>
          <t>Основные материалы</t>
        </is>
      </c>
      <c r="C37" s="453" t="n"/>
      <c r="D37" s="453" t="n"/>
      <c r="E37" s="453" t="n"/>
      <c r="F37" s="453" t="n"/>
      <c r="G37" s="453" t="n"/>
      <c r="H37" s="454" t="n"/>
      <c r="I37" s="386" t="n"/>
      <c r="J37" s="386" t="n"/>
    </row>
    <row r="38" ht="14.25" customFormat="1" customHeight="1" s="356">
      <c r="A38" s="383" t="n">
        <v>11</v>
      </c>
      <c r="B38" s="216" t="inlineStr">
        <is>
          <t>01.3.01.07-0003</t>
        </is>
      </c>
      <c r="C38" s="217" t="inlineStr">
        <is>
          <t>Спирт изопропиловый</t>
        </is>
      </c>
      <c r="D38" s="403" t="inlineStr">
        <is>
          <t>л</t>
        </is>
      </c>
      <c r="E38" s="403" t="n">
        <v>33.2</v>
      </c>
      <c r="F38" s="214" t="n">
        <v>55.6</v>
      </c>
      <c r="G38" s="238">
        <f>ROUND(E38*F38,2)</f>
        <v/>
      </c>
      <c r="H38" s="386">
        <f>G38/$G$44</f>
        <v/>
      </c>
      <c r="I38" s="238">
        <f>ROUND(F38*Прил.10!$D$12,2)</f>
        <v/>
      </c>
      <c r="J38" s="238">
        <f>ROUND(I38*E38,2)</f>
        <v/>
      </c>
    </row>
    <row r="39" ht="14.25" customFormat="1" customHeight="1" s="356">
      <c r="A39" s="383" t="n">
        <v>12</v>
      </c>
      <c r="B39" s="216" t="inlineStr">
        <is>
          <t>14.2.06.05-0001</t>
        </is>
      </c>
      <c r="C39" s="217" t="inlineStr">
        <is>
          <t>Герметик Компаунд КЛД-ЗОМФ</t>
        </is>
      </c>
      <c r="D39" s="403" t="inlineStr">
        <is>
          <t>кг</t>
        </is>
      </c>
      <c r="E39" s="403" t="n">
        <v>4.96</v>
      </c>
      <c r="F39" s="214" t="n">
        <v>254.25</v>
      </c>
      <c r="G39" s="238">
        <f>ROUND(E39*F39,2)</f>
        <v/>
      </c>
      <c r="H39" s="386">
        <f>G39/$G$44</f>
        <v/>
      </c>
      <c r="I39" s="238">
        <f>ROUND(F39*Прил.10!$D$12,2)</f>
        <v/>
      </c>
      <c r="J39" s="238">
        <f>ROUND(I39*E39,2)</f>
        <v/>
      </c>
    </row>
    <row r="40" ht="14.25" customFormat="1" customHeight="1" s="356">
      <c r="A40" s="383" t="n"/>
      <c r="B40" s="327" t="n"/>
      <c r="C40" s="382" t="inlineStr">
        <is>
          <t>Итого основные материалы</t>
        </is>
      </c>
      <c r="D40" s="383" t="n"/>
      <c r="E40" s="325" t="n"/>
      <c r="F40" s="268" t="n"/>
      <c r="G40" s="238">
        <f>SUM(G38:G39)</f>
        <v/>
      </c>
      <c r="H40" s="386">
        <f>G40/$G$44</f>
        <v/>
      </c>
      <c r="I40" s="238" t="n"/>
      <c r="J40" s="238">
        <f>SUM(J38:J39)</f>
        <v/>
      </c>
      <c r="K40" s="241" t="n"/>
    </row>
    <row r="41" outlineLevel="1" ht="25.5" customFormat="1" customHeight="1" s="356">
      <c r="A41" s="383" t="n">
        <v>13</v>
      </c>
      <c r="B41" s="216" t="inlineStr">
        <is>
          <t>999-9950</t>
        </is>
      </c>
      <c r="C41" s="217" t="inlineStr">
        <is>
          <t>Вспомогательные ненормируемые ресурсы (2% от Оплаты труда рабочих)</t>
        </is>
      </c>
      <c r="D41" s="403" t="inlineStr">
        <is>
          <t>руб.</t>
        </is>
      </c>
      <c r="E41" s="403" t="n">
        <v>393.4</v>
      </c>
      <c r="F41" s="214" t="n">
        <v>1</v>
      </c>
      <c r="G41" s="238">
        <f>ROUND(E41*F41,2)</f>
        <v/>
      </c>
      <c r="H41" s="386">
        <f>G41/$G$44</f>
        <v/>
      </c>
      <c r="I41" s="238">
        <f>ROUND(F41*Прил.10!$D$12,2)</f>
        <v/>
      </c>
      <c r="J41" s="238">
        <f>ROUND(I41*E41,2)</f>
        <v/>
      </c>
    </row>
    <row r="42" outlineLevel="1" ht="14.25" customFormat="1" customHeight="1" s="356">
      <c r="A42" s="383" t="n">
        <v>14</v>
      </c>
      <c r="B42" s="216" t="inlineStr">
        <is>
          <t>01.7.11.07-0036</t>
        </is>
      </c>
      <c r="C42" s="217" t="inlineStr">
        <is>
          <t>Электроды диаметром: 4 мм Э46</t>
        </is>
      </c>
      <c r="D42" s="403" t="inlineStr">
        <is>
          <t>кг</t>
        </is>
      </c>
      <c r="E42" s="403" t="n">
        <v>8.4</v>
      </c>
      <c r="F42" s="214" t="n">
        <v>10.75</v>
      </c>
      <c r="G42" s="238">
        <f>ROUND(E42*F42,2)</f>
        <v/>
      </c>
      <c r="H42" s="386">
        <f>G42/$G$44</f>
        <v/>
      </c>
      <c r="I42" s="238">
        <f>ROUND(F42*Прил.10!$D$12,2)</f>
        <v/>
      </c>
      <c r="J42" s="238">
        <f>ROUND(I42*E42,2)</f>
        <v/>
      </c>
    </row>
    <row r="43" ht="14.25" customFormat="1" customHeight="1" s="356">
      <c r="A43" s="383" t="n"/>
      <c r="B43" s="383" t="n"/>
      <c r="C43" s="382" t="inlineStr">
        <is>
          <t>Итого прочие материалы</t>
        </is>
      </c>
      <c r="D43" s="383" t="n"/>
      <c r="E43" s="384" t="n"/>
      <c r="F43" s="385" t="n"/>
      <c r="G43" s="238">
        <f>SUM(G41:G42)</f>
        <v/>
      </c>
      <c r="H43" s="386">
        <f>G43/G44</f>
        <v/>
      </c>
      <c r="I43" s="238" t="n"/>
      <c r="J43" s="238">
        <f>SUM(J41:J42)</f>
        <v/>
      </c>
    </row>
    <row r="44" ht="14.25" customFormat="1" customHeight="1" s="356">
      <c r="A44" s="383" t="n"/>
      <c r="B44" s="383" t="n"/>
      <c r="C44" s="379" t="inlineStr">
        <is>
          <t>Итого по разделу «Материалы»</t>
        </is>
      </c>
      <c r="D44" s="383" t="n"/>
      <c r="E44" s="384" t="n"/>
      <c r="F44" s="385" t="n"/>
      <c r="G44" s="238">
        <f>G40+G43</f>
        <v/>
      </c>
      <c r="H44" s="386" t="n">
        <v>1</v>
      </c>
      <c r="I44" s="385" t="n"/>
      <c r="J44" s="238">
        <f>J40+J43</f>
        <v/>
      </c>
      <c r="K44" s="241" t="n"/>
    </row>
    <row r="45" ht="14.25" customFormat="1" customHeight="1" s="356">
      <c r="A45" s="383" t="n"/>
      <c r="B45" s="383" t="n"/>
      <c r="C45" s="382" t="inlineStr">
        <is>
          <t>ИТОГО ПО РМ</t>
        </is>
      </c>
      <c r="D45" s="383" t="n"/>
      <c r="E45" s="384" t="n"/>
      <c r="F45" s="385" t="n"/>
      <c r="G45" s="238">
        <f>G14+G26+G44</f>
        <v/>
      </c>
      <c r="H45" s="386" t="n"/>
      <c r="I45" s="385" t="n"/>
      <c r="J45" s="238">
        <f>J14+J26+J44</f>
        <v/>
      </c>
    </row>
    <row r="46" ht="14.25" customFormat="1" customHeight="1" s="356">
      <c r="A46" s="383" t="n"/>
      <c r="B46" s="383" t="n"/>
      <c r="C46" s="382" t="inlineStr">
        <is>
          <t>Накладные расходы</t>
        </is>
      </c>
      <c r="D46" s="383" t="inlineStr">
        <is>
          <t>%</t>
        </is>
      </c>
      <c r="E46" s="269">
        <f>ROUND(G46/(G14+G16),2)</f>
        <v/>
      </c>
      <c r="F46" s="385" t="n"/>
      <c r="G46" s="238" t="n">
        <v>19515</v>
      </c>
      <c r="H46" s="386" t="n"/>
      <c r="I46" s="385" t="n"/>
      <c r="J46" s="238">
        <f>ROUND(E46*(J14+J16),2)</f>
        <v/>
      </c>
      <c r="K46" s="270" t="n"/>
    </row>
    <row r="47" ht="14.25" customFormat="1" customHeight="1" s="356">
      <c r="A47" s="383" t="n"/>
      <c r="B47" s="383" t="n"/>
      <c r="C47" s="382" t="inlineStr">
        <is>
          <t>Сметная прибыль</t>
        </is>
      </c>
      <c r="D47" s="383" t="inlineStr">
        <is>
          <t>%</t>
        </is>
      </c>
      <c r="E47" s="269">
        <f>ROUND(G47/(G14+G16),2)</f>
        <v/>
      </c>
      <c r="F47" s="385" t="n"/>
      <c r="G47" s="238" t="n">
        <v>13352</v>
      </c>
      <c r="H47" s="386" t="n"/>
      <c r="I47" s="385" t="n"/>
      <c r="J47" s="238">
        <f>ROUND(E47*(J14+J16),2)</f>
        <v/>
      </c>
      <c r="K47" s="270" t="n"/>
    </row>
    <row r="48" ht="14.25" customFormat="1" customHeight="1" s="356">
      <c r="A48" s="383" t="n"/>
      <c r="B48" s="383" t="n"/>
      <c r="C48" s="382" t="inlineStr">
        <is>
          <t>Итого СМР (с НР и СП)</t>
        </is>
      </c>
      <c r="D48" s="383" t="n"/>
      <c r="E48" s="384" t="n"/>
      <c r="F48" s="385" t="n"/>
      <c r="G48" s="238">
        <f>G14+G26+G44+G46+G47</f>
        <v/>
      </c>
      <c r="H48" s="386" t="n"/>
      <c r="I48" s="385" t="n"/>
      <c r="J48" s="238">
        <f>J14+J26+J44+J46+J47</f>
        <v/>
      </c>
      <c r="L48" s="271" t="n"/>
    </row>
    <row r="49" ht="14.25" customFormat="1" customHeight="1" s="356">
      <c r="A49" s="383" t="n"/>
      <c r="B49" s="383" t="n"/>
      <c r="C49" s="382" t="inlineStr">
        <is>
          <t>ВСЕГО СМР + ОБОРУДОВАНИЕ</t>
        </is>
      </c>
      <c r="D49" s="383" t="n"/>
      <c r="E49" s="384" t="n"/>
      <c r="F49" s="385" t="n"/>
      <c r="G49" s="238">
        <f>G48+G34</f>
        <v/>
      </c>
      <c r="H49" s="386" t="n"/>
      <c r="I49" s="385" t="n"/>
      <c r="J49" s="238">
        <f>J48+J34</f>
        <v/>
      </c>
      <c r="L49" s="270" t="n"/>
    </row>
    <row r="50" ht="14.25" customFormat="1" customHeight="1" s="356">
      <c r="A50" s="383" t="n"/>
      <c r="B50" s="383" t="n"/>
      <c r="C50" s="382" t="inlineStr">
        <is>
          <t>ИТОГО ПОКАЗАТЕЛЬ НА ЕД. ИЗМ.</t>
        </is>
      </c>
      <c r="D50" s="383" t="inlineStr">
        <is>
          <t>ед.</t>
        </is>
      </c>
      <c r="E50" s="272" t="n">
        <v>4</v>
      </c>
      <c r="F50" s="385" t="n"/>
      <c r="G50" s="238">
        <f>G49/E50</f>
        <v/>
      </c>
      <c r="H50" s="386" t="n"/>
      <c r="I50" s="385" t="n"/>
      <c r="J50" s="238">
        <f>J49/E50</f>
        <v/>
      </c>
      <c r="L50" s="270" t="n"/>
    </row>
    <row r="54" ht="14.25" customFormat="1" customHeight="1" s="356">
      <c r="A54" s="354" t="n"/>
    </row>
    <row r="55" ht="14.25" customFormat="1" customHeight="1" s="356">
      <c r="A55" s="346" t="inlineStr">
        <is>
          <t>Составил ______________________      Е. М. Добровольская</t>
        </is>
      </c>
    </row>
    <row r="56" ht="14.25" customFormat="1" customHeight="1" s="356">
      <c r="A56" s="357" t="inlineStr">
        <is>
          <t xml:space="preserve">                         (подпись, инициалы, фамилия)</t>
        </is>
      </c>
    </row>
    <row r="57" ht="14.25" customFormat="1" customHeight="1" s="356">
      <c r="A57" s="346" t="n"/>
    </row>
    <row r="58" ht="14.25" customFormat="1" customHeight="1" s="356">
      <c r="A58" s="346" t="inlineStr">
        <is>
          <t>Проверил ______________________        А.В. Костянецкая</t>
        </is>
      </c>
    </row>
    <row r="59" ht="14.25" customFormat="1" customHeight="1" s="356">
      <c r="A59" s="357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A7:H7"/>
    <mergeCell ref="B28:J28"/>
    <mergeCell ref="B9:B10"/>
    <mergeCell ref="D9:D10"/>
    <mergeCell ref="B18:H18"/>
    <mergeCell ref="B36:J36"/>
    <mergeCell ref="B12:H12"/>
    <mergeCell ref="D6:J6"/>
    <mergeCell ref="F9:G9"/>
    <mergeCell ref="A4:H4"/>
    <mergeCell ref="B17:H17"/>
    <mergeCell ref="A9:A10"/>
    <mergeCell ref="A6:C6"/>
    <mergeCell ref="B27:J27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E21" sqref="E21"/>
    </sheetView>
  </sheetViews>
  <sheetFormatPr baseColWidth="8" defaultRowHeight="15"/>
  <cols>
    <col width="5.7109375" customWidth="1" style="345" min="1" max="1"/>
    <col width="14.85546875" customWidth="1" style="345" min="2" max="2"/>
    <col width="41.85546875" customWidth="1" style="345" min="3" max="3"/>
    <col width="9.7109375" customWidth="1" style="345" min="4" max="4"/>
    <col width="13.5703125" customWidth="1" style="345" min="5" max="5"/>
    <col width="12.42578125" customWidth="1" style="345" min="6" max="6"/>
    <col width="14.140625" customWidth="1" style="345" min="7" max="7"/>
  </cols>
  <sheetData>
    <row r="1">
      <c r="A1" s="402" t="inlineStr">
        <is>
          <t>Приложение №6</t>
        </is>
      </c>
    </row>
    <row r="2">
      <c r="A2" s="402" t="n"/>
      <c r="B2" s="402" t="n"/>
      <c r="C2" s="402" t="n"/>
      <c r="D2" s="402" t="n"/>
      <c r="E2" s="402" t="n"/>
      <c r="F2" s="402" t="n"/>
      <c r="G2" s="402" t="n"/>
    </row>
    <row r="3" ht="24.75" customHeight="1" s="345">
      <c r="A3" s="358" t="inlineStr">
        <is>
          <t>Расчет стоимости оборудования</t>
        </is>
      </c>
    </row>
    <row r="4" ht="24.75" customHeight="1" s="345">
      <c r="A4" s="358" t="n"/>
      <c r="B4" s="358" t="n"/>
      <c r="C4" s="358" t="n"/>
      <c r="D4" s="358" t="n"/>
      <c r="E4" s="358" t="n"/>
      <c r="F4" s="358" t="n"/>
      <c r="G4" s="358" t="n"/>
    </row>
    <row r="5" ht="25.5" customHeight="1" s="345">
      <c r="A5" s="361" t="inlineStr">
        <is>
          <t xml:space="preserve">Наименование разрабатываемого показателя УНЦ - </t>
        </is>
      </c>
      <c r="D5" s="361">
        <f>'Прил.5 Расчет СМР и ОБ'!D6</f>
        <v/>
      </c>
    </row>
    <row r="6">
      <c r="A6" s="346" t="n"/>
      <c r="B6" s="346" t="n"/>
      <c r="C6" s="346" t="n"/>
      <c r="D6" s="346" t="n"/>
      <c r="E6" s="346" t="n"/>
      <c r="F6" s="346" t="n"/>
      <c r="G6" s="346" t="n"/>
    </row>
    <row r="7" ht="30" customHeight="1" s="345">
      <c r="A7" s="403" t="inlineStr">
        <is>
          <t>№ пп.</t>
        </is>
      </c>
      <c r="B7" s="403" t="inlineStr">
        <is>
          <t>Код ресурса</t>
        </is>
      </c>
      <c r="C7" s="403" t="inlineStr">
        <is>
          <t>Наименование</t>
        </is>
      </c>
      <c r="D7" s="403" t="inlineStr">
        <is>
          <t>Ед. изм.</t>
        </is>
      </c>
      <c r="E7" s="383" t="inlineStr">
        <is>
          <t>Кол-во единиц по проектным данным</t>
        </is>
      </c>
      <c r="F7" s="403" t="inlineStr">
        <is>
          <t>Сметная стоимость в ценах на 01.01.2000 (руб.)</t>
        </is>
      </c>
      <c r="G7" s="454" t="n"/>
    </row>
    <row r="8">
      <c r="A8" s="456" t="n"/>
      <c r="B8" s="456" t="n"/>
      <c r="C8" s="456" t="n"/>
      <c r="D8" s="456" t="n"/>
      <c r="E8" s="456" t="n"/>
      <c r="F8" s="383" t="inlineStr">
        <is>
          <t>на ед. изм.</t>
        </is>
      </c>
      <c r="G8" s="383" t="inlineStr">
        <is>
          <t>общая</t>
        </is>
      </c>
    </row>
    <row r="9">
      <c r="A9" s="383" t="n">
        <v>1</v>
      </c>
      <c r="B9" s="383" t="n">
        <v>2</v>
      </c>
      <c r="C9" s="383" t="n">
        <v>3</v>
      </c>
      <c r="D9" s="383" t="n">
        <v>4</v>
      </c>
      <c r="E9" s="383" t="n">
        <v>5</v>
      </c>
      <c r="F9" s="383" t="n">
        <v>6</v>
      </c>
      <c r="G9" s="383" t="n">
        <v>7</v>
      </c>
    </row>
    <row r="10" ht="15" customHeight="1" s="345">
      <c r="A10" s="225" t="n"/>
      <c r="B10" s="382" t="inlineStr">
        <is>
          <t>ИНЖЕНЕРНОЕ ОБОРУДОВАНИЕ</t>
        </is>
      </c>
      <c r="C10" s="453" t="n"/>
      <c r="D10" s="453" t="n"/>
      <c r="E10" s="453" t="n"/>
      <c r="F10" s="453" t="n"/>
      <c r="G10" s="454" t="n"/>
    </row>
    <row r="11" ht="20.25" customHeight="1" s="345">
      <c r="A11" s="383" t="n"/>
      <c r="B11" s="379" t="n"/>
      <c r="C11" s="382" t="inlineStr">
        <is>
          <t>ИТОГО ИНЖЕНЕРНОЕ ОБОРУДОВАНИЕ</t>
        </is>
      </c>
      <c r="D11" s="379" t="n"/>
      <c r="E11" s="148" t="n"/>
      <c r="F11" s="385" t="n"/>
      <c r="G11" s="385" t="n">
        <v>0</v>
      </c>
    </row>
    <row r="12" ht="15" customHeight="1" s="345">
      <c r="A12" s="383" t="n"/>
      <c r="B12" s="162" t="inlineStr">
        <is>
          <t>ТЕХНОЛОГИЧЕСКОЕ ОБОРУДОВАНИЕ</t>
        </is>
      </c>
      <c r="C12" s="459" t="n"/>
      <c r="D12" s="459" t="n"/>
      <c r="E12" s="459" t="n"/>
      <c r="F12" s="459" t="n"/>
      <c r="G12" s="460" t="n"/>
    </row>
    <row r="13">
      <c r="A13" s="383" t="n">
        <v>1</v>
      </c>
      <c r="B13" s="327">
        <f>'Прил.5 Расчет СМР и ОБ'!B29</f>
        <v/>
      </c>
      <c r="C13" s="341">
        <f>'Прил.5 Расчет СМР и ОБ'!C29</f>
        <v/>
      </c>
      <c r="D13" s="327">
        <f>'Прил.5 Расчет СМР и ОБ'!D29</f>
        <v/>
      </c>
      <c r="E13" s="327">
        <f>'Прил.5 Расчет СМР и ОБ'!E29</f>
        <v/>
      </c>
      <c r="F13" s="342">
        <f>'Прил.5 Расчет СМР и ОБ'!F29</f>
        <v/>
      </c>
      <c r="G13" s="238">
        <f>ROUND(E13*F13,2)</f>
        <v/>
      </c>
    </row>
    <row r="14" ht="25.5" customHeight="1" s="345">
      <c r="A14" s="383" t="n">
        <v>2</v>
      </c>
      <c r="B14" s="327">
        <f>'Прил.5 Расчет СМР и ОБ'!B31</f>
        <v/>
      </c>
      <c r="C14" s="341">
        <f>'Прил.5 Расчет СМР и ОБ'!C31</f>
        <v/>
      </c>
      <c r="D14" s="327">
        <f>'Прил.5 Расчет СМР и ОБ'!D31</f>
        <v/>
      </c>
      <c r="E14" s="327">
        <f>'Прил.5 Расчет СМР и ОБ'!E31</f>
        <v/>
      </c>
      <c r="F14" s="342">
        <f>'Прил.5 Расчет СМР и ОБ'!F31</f>
        <v/>
      </c>
      <c r="G14" s="238">
        <f>ROUND(E14*F14,2)</f>
        <v/>
      </c>
    </row>
    <row r="15" ht="25.5" customHeight="1" s="345">
      <c r="A15" s="383" t="n">
        <v>3</v>
      </c>
      <c r="B15" s="327">
        <f>'Прил.5 Расчет СМР и ОБ'!B32</f>
        <v/>
      </c>
      <c r="C15" s="341">
        <f>'Прил.5 Расчет СМР и ОБ'!C32</f>
        <v/>
      </c>
      <c r="D15" s="327">
        <f>'Прил.5 Расчет СМР и ОБ'!D32</f>
        <v/>
      </c>
      <c r="E15" s="327">
        <f>'Прил.5 Расчет СМР и ОБ'!E32</f>
        <v/>
      </c>
      <c r="F15" s="342">
        <f>'Прил.5 Расчет СМР и ОБ'!F32</f>
        <v/>
      </c>
      <c r="G15" s="238">
        <f>ROUND(E15*F15,2)</f>
        <v/>
      </c>
    </row>
    <row r="16" ht="25.5" customHeight="1" s="345">
      <c r="A16" s="383" t="n"/>
      <c r="B16" s="166" t="n"/>
      <c r="C16" s="166" t="inlineStr">
        <is>
          <t>ИТОГО ТЕХНОЛОГИЧЕСКОЕ ОБОРУДОВАНИЕ</t>
        </is>
      </c>
      <c r="D16" s="166" t="n"/>
      <c r="E16" s="167" t="n"/>
      <c r="F16" s="385" t="n"/>
      <c r="G16" s="238">
        <f>SUM(G13:G15)</f>
        <v/>
      </c>
    </row>
    <row r="17" ht="19.5" customHeight="1" s="345">
      <c r="A17" s="383" t="n"/>
      <c r="B17" s="382" t="n"/>
      <c r="C17" s="382" t="inlineStr">
        <is>
          <t>Всего по разделу «Оборудование»</t>
        </is>
      </c>
      <c r="D17" s="382" t="n"/>
      <c r="E17" s="268" t="n"/>
      <c r="F17" s="385" t="n"/>
      <c r="G17" s="238">
        <f>G11+G16</f>
        <v/>
      </c>
    </row>
    <row r="18">
      <c r="A18" s="354" t="n"/>
      <c r="B18" s="355" t="n"/>
      <c r="C18" s="354" t="n"/>
      <c r="D18" s="354" t="n"/>
      <c r="E18" s="354" t="n"/>
      <c r="F18" s="354" t="n"/>
      <c r="G18" s="354" t="n"/>
    </row>
    <row r="19" s="345">
      <c r="A19" s="346" t="inlineStr">
        <is>
          <t>Составил ______________________      Е. М. Добровольская</t>
        </is>
      </c>
      <c r="B19" s="356" t="n"/>
      <c r="C19" s="356" t="n"/>
      <c r="D19" s="354" t="n"/>
      <c r="E19" s="354" t="n"/>
      <c r="F19" s="354" t="n"/>
      <c r="G19" s="354" t="n"/>
    </row>
    <row r="20" s="345">
      <c r="A20" s="357" t="inlineStr">
        <is>
          <t xml:space="preserve">                         (подпись, инициалы, фамилия)</t>
        </is>
      </c>
      <c r="B20" s="356" t="n"/>
      <c r="C20" s="356" t="n"/>
      <c r="D20" s="354" t="n"/>
      <c r="E20" s="354" t="n"/>
      <c r="F20" s="354" t="n"/>
      <c r="G20" s="354" t="n"/>
    </row>
    <row r="21" s="345">
      <c r="A21" s="346" t="n"/>
      <c r="B21" s="356" t="n"/>
      <c r="C21" s="356" t="n"/>
      <c r="D21" s="354" t="n"/>
      <c r="E21" s="354" t="n"/>
      <c r="F21" s="354" t="n"/>
      <c r="G21" s="354" t="n"/>
    </row>
    <row r="22" s="345">
      <c r="A22" s="346" t="inlineStr">
        <is>
          <t>Проверил ______________________        А.В. Костянецкая</t>
        </is>
      </c>
      <c r="B22" s="356" t="n"/>
      <c r="C22" s="356" t="n"/>
      <c r="D22" s="354" t="n"/>
      <c r="E22" s="354" t="n"/>
      <c r="F22" s="354" t="n"/>
      <c r="G22" s="354" t="n"/>
    </row>
    <row r="23" s="345">
      <c r="A23" s="357" t="inlineStr">
        <is>
          <t xml:space="preserve">                        (подпись, инициалы, фамилия)</t>
        </is>
      </c>
      <c r="B23" s="356" t="n"/>
      <c r="C23" s="356" t="n"/>
      <c r="D23" s="354" t="n"/>
      <c r="E23" s="354" t="n"/>
      <c r="F23" s="354" t="n"/>
      <c r="G23" s="354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79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1.85546875" customWidth="1" style="345" min="1" max="1"/>
    <col width="29.7109375" customWidth="1" style="345" min="2" max="2"/>
    <col width="35" customWidth="1" style="345" min="3" max="3"/>
    <col width="27.5703125" customWidth="1" style="345" min="4" max="4"/>
    <col width="24.85546875" customWidth="1" style="345" min="5" max="5"/>
    <col width="8.85546875" customWidth="1" style="345" min="6" max="6"/>
  </cols>
  <sheetData>
    <row r="1">
      <c r="B1" s="346" t="n"/>
      <c r="C1" s="346" t="n"/>
      <c r="D1" s="402" t="inlineStr">
        <is>
          <t>Приложение №7</t>
        </is>
      </c>
    </row>
    <row r="2">
      <c r="A2" s="402" t="n"/>
      <c r="B2" s="402" t="n"/>
      <c r="C2" s="402" t="n"/>
      <c r="D2" s="402" t="n"/>
    </row>
    <row r="3" ht="24.75" customHeight="1" s="345">
      <c r="A3" s="358" t="inlineStr">
        <is>
          <t>Расчет показателя УНЦ</t>
        </is>
      </c>
    </row>
    <row r="4" ht="24.75" customHeight="1" s="345">
      <c r="A4" s="358" t="n"/>
      <c r="B4" s="358" t="n"/>
      <c r="C4" s="358" t="n"/>
      <c r="D4" s="358" t="n"/>
    </row>
    <row r="5" ht="51" customHeight="1" s="345">
      <c r="A5" s="361" t="inlineStr">
        <is>
          <t xml:space="preserve">Наименование разрабатываемого показателя УНЦ - </t>
        </is>
      </c>
      <c r="D5" s="361">
        <f>'Прил.5 Расчет СМР и ОБ'!D6</f>
        <v/>
      </c>
    </row>
    <row r="6" ht="19.9" customHeight="1" s="345">
      <c r="A6" s="361" t="inlineStr">
        <is>
          <t>Единица измерения  — 1 ячейка</t>
        </is>
      </c>
      <c r="D6" s="361" t="n"/>
    </row>
    <row r="7">
      <c r="A7" s="346" t="n"/>
      <c r="B7" s="346" t="n"/>
      <c r="C7" s="346" t="n"/>
      <c r="D7" s="346" t="n"/>
    </row>
    <row r="8" ht="14.45" customHeight="1" s="345">
      <c r="A8" s="373" t="inlineStr">
        <is>
          <t>Код показателя</t>
        </is>
      </c>
      <c r="B8" s="373" t="inlineStr">
        <is>
          <t>Наименование показателя</t>
        </is>
      </c>
      <c r="C8" s="373" t="inlineStr">
        <is>
          <t>Наименование РМ, входящих в состав показателя</t>
        </is>
      </c>
      <c r="D8" s="373" t="inlineStr">
        <is>
          <t>Норматив цены на 01.01.2023, тыс.руб.</t>
        </is>
      </c>
    </row>
    <row r="9" ht="15" customHeight="1" s="345">
      <c r="A9" s="456" t="n"/>
      <c r="B9" s="456" t="n"/>
      <c r="C9" s="456" t="n"/>
      <c r="D9" s="456" t="n"/>
    </row>
    <row r="10">
      <c r="A10" s="383" t="n">
        <v>1</v>
      </c>
      <c r="B10" s="383" t="n">
        <v>2</v>
      </c>
      <c r="C10" s="383" t="n">
        <v>3</v>
      </c>
      <c r="D10" s="383" t="n">
        <v>4</v>
      </c>
    </row>
    <row r="11" ht="41.45" customHeight="1" s="345">
      <c r="A11" s="383" t="inlineStr">
        <is>
          <t>В5-06-1</t>
        </is>
      </c>
      <c r="B11" s="383" t="inlineStr">
        <is>
          <t>УНЦ ячейки выключателя ВУ 110 - 500 кВ без учета здания ЗРУ</t>
        </is>
      </c>
      <c r="C11" s="351">
        <f>D5</f>
        <v/>
      </c>
      <c r="D11" s="352">
        <f>'Прил.4 РМ'!C41/1000</f>
        <v/>
      </c>
      <c r="E11" s="353" t="n"/>
    </row>
    <row r="12">
      <c r="A12" s="354" t="n"/>
      <c r="B12" s="355" t="n"/>
      <c r="C12" s="354" t="n"/>
      <c r="D12" s="354" t="n"/>
    </row>
    <row r="13">
      <c r="A13" s="346" t="inlineStr">
        <is>
          <t>Составил ______________________        Е. М. Добровольская</t>
        </is>
      </c>
      <c r="B13" s="356" t="n"/>
      <c r="C13" s="356" t="n"/>
      <c r="D13" s="354" t="n"/>
    </row>
    <row r="14">
      <c r="A14" s="357" t="inlineStr">
        <is>
          <t xml:space="preserve">                         (подпись, инициалы, фамилия)</t>
        </is>
      </c>
      <c r="B14" s="356" t="n"/>
      <c r="C14" s="356" t="n"/>
      <c r="D14" s="354" t="n"/>
    </row>
    <row r="15">
      <c r="A15" s="346" t="n"/>
      <c r="B15" s="356" t="n"/>
      <c r="C15" s="356" t="n"/>
      <c r="D15" s="354" t="n"/>
    </row>
    <row r="16">
      <c r="A16" s="346" t="inlineStr">
        <is>
          <t>Проверил ______________________        А.В. Костянецкая</t>
        </is>
      </c>
      <c r="B16" s="356" t="n"/>
      <c r="C16" s="356" t="n"/>
      <c r="D16" s="354" t="n"/>
    </row>
    <row r="17">
      <c r="A17" s="357" t="inlineStr">
        <is>
          <t xml:space="preserve">                        (подпись, инициалы, фамилия)</t>
        </is>
      </c>
      <c r="B17" s="356" t="n"/>
      <c r="C17" s="356" t="n"/>
      <c r="D17" s="35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zoomScale="60" zoomScaleNormal="100" workbookViewId="0">
      <selection activeCell="C24" sqref="C24"/>
    </sheetView>
  </sheetViews>
  <sheetFormatPr baseColWidth="8" defaultRowHeight="15"/>
  <cols>
    <col width="40.7109375" customWidth="1" style="345" min="2" max="2"/>
    <col width="37" customWidth="1" style="345" min="3" max="3"/>
    <col width="32" customWidth="1" style="345" min="4" max="4"/>
  </cols>
  <sheetData>
    <row r="4" ht="15.75" customHeight="1" s="345">
      <c r="B4" s="366" t="inlineStr">
        <is>
          <t>Приложение № 10</t>
        </is>
      </c>
    </row>
    <row r="5" ht="18.75" customHeight="1" s="345">
      <c r="B5" s="196" t="n"/>
    </row>
    <row r="6" ht="15.75" customHeight="1" s="345">
      <c r="B6" s="371" t="inlineStr">
        <is>
          <t>Используемые индексы изменений сметной стоимости и нормы сопутствующих затрат</t>
        </is>
      </c>
    </row>
    <row r="7" ht="18.75" customHeight="1" s="345">
      <c r="B7" s="278" t="n"/>
    </row>
    <row r="8" ht="47.25" customHeight="1" s="345">
      <c r="B8" s="373" t="inlineStr">
        <is>
          <t>Наименование индекса / норм сопутствующих затрат</t>
        </is>
      </c>
      <c r="C8" s="373" t="inlineStr">
        <is>
          <t>Дата применения и обоснование индекса / норм сопутствующих затрат</t>
        </is>
      </c>
      <c r="D8" s="373" t="inlineStr">
        <is>
          <t>Размер индекса / норма сопутствующих затрат</t>
        </is>
      </c>
    </row>
    <row r="9" ht="15.75" customHeight="1" s="345">
      <c r="B9" s="373" t="n">
        <v>1</v>
      </c>
      <c r="C9" s="373" t="n">
        <v>2</v>
      </c>
      <c r="D9" s="373" t="n">
        <v>3</v>
      </c>
    </row>
    <row r="10" ht="45" customHeight="1" s="345">
      <c r="B10" s="373" t="inlineStr">
        <is>
          <t xml:space="preserve">Индекс изменения сметной стоимости на 1 квартал 2023 года. ОЗП </t>
        </is>
      </c>
      <c r="C10" s="373" t="inlineStr">
        <is>
          <t>Письмо Минстроя России от 30.03.2023г. №17106-ИФ/09  прил.1</t>
        </is>
      </c>
      <c r="D10" s="373" t="n">
        <v>44.29</v>
      </c>
    </row>
    <row r="11" ht="29.25" customHeight="1" s="345">
      <c r="B11" s="373" t="inlineStr">
        <is>
          <t>Индекс изменения сметной стоимости на 1 квартал 2023 года. ЭМ</t>
        </is>
      </c>
      <c r="C11" s="373" t="inlineStr">
        <is>
          <t>Письмо Минстроя России от 30.03.2023г. №17106-ИФ/09  прил.1</t>
        </is>
      </c>
      <c r="D11" s="373" t="n">
        <v>13.47</v>
      </c>
    </row>
    <row r="12" ht="29.25" customHeight="1" s="345">
      <c r="B12" s="373" t="inlineStr">
        <is>
          <t>Индекс изменения сметной стоимости на 1 квартал 2023 года. МАТ</t>
        </is>
      </c>
      <c r="C12" s="373" t="inlineStr">
        <is>
          <t>Письмо Минстроя России от 30.03.2023г. №17106-ИФ/09  прил.1</t>
        </is>
      </c>
      <c r="D12" s="373" t="n">
        <v>8.039999999999999</v>
      </c>
    </row>
    <row r="13" ht="30.75" customHeight="1" s="345">
      <c r="B13" s="373" t="inlineStr">
        <is>
          <t>Индекс изменения сметной стоимости на 1 квартал 2023 года. ОБ</t>
        </is>
      </c>
      <c r="C13" s="280" t="inlineStr">
        <is>
          <t>Письмо Минстроя России от 23.02.2023г. №9791-ИФ/09 прил.6</t>
        </is>
      </c>
      <c r="D13" s="373" t="n">
        <v>6.26</v>
      </c>
    </row>
    <row r="14" ht="89.25" customHeight="1" s="345">
      <c r="B14" s="373" t="inlineStr">
        <is>
          <t>Временные здания и сооружения</t>
        </is>
      </c>
      <c r="C14" s="3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9" t="n">
        <v>0.039</v>
      </c>
    </row>
    <row r="15" ht="78.75" customHeight="1" s="345">
      <c r="B15" s="373" t="inlineStr">
        <is>
          <t>Дополнительные затраты при производстве строительно-монтажных работ в зимнее время</t>
        </is>
      </c>
      <c r="C15" s="3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9" t="n">
        <v>0.021</v>
      </c>
    </row>
    <row r="16" ht="15.75" customHeight="1" s="345">
      <c r="B16" s="373" t="inlineStr">
        <is>
          <t>Пусконаладочные работы</t>
        </is>
      </c>
      <c r="C16" s="373" t="n"/>
      <c r="D16" s="373" t="inlineStr">
        <is>
          <t>Расчет</t>
        </is>
      </c>
    </row>
    <row r="17" ht="31.5" customHeight="1" s="345">
      <c r="B17" s="373" t="inlineStr">
        <is>
          <t>Строительный контроль</t>
        </is>
      </c>
      <c r="C17" s="373" t="inlineStr">
        <is>
          <t>Постановление Правительства РФ от 21.06.10 г. № 468</t>
        </is>
      </c>
      <c r="D17" s="209" t="n">
        <v>0.0214</v>
      </c>
    </row>
    <row r="18" ht="31.5" customHeight="1" s="345">
      <c r="B18" s="373" t="inlineStr">
        <is>
          <t>Авторский надзор - 0,2%</t>
        </is>
      </c>
      <c r="C18" s="373" t="inlineStr">
        <is>
          <t>Приказ от 4.08.2020 № 421/пр п.173</t>
        </is>
      </c>
      <c r="D18" s="209" t="n">
        <v>0.002</v>
      </c>
    </row>
    <row r="19" ht="24" customHeight="1" s="345">
      <c r="B19" s="373" t="inlineStr">
        <is>
          <t>Непредвиденные расходы</t>
        </is>
      </c>
      <c r="C19" s="373" t="inlineStr">
        <is>
          <t>Приказ от 4.08.2020 № 421/пр п.179</t>
        </is>
      </c>
      <c r="D19" s="209" t="n">
        <v>0.03</v>
      </c>
    </row>
    <row r="20" ht="18.75" customHeight="1" s="345">
      <c r="B20" s="278" t="n"/>
    </row>
    <row r="21" ht="18.75" customHeight="1" s="345">
      <c r="B21" s="278" t="n"/>
    </row>
    <row r="22" ht="18.75" customHeight="1" s="345">
      <c r="B22" s="278" t="n"/>
    </row>
    <row r="23" ht="18.75" customHeight="1" s="345">
      <c r="B23" s="278" t="n"/>
    </row>
    <row r="26">
      <c r="B26" s="346" t="inlineStr">
        <is>
          <t>Составил ______________________    Е. М. Добровольская</t>
        </is>
      </c>
      <c r="C26" s="356" t="n"/>
    </row>
    <row r="27">
      <c r="B27" s="357" t="inlineStr">
        <is>
          <t xml:space="preserve">                         (подпись, инициалы, фамилия)</t>
        </is>
      </c>
      <c r="C27" s="356" t="n"/>
    </row>
    <row r="28">
      <c r="B28" s="346" t="n"/>
      <c r="C28" s="356" t="n"/>
    </row>
    <row r="29">
      <c r="B29" s="346" t="inlineStr">
        <is>
          <t>Проверил ______________________        А.В. Костянецкая</t>
        </is>
      </c>
      <c r="C29" s="356" t="n"/>
    </row>
    <row r="30">
      <c r="B30" s="357" t="inlineStr">
        <is>
          <t xml:space="preserve">                        (подпись, инициалы, фамилия)</t>
        </is>
      </c>
      <c r="C30" s="35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B26" sqref="B26"/>
    </sheetView>
  </sheetViews>
  <sheetFormatPr baseColWidth="8" defaultRowHeight="15"/>
  <cols>
    <col width="9.140625" customWidth="1" style="345" min="1" max="1"/>
    <col width="44.85546875" customWidth="1" style="345" min="2" max="2"/>
    <col width="13" customWidth="1" style="345" min="3" max="3"/>
    <col width="22.85546875" customWidth="1" style="345" min="4" max="4"/>
    <col width="21.5703125" customWidth="1" style="345" min="5" max="5"/>
    <col width="43.85546875" customWidth="1" style="345" min="6" max="6"/>
    <col width="9.140625" customWidth="1" style="345" min="7" max="7"/>
  </cols>
  <sheetData>
    <row r="2" ht="18" customHeight="1" s="345">
      <c r="A2" s="40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45">
      <c r="A4" s="179" t="inlineStr">
        <is>
          <t>Составлен в уровне цен на 01.01.2023 г.</t>
        </is>
      </c>
    </row>
    <row r="5">
      <c r="A5" s="430" t="inlineStr">
        <is>
          <t>№ пп.</t>
        </is>
      </c>
      <c r="B5" s="430" t="inlineStr">
        <is>
          <t>Наименование элемента</t>
        </is>
      </c>
      <c r="C5" s="430" t="inlineStr">
        <is>
          <t>Обозначение</t>
        </is>
      </c>
      <c r="D5" s="430" t="inlineStr">
        <is>
          <t>Формула</t>
        </is>
      </c>
      <c r="E5" s="430" t="inlineStr">
        <is>
          <t>Величина элемента</t>
        </is>
      </c>
      <c r="F5" s="430" t="inlineStr">
        <is>
          <t>Наименования обосновывающих документов</t>
        </is>
      </c>
    </row>
    <row r="6">
      <c r="A6" s="430" t="n">
        <v>1</v>
      </c>
      <c r="B6" s="430" t="n">
        <v>2</v>
      </c>
      <c r="C6" s="430" t="n">
        <v>3</v>
      </c>
      <c r="D6" s="430" t="n">
        <v>4</v>
      </c>
      <c r="E6" s="430" t="n">
        <v>5</v>
      </c>
      <c r="F6" s="430" t="n">
        <v>6</v>
      </c>
    </row>
    <row r="7" ht="105" customHeight="1" s="345">
      <c r="A7" s="181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9" t="inlineStr">
        <is>
          <t>С1ср</t>
        </is>
      </c>
      <c r="D7" s="429" t="inlineStr">
        <is>
          <t>-</t>
        </is>
      </c>
      <c r="E7" s="206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345">
      <c r="A8" s="181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429" t="inlineStr">
        <is>
          <t>tср</t>
        </is>
      </c>
      <c r="D8" s="429" t="inlineStr">
        <is>
          <t>1973ч/12мес.</t>
        </is>
      </c>
      <c r="E8" s="206">
        <f>1973/12</f>
        <v/>
      </c>
      <c r="F8" s="329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329" t="inlineStr">
        <is>
          <t>Коэффициент увеличения</t>
        </is>
      </c>
      <c r="C9" s="429" t="inlineStr">
        <is>
          <t>Кув</t>
        </is>
      </c>
      <c r="D9" s="429" t="inlineStr">
        <is>
          <t>-</t>
        </is>
      </c>
      <c r="E9" s="206" t="n">
        <v>1</v>
      </c>
      <c r="F9" s="329" t="n"/>
      <c r="G9" s="188" t="n"/>
    </row>
    <row r="10">
      <c r="A10" s="181" t="inlineStr">
        <is>
          <t>1.4</t>
        </is>
      </c>
      <c r="B10" s="329" t="inlineStr">
        <is>
          <t>Средний разряд работ</t>
        </is>
      </c>
      <c r="C10" s="429" t="n"/>
      <c r="D10" s="429" t="n"/>
      <c r="E10" s="189" t="n">
        <v>5</v>
      </c>
      <c r="F10" s="329" t="inlineStr">
        <is>
          <t>РТМ</t>
        </is>
      </c>
      <c r="G10" s="188" t="n"/>
    </row>
    <row r="11" ht="75" customHeight="1" s="345">
      <c r="A11" s="181" t="inlineStr">
        <is>
          <t>1.5</t>
        </is>
      </c>
      <c r="B11" s="329" t="inlineStr">
        <is>
          <t>Тарифный коэффициент среднего разряда работ</t>
        </is>
      </c>
      <c r="C11" s="429" t="inlineStr">
        <is>
          <t>КТ</t>
        </is>
      </c>
      <c r="D11" s="429" t="inlineStr">
        <is>
          <t>-</t>
        </is>
      </c>
      <c r="E11" s="190" t="n">
        <v>1.54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345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29" t="inlineStr">
        <is>
          <t>Кинф</t>
        </is>
      </c>
      <c r="D12" s="429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n"/>
    </row>
    <row r="13" ht="60" customHeight="1" s="345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29" t="inlineStr">
        <is>
          <t>ФОТр.тек.</t>
        </is>
      </c>
      <c r="D13" s="429" t="inlineStr">
        <is>
          <t>(С1ср/tср*КТ*Т*Кув)*Кинф</t>
        </is>
      </c>
      <c r="E13" s="195">
        <f>((E7*E9/E8)*E11)*E12</f>
        <v/>
      </c>
      <c r="F13" s="3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2025-01-24T11:55:20Z</dcterms:modified>
  <cp:lastModifiedBy>Danil</cp:lastModifiedBy>
  <cp:lastPrinted>2023-11-27T09:19:46Z</cp:lastPrinted>
</cp:coreProperties>
</file>