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924" firstSheet="3" activeTab="7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'Прил.3'!$A$1:$H$65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ОБ'!$A$1:$J$79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_-* #,##0\ _₽_-;\-* #,##0\ _₽_-;_-* &quot;-&quot;??\ _₽_-;_-@_-"/>
    <numFmt numFmtId="165" formatCode="0.0000"/>
    <numFmt numFmtId="166" formatCode="#,##0.0000"/>
    <numFmt numFmtId="167" formatCode="#,##0.000"/>
    <numFmt numFmtId="168" formatCode="#,##0.0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Arial"/>
      <color rgb="FFFF0000"/>
      <sz val="10"/>
    </font>
    <font>
      <name val="Calibri"/>
      <b val="1"/>
      <color rgb="FF000000"/>
      <sz val="12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75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0" fontId="4" fillId="0" borderId="0" pivotButton="0" quotePrefix="0" xfId="0"/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2" fontId="1" fillId="0" borderId="1" applyAlignment="1" pivotButton="0" quotePrefix="0" xfId="0">
      <alignment horizontal="righ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2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vertical="center"/>
    </xf>
    <xf numFmtId="0" fontId="2" fillId="0" borderId="5" applyAlignment="1" pivotButton="0" quotePrefix="0" xfId="0">
      <alignment horizontal="left" vertical="center" wrapText="1"/>
    </xf>
    <xf numFmtId="4" fontId="1" fillId="0" borderId="5" applyAlignment="1" pivotButton="0" quotePrefix="0" xfId="0">
      <alignment horizontal="right" vertical="center" wrapText="1"/>
    </xf>
    <xf numFmtId="4" fontId="1" fillId="0" borderId="6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" fontId="1" fillId="0" borderId="5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4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2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7" applyAlignment="1" pivotButton="0" quotePrefix="0" xfId="0">
      <alignment horizontal="right" vertical="center" wrapText="1"/>
    </xf>
    <xf numFmtId="4" fontId="1" fillId="0" borderId="8" applyAlignment="1" pivotButton="0" quotePrefix="0" xfId="0">
      <alignment horizontal="righ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center" vertical="center" wrapText="1"/>
    </xf>
    <xf numFmtId="166" fontId="1" fillId="0" borderId="8" applyAlignment="1" pivotButton="0" quotePrefix="0" xfId="0">
      <alignment horizontal="center" vertical="center" wrapText="1"/>
    </xf>
    <xf numFmtId="2" fontId="1" fillId="0" borderId="8" applyAlignment="1" pivotButton="0" quotePrefix="0" xfId="0">
      <alignment horizontal="right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165" fontId="1" fillId="0" borderId="4" applyAlignment="1" pivotButton="0" quotePrefix="0" xfId="0">
      <alignment horizontal="center" vertical="center" wrapText="1"/>
    </xf>
    <xf numFmtId="49" fontId="1" fillId="0" borderId="5" applyAlignment="1" pivotButton="0" quotePrefix="0" xfId="0">
      <alignment horizontal="center" vertical="center" wrapText="1"/>
    </xf>
    <xf numFmtId="0" fontId="2" fillId="0" borderId="4" applyAlignment="1" pivotButton="0" quotePrefix="0" xfId="0">
      <alignment horizontal="left" vertical="center" wrapText="1"/>
    </xf>
    <xf numFmtId="0" fontId="2" fillId="0" borderId="4" applyAlignment="1" pivotButton="0" quotePrefix="0" xfId="0">
      <alignment horizontal="right" vertical="center" wrapText="1"/>
    </xf>
    <xf numFmtId="0" fontId="1" fillId="0" borderId="4" applyAlignment="1" pivotButton="0" quotePrefix="0" xfId="0">
      <alignment horizontal="right" vertical="center" wrapText="1"/>
    </xf>
    <xf numFmtId="0" fontId="4" fillId="0" borderId="1" applyAlignment="1" pivotButton="0" quotePrefix="0" xfId="0">
      <alignment vertical="center"/>
    </xf>
    <xf numFmtId="10" fontId="16" fillId="0" borderId="0" applyAlignment="1" pivotButton="0" quotePrefix="0" xfId="0">
      <alignment horizontal="right" vertical="center"/>
    </xf>
    <xf numFmtId="10" fontId="22" fillId="0" borderId="0" applyAlignment="1" pivotButton="0" quotePrefix="0" xfId="0">
      <alignment horizontal="right" vertical="center"/>
    </xf>
    <xf numFmtId="0" fontId="1" fillId="0" borderId="1" applyAlignment="1" pivotButton="0" quotePrefix="0" xfId="0">
      <alignment horizontal="left" vertical="top" wrapText="1"/>
    </xf>
    <xf numFmtId="10" fontId="1" fillId="0" borderId="0" applyAlignment="1" pivotButton="0" quotePrefix="0" xfId="0">
      <alignment horizontal="right" vertical="center"/>
    </xf>
    <xf numFmtId="0" fontId="1" fillId="0" borderId="1" applyAlignment="1" pivotButton="0" quotePrefix="0" xfId="0">
      <alignment horizontal="center" vertical="center"/>
    </xf>
    <xf numFmtId="0" fontId="16" fillId="0" borderId="4" applyAlignment="1" pivotButton="0" quotePrefix="0" xfId="0">
      <alignment vertical="center"/>
    </xf>
    <xf numFmtId="0" fontId="16" fillId="4" borderId="1" applyAlignment="1" pivotButton="0" quotePrefix="0" xfId="0">
      <alignment horizontal="center" vertical="center" wrapText="1"/>
    </xf>
    <xf numFmtId="0" fontId="16" fillId="4" borderId="1" applyAlignment="1" pivotButton="0" quotePrefix="1" xfId="0">
      <alignment horizontal="center" vertical="center" wrapText="1"/>
    </xf>
    <xf numFmtId="2" fontId="1" fillId="0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center" vertical="center"/>
    </xf>
    <xf numFmtId="49" fontId="1" fillId="0" borderId="1" applyAlignment="1" pivotButton="0" quotePrefix="0" xfId="0">
      <alignment horizontal="center" vertical="center" wrapText="1"/>
    </xf>
    <xf numFmtId="49" fontId="1" fillId="0" borderId="0" applyAlignment="1" pivotButton="0" quotePrefix="0" xfId="0">
      <alignment horizontal="right"/>
    </xf>
    <xf numFmtId="2" fontId="22" fillId="0" borderId="0" pivotButton="0" quotePrefix="0" xfId="0"/>
    <xf numFmtId="10" fontId="22" fillId="0" borderId="0" pivotButton="0" quotePrefix="0" xfId="0"/>
    <xf numFmtId="10" fontId="22" fillId="0" borderId="0" applyAlignment="1" pivotButton="0" quotePrefix="0" xfId="0">
      <alignment horizontal="right" vertical="center"/>
    </xf>
    <xf numFmtId="0" fontId="1" fillId="0" borderId="0" applyAlignment="1" pivotButton="0" quotePrefix="0" xfId="0">
      <alignment horizontal="right" vertical="center"/>
    </xf>
    <xf numFmtId="10" fontId="22" fillId="0" borderId="0" applyAlignment="1" pivotButton="0" quotePrefix="0" xfId="0">
      <alignment horizontal="right" vertical="center"/>
    </xf>
    <xf numFmtId="43" fontId="1" fillId="0" borderId="1" applyAlignment="1" pivotButton="0" quotePrefix="0" xfId="0">
      <alignment horizontal="right" vertical="center"/>
    </xf>
    <xf numFmtId="43" fontId="1" fillId="0" borderId="1" applyAlignment="1" pivotButton="0" quotePrefix="0" xfId="0">
      <alignment horizontal="right" vertical="center" wrapText="1"/>
    </xf>
    <xf numFmtId="43" fontId="1" fillId="0" borderId="4" applyAlignment="1" pivotButton="0" quotePrefix="0" xfId="0">
      <alignment horizontal="right" vertical="center" wrapText="1"/>
    </xf>
    <xf numFmtId="43" fontId="1" fillId="0" borderId="1" applyAlignment="1" pivotButton="0" quotePrefix="0" xfId="0">
      <alignment horizontal="right" vertical="center" wrapText="1"/>
    </xf>
    <xf numFmtId="167" fontId="1" fillId="0" borderId="1" applyAlignment="1" pivotButton="0" quotePrefix="0" xfId="0">
      <alignment horizontal="center" vertical="center" wrapText="1"/>
    </xf>
    <xf numFmtId="43" fontId="1" fillId="0" borderId="1" applyAlignment="1" pivotButton="0" quotePrefix="0" xfId="0">
      <alignment horizontal="right" vertical="top" wrapText="1"/>
    </xf>
    <xf numFmtId="43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/>
    </xf>
    <xf numFmtId="0" fontId="1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4" fontId="16" fillId="0" borderId="1" applyAlignment="1" pivotButton="0" quotePrefix="0" xfId="0">
      <alignment horizontal="center" vertical="center" wrapText="1"/>
    </xf>
    <xf numFmtId="0" fontId="4" fillId="0" borderId="5" applyAlignment="1" pivotButton="0" quotePrefix="0" xfId="0">
      <alignment vertical="center"/>
    </xf>
    <xf numFmtId="43" fontId="1" fillId="0" borderId="4" applyAlignment="1" pivotButton="0" quotePrefix="0" xfId="0">
      <alignment vertical="center"/>
    </xf>
    <xf numFmtId="0" fontId="16" fillId="0" borderId="1" applyAlignment="1" pivotButton="0" quotePrefix="0" xfId="0">
      <alignment horizontal="center" vertical="center" wrapText="1"/>
    </xf>
    <xf numFmtId="49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4" fontId="23" fillId="0" borderId="4" applyAlignment="1" pivotButton="0" quotePrefix="0" xfId="0">
      <alignment vertical="center" wrapText="1"/>
    </xf>
    <xf numFmtId="4" fontId="23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4" fillId="0" borderId="0" applyAlignment="1" pivotButton="0" quotePrefix="0" xfId="0">
      <alignment vertical="center"/>
    </xf>
    <xf numFmtId="0" fontId="24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7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5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20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20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4" applyAlignment="1" pivotButton="0" quotePrefix="0" xfId="0">
      <alignment horizontal="right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20" fillId="0" borderId="2" applyAlignment="1" pivotButton="0" quotePrefix="0" xfId="0">
      <alignment horizontal="left" vertical="center" wrapText="1"/>
    </xf>
    <xf numFmtId="0" fontId="20" fillId="0" borderId="9" applyAlignment="1" pivotButton="0" quotePrefix="0" xfId="0">
      <alignment horizontal="left" vertical="center" wrapText="1"/>
    </xf>
    <xf numFmtId="0" fontId="20" fillId="0" borderId="10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20" fillId="0" borderId="2" applyAlignment="1" pivotButton="0" quotePrefix="0" xfId="0">
      <alignment vertical="top"/>
    </xf>
    <xf numFmtId="0" fontId="20" fillId="0" borderId="9" applyAlignment="1" pivotButton="0" quotePrefix="0" xfId="0">
      <alignment vertical="top"/>
    </xf>
    <xf numFmtId="0" fontId="20" fillId="0" borderId="10" applyAlignment="1" pivotButton="0" quotePrefix="0" xfId="0">
      <alignment vertical="top"/>
    </xf>
    <xf numFmtId="0" fontId="16" fillId="0" borderId="0" applyAlignment="1" pivotButton="0" quotePrefix="0" xfId="0">
      <alignment horizontal="center" vertical="center"/>
    </xf>
    <xf numFmtId="0" fontId="20" fillId="0" borderId="1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10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1" fillId="0" borderId="1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5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8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6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9" applyAlignment="1" pivotButton="0" quotePrefix="0" xfId="0">
      <alignment horizontal="center" vertical="center" wrapText="1"/>
    </xf>
    <xf numFmtId="0" fontId="0" fillId="4" borderId="10" applyAlignment="1" pivotButton="0" quotePrefix="0" xfId="0">
      <alignment horizontal="center" vertical="center" wrapText="1"/>
    </xf>
    <xf numFmtId="0" fontId="0" fillId="0" borderId="9" pivotButton="0" quotePrefix="0" xfId="0"/>
    <xf numFmtId="0" fontId="0" fillId="0" borderId="10" pivotButton="0" quotePrefix="0" xfId="0"/>
    <xf numFmtId="0" fontId="0" fillId="0" borderId="8" pivotButton="0" quotePrefix="0" xfId="0"/>
    <xf numFmtId="0" fontId="0" fillId="0" borderId="4" pivotButton="0" quotePrefix="0" xfId="0"/>
    <xf numFmtId="0" fontId="0" fillId="0" borderId="14" pivotButton="0" quotePrefix="0" xfId="0"/>
    <xf numFmtId="0" fontId="0" fillId="0" borderId="15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43" fontId="0" fillId="0" borderId="0" pivotButton="0" quotePrefix="0" xfId="0"/>
    <xf numFmtId="167" fontId="1" fillId="0" borderId="1" applyAlignment="1" pivotButton="0" quotePrefix="0" xfId="0">
      <alignment horizontal="center" vertical="center" wrapText="1"/>
    </xf>
    <xf numFmtId="0" fontId="0" fillId="0" borderId="11" pivotButton="0" quotePrefix="0" xfId="0"/>
    <xf numFmtId="0" fontId="0" fillId="0" borderId="12" pivotButton="0" quotePrefix="0" xfId="0"/>
    <xf numFmtId="165" fontId="1" fillId="0" borderId="6" applyAlignment="1" pivotButton="0" quotePrefix="0" xfId="0">
      <alignment horizontal="center" vertical="center" wrapText="1"/>
    </xf>
    <xf numFmtId="43" fontId="1" fillId="0" borderId="1" applyAlignment="1" pivotButton="0" quotePrefix="0" xfId="0">
      <alignment horizontal="right" vertical="center" wrapText="1"/>
    </xf>
    <xf numFmtId="166" fontId="1" fillId="0" borderId="8" applyAlignment="1" pivotButton="0" quotePrefix="0" xfId="0">
      <alignment horizontal="center" vertical="center" wrapText="1"/>
    </xf>
    <xf numFmtId="165" fontId="1" fillId="0" borderId="4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43" fontId="1" fillId="0" borderId="1" applyAlignment="1" pivotButton="0" quotePrefix="0" xfId="0">
      <alignment horizontal="right" vertical="center"/>
    </xf>
    <xf numFmtId="43" fontId="1" fillId="0" borderId="4" applyAlignment="1" pivotButton="0" quotePrefix="0" xfId="0">
      <alignment vertical="center"/>
    </xf>
    <xf numFmtId="43" fontId="1" fillId="0" borderId="4" applyAlignment="1" pivotButton="0" quotePrefix="0" xfId="0">
      <alignment horizontal="right" vertical="center" wrapText="1"/>
    </xf>
    <xf numFmtId="168" fontId="16" fillId="0" borderId="1" applyAlignment="1" pivotButton="0" quotePrefix="0" xfId="0">
      <alignment horizontal="center" vertical="center"/>
    </xf>
    <xf numFmtId="167" fontId="16" fillId="0" borderId="1" applyAlignment="1" pivotButton="0" quotePrefix="0" xfId="0">
      <alignment horizontal="center" vertical="center"/>
    </xf>
    <xf numFmtId="165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zoomScale="60" zoomScaleNormal="70" workbookViewId="0">
      <selection activeCell="D27" sqref="D27"/>
    </sheetView>
  </sheetViews>
  <sheetFormatPr baseColWidth="8" defaultColWidth="9.140625" defaultRowHeight="15.75"/>
  <cols>
    <col width="9.140625" customWidth="1" style="330" min="1" max="2"/>
    <col width="51.7109375" customWidth="1" style="330" min="3" max="3"/>
    <col width="47" customWidth="1" style="330" min="4" max="4"/>
    <col width="37.42578125" customWidth="1" style="330" min="5" max="5"/>
    <col width="9.140625" customWidth="1" style="330" min="6" max="6"/>
  </cols>
  <sheetData>
    <row r="3">
      <c r="B3" s="357" t="inlineStr">
        <is>
          <t>Приложение № 1</t>
        </is>
      </c>
    </row>
    <row r="4">
      <c r="B4" s="358" t="inlineStr">
        <is>
          <t>Сравнительная таблица отбора объекта-представителя</t>
        </is>
      </c>
    </row>
    <row r="5" ht="84" customHeight="1" s="328">
      <c r="B5" s="360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28">
      <c r="B6" s="219" t="n"/>
      <c r="C6" s="219" t="n"/>
      <c r="D6" s="219" t="n"/>
    </row>
    <row r="7" ht="30" customHeight="1" s="328">
      <c r="B7" s="359" t="inlineStr">
        <is>
          <t xml:space="preserve">Наименование разрабатываемого показателя УНЦ - Автоматический пункт секционирования (реклоузера) 20 кВ без ПКУ </t>
        </is>
      </c>
    </row>
    <row r="8">
      <c r="B8" s="359" t="inlineStr">
        <is>
          <t>Сопоставимый уровень цен: 3 квартал 2014 года</t>
        </is>
      </c>
    </row>
    <row r="9" ht="15.75" customHeight="1" s="328">
      <c r="B9" s="359" t="inlineStr">
        <is>
          <t>Единица измерения  — 1 ед.</t>
        </is>
      </c>
    </row>
    <row r="10">
      <c r="B10" s="359" t="n"/>
    </row>
    <row r="11">
      <c r="B11" s="363" t="inlineStr">
        <is>
          <t>№ п/п</t>
        </is>
      </c>
      <c r="C11" s="363" t="inlineStr">
        <is>
          <t>Параметр</t>
        </is>
      </c>
      <c r="D11" s="363" t="inlineStr">
        <is>
          <t xml:space="preserve">Объект-представитель </t>
        </is>
      </c>
      <c r="E11" s="199" t="n"/>
    </row>
    <row r="12" ht="47.25" customHeight="1" s="328">
      <c r="B12" s="363" t="n">
        <v>1</v>
      </c>
      <c r="C12" s="342" t="inlineStr">
        <is>
          <t>Наименование объекта-представителя</t>
        </is>
      </c>
      <c r="D12" s="272" t="inlineStr">
        <is>
          <t xml:space="preserve">Автоматическое секционирование ВЛ 10 кВ (Л-6 от ПС Шумейка) Красноярского участка РС Энгельсского РЭС Приволжского ПО </t>
        </is>
      </c>
    </row>
    <row r="13">
      <c r="B13" s="363" t="n">
        <v>2</v>
      </c>
      <c r="C13" s="342" t="inlineStr">
        <is>
          <t>Наименование субъекта Российской Федерации</t>
        </is>
      </c>
      <c r="D13" s="272" t="inlineStr">
        <is>
          <t>Саратовская область</t>
        </is>
      </c>
    </row>
    <row r="14">
      <c r="B14" s="363" t="n">
        <v>3</v>
      </c>
      <c r="C14" s="342" t="inlineStr">
        <is>
          <t>Климатический район и подрайон</t>
        </is>
      </c>
      <c r="D14" s="272" t="inlineStr">
        <is>
          <t>IIIА</t>
        </is>
      </c>
    </row>
    <row r="15">
      <c r="B15" s="363" t="n">
        <v>4</v>
      </c>
      <c r="C15" s="342" t="inlineStr">
        <is>
          <t>Мощность объекта</t>
        </is>
      </c>
      <c r="D15" s="272" t="n">
        <v>3</v>
      </c>
    </row>
    <row r="16" ht="63" customHeight="1" s="328">
      <c r="B16" s="363" t="n">
        <v>5</v>
      </c>
      <c r="C16" s="16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73" t="inlineStr">
        <is>
          <t>Разъединитель 20 кВ, ОПН 20 кВ, Реклоузер напряжением 20 кВ</t>
        </is>
      </c>
    </row>
    <row r="17" ht="63" customHeight="1" s="328">
      <c r="B17" s="363" t="n">
        <v>6</v>
      </c>
      <c r="C17" s="16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25">
        <f>D18+D19+D20+D21</f>
        <v/>
      </c>
      <c r="E17" s="218" t="n"/>
    </row>
    <row r="18">
      <c r="B18" s="320" t="inlineStr">
        <is>
          <t>6.1</t>
        </is>
      </c>
      <c r="C18" s="342" t="inlineStr">
        <is>
          <t>строительно-монтажные работы</t>
        </is>
      </c>
      <c r="D18" s="325" t="n">
        <v>80.05</v>
      </c>
    </row>
    <row r="19" ht="15.75" customHeight="1" s="328">
      <c r="B19" s="320" t="inlineStr">
        <is>
          <t>6.2</t>
        </is>
      </c>
      <c r="C19" s="342" t="inlineStr">
        <is>
          <t>оборудование и инвентарь</t>
        </is>
      </c>
      <c r="D19" s="325" t="n">
        <v>1155.32</v>
      </c>
    </row>
    <row r="20" ht="16.5" customHeight="1" s="328">
      <c r="B20" s="320" t="inlineStr">
        <is>
          <t>6.3</t>
        </is>
      </c>
      <c r="C20" s="342" t="inlineStr">
        <is>
          <t>пусконаладочные работы</t>
        </is>
      </c>
      <c r="D20" s="325" t="n"/>
    </row>
    <row r="21">
      <c r="B21" s="320" t="inlineStr">
        <is>
          <t>6.4</t>
        </is>
      </c>
      <c r="C21" s="197" t="inlineStr">
        <is>
          <t>прочие и лимитированные затраты</t>
        </is>
      </c>
      <c r="D21" s="325" t="n">
        <v>258.34</v>
      </c>
    </row>
    <row r="22">
      <c r="B22" s="363" t="n">
        <v>7</v>
      </c>
      <c r="C22" s="197" t="inlineStr">
        <is>
          <t>Сопоставимый уровень цен</t>
        </is>
      </c>
      <c r="D22" s="326" t="inlineStr">
        <is>
          <t>3 квартал 2014 года</t>
        </is>
      </c>
      <c r="E22" s="195" t="n"/>
    </row>
    <row r="23" ht="78.75" customHeight="1" s="328">
      <c r="B23" s="363" t="n">
        <v>8</v>
      </c>
      <c r="C23" s="196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25">
        <f>D17</f>
        <v/>
      </c>
      <c r="E23" s="218" t="n"/>
    </row>
    <row r="24" ht="31.5" customHeight="1" s="328">
      <c r="B24" s="363" t="n">
        <v>9</v>
      </c>
      <c r="C24" s="161" t="inlineStr">
        <is>
          <t>Приведенная сметная стоимость на единицу мощности, тыс. руб. (строка 8/строку 4)</t>
        </is>
      </c>
      <c r="D24" s="325">
        <f>D23/D15</f>
        <v/>
      </c>
      <c r="E24" s="195" t="n"/>
    </row>
    <row r="25">
      <c r="B25" s="363" t="n">
        <v>10</v>
      </c>
      <c r="C25" s="342" t="inlineStr">
        <is>
          <t>Примечание</t>
        </is>
      </c>
      <c r="D25" s="363" t="n"/>
    </row>
    <row r="26">
      <c r="B26" s="193" t="n"/>
      <c r="C26" s="192" t="n"/>
      <c r="D26" s="192" t="n"/>
    </row>
    <row r="27" ht="37.5" customHeight="1" s="328">
      <c r="B27" s="191" t="n"/>
    </row>
    <row r="28">
      <c r="B28" s="330" t="inlineStr">
        <is>
          <t>Составил ______________________    Д.А. Самуйленко</t>
        </is>
      </c>
    </row>
    <row r="29">
      <c r="B29" s="191" t="inlineStr">
        <is>
          <t xml:space="preserve">                         (подпись, инициалы, фамилия)</t>
        </is>
      </c>
    </row>
    <row r="31">
      <c r="B31" s="330" t="inlineStr">
        <is>
          <t>Проверил ______________________        А.В. Костянецкая</t>
        </is>
      </c>
    </row>
    <row r="32">
      <c r="B32" s="191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70" zoomScaleNormal="70" workbookViewId="0">
      <selection activeCell="E17" sqref="E17"/>
    </sheetView>
  </sheetViews>
  <sheetFormatPr baseColWidth="8" defaultColWidth="9.140625" defaultRowHeight="15.75"/>
  <cols>
    <col width="5.5703125" customWidth="1" style="330" min="1" max="1"/>
    <col width="9.140625" customWidth="1" style="330" min="2" max="2"/>
    <col width="35.28515625" customWidth="1" style="330" min="3" max="3"/>
    <col width="13.85546875" customWidth="1" style="330" min="4" max="4"/>
    <col width="24.85546875" customWidth="1" style="330" min="5" max="5"/>
    <col width="15.5703125" customWidth="1" style="330" min="6" max="6"/>
    <col width="14.85546875" customWidth="1" style="330" min="7" max="7"/>
    <col width="16.7109375" customWidth="1" style="330" min="8" max="8"/>
    <col width="13" customWidth="1" style="330" min="9" max="10"/>
    <col width="18" customWidth="1" style="330" min="11" max="11"/>
    <col width="9.140625" customWidth="1" style="330" min="12" max="12"/>
  </cols>
  <sheetData>
    <row r="3">
      <c r="B3" s="357" t="inlineStr">
        <is>
          <t>Приложение № 2</t>
        </is>
      </c>
      <c r="K3" s="191" t="n"/>
    </row>
    <row r="4">
      <c r="B4" s="358" t="inlineStr">
        <is>
          <t>Расчет стоимости основных видов работ для выбора объекта-представителя</t>
        </is>
      </c>
    </row>
    <row r="5">
      <c r="B5" s="373" t="n"/>
      <c r="C5" s="373" t="n"/>
      <c r="D5" s="373" t="n"/>
      <c r="E5" s="373" t="n"/>
      <c r="F5" s="373" t="n"/>
      <c r="G5" s="373" t="n"/>
      <c r="H5" s="373" t="n"/>
      <c r="I5" s="373" t="n"/>
      <c r="J5" s="373" t="n"/>
      <c r="K5" s="373" t="n"/>
    </row>
    <row r="6">
      <c r="B6" s="359">
        <f>'Прил.1 Сравнит табл'!B7:D7</f>
        <v/>
      </c>
    </row>
    <row r="7">
      <c r="B7" s="359">
        <f>'Прил.1 Сравнит табл'!B9:D9</f>
        <v/>
      </c>
    </row>
    <row r="8" ht="18.75" customHeight="1" s="328">
      <c r="B8" s="220" t="n"/>
    </row>
    <row r="9" ht="15.75" customHeight="1" s="328">
      <c r="B9" s="363" t="inlineStr">
        <is>
          <t>№ п/п</t>
        </is>
      </c>
      <c r="C9" s="363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63" t="inlineStr">
        <is>
          <t>Объект-представитель 1</t>
        </is>
      </c>
      <c r="E9" s="452" t="n"/>
      <c r="F9" s="452" t="n"/>
      <c r="G9" s="452" t="n"/>
      <c r="H9" s="452" t="n"/>
      <c r="I9" s="452" t="n"/>
      <c r="J9" s="453" t="n"/>
    </row>
    <row r="10" ht="15.75" customHeight="1" s="328">
      <c r="B10" s="454" t="n"/>
      <c r="C10" s="454" t="n"/>
      <c r="D10" s="363" t="inlineStr">
        <is>
          <t>Номер сметы</t>
        </is>
      </c>
      <c r="E10" s="363" t="inlineStr">
        <is>
          <t>Наименование сметы</t>
        </is>
      </c>
      <c r="F10" s="363" t="inlineStr">
        <is>
          <t>Сметная стоимость в уровне цен 3 кв. 2014 г., тыс. руб.</t>
        </is>
      </c>
      <c r="G10" s="452" t="n"/>
      <c r="H10" s="452" t="n"/>
      <c r="I10" s="452" t="n"/>
      <c r="J10" s="453" t="n"/>
    </row>
    <row r="11" ht="31.5" customHeight="1" s="328">
      <c r="B11" s="455" t="n"/>
      <c r="C11" s="455" t="n"/>
      <c r="D11" s="455" t="n"/>
      <c r="E11" s="455" t="n"/>
      <c r="F11" s="363" t="inlineStr">
        <is>
          <t>Строительные работы</t>
        </is>
      </c>
      <c r="G11" s="363" t="inlineStr">
        <is>
          <t>Монтажные работы</t>
        </is>
      </c>
      <c r="H11" s="363" t="inlineStr">
        <is>
          <t>Оборудование</t>
        </is>
      </c>
      <c r="I11" s="363" t="inlineStr">
        <is>
          <t>Прочее</t>
        </is>
      </c>
      <c r="J11" s="363" t="inlineStr">
        <is>
          <t>Всего</t>
        </is>
      </c>
    </row>
    <row r="12" ht="31.5" customHeight="1" s="328">
      <c r="B12" s="363" t="n">
        <v>1</v>
      </c>
      <c r="C12" s="273" t="inlineStr">
        <is>
          <t>Разъединитель 10 кВ, ОПН 10 кВ, Реклоузер напряжением 10кВ</t>
        </is>
      </c>
      <c r="D12" s="320" t="inlineStr">
        <is>
          <t>2-1</t>
        </is>
      </c>
      <c r="E12" s="363" t="inlineStr">
        <is>
          <t>Монтаж реклоузеров</t>
        </is>
      </c>
      <c r="F12" s="325">
        <f>11772*6.8/1000</f>
        <v/>
      </c>
      <c r="G12" s="325" t="n"/>
      <c r="H12" s="325">
        <f>285970*4.04/1000</f>
        <v/>
      </c>
      <c r="I12" s="325">
        <f>32577*7.93/1000</f>
        <v/>
      </c>
      <c r="J12" s="325">
        <f>SUM(F12:I12)</f>
        <v/>
      </c>
    </row>
    <row r="13" ht="15" customHeight="1" s="328">
      <c r="B13" s="361" t="inlineStr">
        <is>
          <t>Всего по объекту:</t>
        </is>
      </c>
      <c r="C13" s="456" t="n"/>
      <c r="D13" s="456" t="n"/>
      <c r="E13" s="457" t="n"/>
      <c r="F13" s="323">
        <f>SUM(F12)</f>
        <v/>
      </c>
      <c r="G13" s="323" t="n"/>
      <c r="H13" s="323">
        <f>SUM(H12)</f>
        <v/>
      </c>
      <c r="I13" s="323">
        <f>SUM(I12)</f>
        <v/>
      </c>
      <c r="J13" s="323">
        <f>SUM(J12)</f>
        <v/>
      </c>
    </row>
    <row r="14" ht="15.75" customHeight="1" s="328">
      <c r="B14" s="362" t="inlineStr">
        <is>
          <t>Всего по объекту в сопоставимом уровне цен 3 кв. 2014 г:</t>
        </is>
      </c>
      <c r="C14" s="452" t="n"/>
      <c r="D14" s="452" t="n"/>
      <c r="E14" s="453" t="n"/>
      <c r="F14" s="324">
        <f>F13</f>
        <v/>
      </c>
      <c r="G14" s="324" t="n"/>
      <c r="H14" s="324">
        <f>H13</f>
        <v/>
      </c>
      <c r="I14" s="324">
        <f>I13</f>
        <v/>
      </c>
      <c r="J14" s="324">
        <f>J13</f>
        <v/>
      </c>
    </row>
    <row r="15" ht="15" customHeight="1" s="328"/>
    <row r="16" ht="15" customHeight="1" s="328"/>
    <row r="17" ht="15" customHeight="1" s="328"/>
    <row r="18" ht="15" customHeight="1" s="328">
      <c r="C18" s="312" t="inlineStr">
        <is>
          <t>Составил ______________________     Д.А. Самуйленко</t>
        </is>
      </c>
      <c r="D18" s="313" t="n"/>
      <c r="E18" s="313" t="n"/>
    </row>
    <row r="19" ht="15" customHeight="1" s="328">
      <c r="C19" s="315" t="inlineStr">
        <is>
          <t xml:space="preserve">                         (подпись, инициалы, фамилия)</t>
        </is>
      </c>
      <c r="D19" s="313" t="n"/>
      <c r="E19" s="313" t="n"/>
    </row>
    <row r="20" ht="15" customHeight="1" s="328">
      <c r="C20" s="312" t="n"/>
      <c r="D20" s="313" t="n"/>
      <c r="E20" s="313" t="n"/>
    </row>
    <row r="21" ht="15" customHeight="1" s="328">
      <c r="C21" s="312" t="inlineStr">
        <is>
          <t>Проверил ______________________        А.В. Костянецкая</t>
        </is>
      </c>
      <c r="D21" s="313" t="n"/>
      <c r="E21" s="313" t="n"/>
    </row>
    <row r="22" ht="15" customHeight="1" s="328">
      <c r="C22" s="315" t="inlineStr">
        <is>
          <t xml:space="preserve">                        (подпись, инициалы, фамилия)</t>
        </is>
      </c>
      <c r="D22" s="313" t="n"/>
      <c r="E22" s="313" t="n"/>
    </row>
    <row r="23" ht="15" customHeight="1" s="328"/>
    <row r="24" ht="15" customHeight="1" s="328"/>
    <row r="25" ht="15" customHeight="1" s="328"/>
    <row r="26" ht="15" customHeight="1" s="328"/>
    <row r="27" ht="15" customHeight="1" s="328"/>
    <row r="28" ht="15" customHeight="1" s="328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63"/>
  <sheetViews>
    <sheetView view="pageBreakPreview" topLeftCell="A30" zoomScale="70" zoomScaleSheetLayoutView="70" workbookViewId="0">
      <selection activeCell="E64" sqref="E64"/>
    </sheetView>
  </sheetViews>
  <sheetFormatPr baseColWidth="8" defaultColWidth="9.140625" defaultRowHeight="15.75"/>
  <cols>
    <col width="9.140625" customWidth="1" style="330" min="1" max="1"/>
    <col width="12.5703125" customWidth="1" style="330" min="2" max="2"/>
    <col width="22.42578125" customWidth="1" style="330" min="3" max="3"/>
    <col width="49.7109375" customWidth="1" style="330" min="4" max="4"/>
    <col width="10.140625" customWidth="1" style="330" min="5" max="5"/>
    <col width="20.7109375" customWidth="1" style="330" min="6" max="6"/>
    <col width="20" customWidth="1" style="330" min="7" max="7"/>
    <col width="16.7109375" customWidth="1" style="330" min="8" max="8"/>
    <col width="9.140625" customWidth="1" style="330" min="9" max="9"/>
    <col width="11.28515625" customWidth="1" style="330" min="10" max="10"/>
    <col width="15" customWidth="1" style="330" min="11" max="11"/>
    <col width="9.140625" customWidth="1" style="330" min="12" max="12"/>
  </cols>
  <sheetData>
    <row r="2" s="328">
      <c r="A2" s="330" t="n"/>
      <c r="B2" s="330" t="n"/>
      <c r="C2" s="330" t="n"/>
      <c r="D2" s="330" t="n"/>
      <c r="E2" s="330" t="n"/>
      <c r="F2" s="330" t="n"/>
      <c r="G2" s="330" t="n"/>
      <c r="H2" s="330" t="n"/>
      <c r="I2" s="330" t="n"/>
      <c r="J2" s="330" t="n"/>
      <c r="K2" s="330" t="n"/>
      <c r="L2" s="330" t="n"/>
    </row>
    <row r="3">
      <c r="A3" s="357" t="inlineStr">
        <is>
          <t xml:space="preserve">Приложение № 3 </t>
        </is>
      </c>
    </row>
    <row r="4">
      <c r="A4" s="358" t="inlineStr">
        <is>
          <t>Объектная ресурсная ведомость</t>
        </is>
      </c>
    </row>
    <row r="5" ht="18.75" customHeight="1" s="328">
      <c r="A5" s="223" t="n"/>
      <c r="B5" s="223" t="n"/>
      <c r="C5" s="375" t="n"/>
    </row>
    <row r="6">
      <c r="A6" s="359" t="n"/>
    </row>
    <row r="7">
      <c r="A7" s="373" t="inlineStr">
        <is>
          <t xml:space="preserve">Наименование разрабатываемого показателя УНЦ -  Автоматический пункт секционирования (реклоузера) 20 кВ без ПКУ </t>
        </is>
      </c>
    </row>
    <row r="8">
      <c r="A8" s="201" t="n"/>
      <c r="B8" s="201" t="n"/>
      <c r="C8" s="201" t="n"/>
      <c r="D8" s="201" t="n"/>
      <c r="E8" s="201" t="n"/>
      <c r="F8" s="201" t="n"/>
      <c r="G8" s="201" t="n"/>
      <c r="H8" s="201" t="n"/>
    </row>
    <row r="9" ht="38.25" customHeight="1" s="328">
      <c r="A9" s="363" t="inlineStr">
        <is>
          <t>п/п</t>
        </is>
      </c>
      <c r="B9" s="363" t="inlineStr">
        <is>
          <t>№ЛСР</t>
        </is>
      </c>
      <c r="C9" s="363" t="inlineStr">
        <is>
          <t>Код ресурса</t>
        </is>
      </c>
      <c r="D9" s="363" t="inlineStr">
        <is>
          <t>Наименование ресурса</t>
        </is>
      </c>
      <c r="E9" s="363" t="inlineStr">
        <is>
          <t>Ед. изм.</t>
        </is>
      </c>
      <c r="F9" s="363" t="inlineStr">
        <is>
          <t>Кол-во единиц по данным объекта-представителя</t>
        </is>
      </c>
      <c r="G9" s="363" t="inlineStr">
        <is>
          <t>Сметная стоимость в ценах на 01.01.2000 (руб.)</t>
        </is>
      </c>
      <c r="H9" s="453" t="n"/>
    </row>
    <row r="10" ht="40.5" customHeight="1" s="328">
      <c r="A10" s="455" t="n"/>
      <c r="B10" s="455" t="n"/>
      <c r="C10" s="455" t="n"/>
      <c r="D10" s="455" t="n"/>
      <c r="E10" s="455" t="n"/>
      <c r="F10" s="455" t="n"/>
      <c r="G10" s="363" t="inlineStr">
        <is>
          <t>на ед.изм.</t>
        </is>
      </c>
      <c r="H10" s="363" t="inlineStr">
        <is>
          <t>общая</t>
        </is>
      </c>
    </row>
    <row r="11">
      <c r="A11" s="347" t="n">
        <v>1</v>
      </c>
      <c r="B11" s="347" t="n"/>
      <c r="C11" s="347" t="n">
        <v>2</v>
      </c>
      <c r="D11" s="347" t="inlineStr">
        <is>
          <t>З</t>
        </is>
      </c>
      <c r="E11" s="347" t="n">
        <v>4</v>
      </c>
      <c r="F11" s="347" t="n">
        <v>5</v>
      </c>
      <c r="G11" s="347" t="n">
        <v>6</v>
      </c>
      <c r="H11" s="347" t="n">
        <v>7</v>
      </c>
      <c r="J11" s="312" t="n"/>
      <c r="K11" s="277" t="n"/>
    </row>
    <row r="12" customFormat="1" s="307">
      <c r="A12" s="367" t="inlineStr">
        <is>
          <t>Затраты труда рабочих</t>
        </is>
      </c>
      <c r="B12" s="452" t="n"/>
      <c r="C12" s="452" t="n"/>
      <c r="D12" s="452" t="n"/>
      <c r="E12" s="453" t="n"/>
      <c r="F12" s="458">
        <f>SUM(F13:F17)</f>
        <v/>
      </c>
      <c r="G12" s="222" t="n"/>
      <c r="H12" s="458">
        <f>SUM(H13:H17)</f>
        <v/>
      </c>
      <c r="J12" s="278" t="n"/>
      <c r="K12" s="312" t="n"/>
    </row>
    <row r="13" customFormat="1" s="307">
      <c r="A13" s="275" t="n">
        <v>1</v>
      </c>
      <c r="B13" s="239" t="n"/>
      <c r="C13" s="276" t="inlineStr">
        <is>
          <t>1-4-0</t>
        </is>
      </c>
      <c r="D13" s="378" t="inlineStr">
        <is>
          <t>Затраты труда рабочих (средний разряд работы 4,0)</t>
        </is>
      </c>
      <c r="E13" s="379" t="inlineStr">
        <is>
          <t>чел.-ч</t>
        </is>
      </c>
      <c r="F13" s="276" t="n">
        <v>85.77</v>
      </c>
      <c r="G13" s="404" t="n">
        <v>9.619999999999999</v>
      </c>
      <c r="H13" s="247">
        <f>ROUND(F13*G13,2)</f>
        <v/>
      </c>
      <c r="J13" s="312" t="n"/>
      <c r="K13" s="277" t="n"/>
    </row>
    <row r="14" customFormat="1" s="307">
      <c r="A14" s="275" t="n">
        <v>2</v>
      </c>
      <c r="B14" s="239" t="n"/>
      <c r="C14" s="276" t="inlineStr">
        <is>
          <t>1-4-3</t>
        </is>
      </c>
      <c r="D14" s="378" t="inlineStr">
        <is>
          <t>Затраты труда рабочих (средний разряд работы 4,3)</t>
        </is>
      </c>
      <c r="E14" s="379" t="inlineStr">
        <is>
          <t>чел.-ч</t>
        </is>
      </c>
      <c r="F14" s="276" t="n">
        <v>24.27</v>
      </c>
      <c r="G14" s="404" t="n">
        <v>10.06</v>
      </c>
      <c r="H14" s="247">
        <f>ROUND(F14*G14,2)</f>
        <v/>
      </c>
      <c r="J14" s="312" t="n"/>
      <c r="K14" s="277" t="n"/>
    </row>
    <row r="15" customFormat="1" s="307">
      <c r="A15" s="275" t="n">
        <v>3</v>
      </c>
      <c r="B15" s="239" t="n"/>
      <c r="C15" s="276" t="inlineStr">
        <is>
          <t>1-3-3</t>
        </is>
      </c>
      <c r="D15" s="378" t="inlineStr">
        <is>
          <t>Затраты труда рабочих (средний разряд работы 3,3)</t>
        </is>
      </c>
      <c r="E15" s="379" t="inlineStr">
        <is>
          <t>чел.-ч</t>
        </is>
      </c>
      <c r="F15" s="276" t="n">
        <v>25.74</v>
      </c>
      <c r="G15" s="404" t="n">
        <v>8.859999999999999</v>
      </c>
      <c r="H15" s="247">
        <f>ROUND(F15*G15,2)</f>
        <v/>
      </c>
      <c r="J15" s="312" t="n"/>
      <c r="K15" s="277" t="n"/>
    </row>
    <row r="16" customFormat="1" s="307">
      <c r="A16" s="275" t="n">
        <v>4</v>
      </c>
      <c r="B16" s="239" t="n"/>
      <c r="C16" s="276" t="inlineStr">
        <is>
          <t>1-2-9</t>
        </is>
      </c>
      <c r="D16" s="378" t="inlineStr">
        <is>
          <t>Затраты труда рабочих (средний разряд работы 2,9)</t>
        </is>
      </c>
      <c r="E16" s="379" t="inlineStr">
        <is>
          <t>чел.-ч</t>
        </is>
      </c>
      <c r="F16" s="276" t="n">
        <v>19.8</v>
      </c>
      <c r="G16" s="404" t="n">
        <v>8.460000000000001</v>
      </c>
      <c r="H16" s="247">
        <f>ROUND(F16*G16,2)</f>
        <v/>
      </c>
      <c r="J16" s="312" t="n"/>
      <c r="K16" s="277" t="n"/>
    </row>
    <row r="17" customFormat="1" s="307">
      <c r="A17" s="275" t="n">
        <v>5</v>
      </c>
      <c r="B17" s="239" t="n"/>
      <c r="C17" s="276" t="inlineStr">
        <is>
          <t>1-3-7</t>
        </is>
      </c>
      <c r="D17" s="378" t="inlineStr">
        <is>
          <t>Затраты труда рабочих (средний разряд работы 3,7)</t>
        </is>
      </c>
      <c r="E17" s="379" t="inlineStr">
        <is>
          <t>чел.-ч</t>
        </is>
      </c>
      <c r="F17" s="276" t="n">
        <v>1.96</v>
      </c>
      <c r="G17" s="404" t="n">
        <v>9.289999999999999</v>
      </c>
      <c r="H17" s="247">
        <f>ROUND(F17*G17,2)</f>
        <v/>
      </c>
      <c r="J17" s="312" t="n"/>
      <c r="K17" s="277" t="n"/>
    </row>
    <row r="18" ht="15.75" customHeight="1" s="328">
      <c r="A18" s="374" t="inlineStr">
        <is>
          <t>Затраты труда машинистов</t>
        </is>
      </c>
      <c r="B18" s="452" t="n"/>
      <c r="C18" s="452" t="n"/>
      <c r="D18" s="452" t="n"/>
      <c r="E18" s="453" t="n"/>
      <c r="F18" s="367" t="n"/>
      <c r="G18" s="203" t="n"/>
      <c r="H18" s="458">
        <f>H19</f>
        <v/>
      </c>
    </row>
    <row r="19">
      <c r="A19" s="379" t="n">
        <v>6</v>
      </c>
      <c r="B19" s="239" t="n"/>
      <c r="C19" s="276" t="n">
        <v>2</v>
      </c>
      <c r="D19" s="378" t="inlineStr">
        <is>
          <t>Затраты труда машинистов</t>
        </is>
      </c>
      <c r="E19" s="379" t="inlineStr">
        <is>
          <t>чел.-ч</t>
        </is>
      </c>
      <c r="F19" s="379" t="n">
        <v>41.75</v>
      </c>
      <c r="G19" s="247" t="n"/>
      <c r="H19" s="247" t="n">
        <v>467.8186</v>
      </c>
    </row>
    <row r="20" customFormat="1" s="307">
      <c r="A20" s="367" t="inlineStr">
        <is>
          <t>Машины и механизмы</t>
        </is>
      </c>
      <c r="B20" s="452" t="n"/>
      <c r="C20" s="452" t="n"/>
      <c r="D20" s="452" t="n"/>
      <c r="E20" s="453" t="n"/>
      <c r="F20" s="367" t="n"/>
      <c r="G20" s="203" t="n"/>
      <c r="H20" s="458">
        <f>SUM(H21:H25)</f>
        <v/>
      </c>
    </row>
    <row r="21" customFormat="1" s="307">
      <c r="A21" s="244">
        <f>A19+1</f>
        <v/>
      </c>
      <c r="B21" s="238" t="n"/>
      <c r="C21" s="276" t="inlineStr">
        <is>
          <t>91.06.06-011</t>
        </is>
      </c>
      <c r="D21" s="378" t="inlineStr">
        <is>
          <t>Автогидроподъемники, высота подъема 12 м</t>
        </is>
      </c>
      <c r="E21" s="379" t="inlineStr">
        <is>
          <t>маш.-ч</t>
        </is>
      </c>
      <c r="F21" s="379" t="n">
        <v>23.41</v>
      </c>
      <c r="G21" s="404" t="n">
        <v>82.22</v>
      </c>
      <c r="H21" s="381">
        <f>ROUND(F21*G21,2)</f>
        <v/>
      </c>
      <c r="J21" s="269" t="n"/>
      <c r="K21" s="279" t="n"/>
    </row>
    <row r="22" ht="25.5" customFormat="1" customHeight="1" s="307">
      <c r="A22" s="244">
        <f>A21+1</f>
        <v/>
      </c>
      <c r="B22" s="238" t="n"/>
      <c r="C22" s="276" t="inlineStr">
        <is>
          <t>91.05.05-014</t>
        </is>
      </c>
      <c r="D22" s="378" t="inlineStr">
        <is>
          <t>Краны на автомобильном ходу, грузоподъемность 10 т</t>
        </is>
      </c>
      <c r="E22" s="379" t="inlineStr">
        <is>
          <t>маш.-ч</t>
        </is>
      </c>
      <c r="F22" s="379" t="n">
        <v>9.99</v>
      </c>
      <c r="G22" s="404" t="n">
        <v>111.99</v>
      </c>
      <c r="H22" s="381">
        <f>ROUND(F22*G22,2)</f>
        <v/>
      </c>
      <c r="J22" s="269" t="n"/>
      <c r="K22" s="312" t="n"/>
    </row>
    <row r="23" customFormat="1" s="307">
      <c r="A23" s="244">
        <f>A22+1</f>
        <v/>
      </c>
      <c r="B23" s="238" t="n"/>
      <c r="C23" s="276" t="inlineStr">
        <is>
          <t>91.14.02-001</t>
        </is>
      </c>
      <c r="D23" s="378" t="inlineStr">
        <is>
          <t>Автомобили бортовые, грузоподъемность до 5 т</t>
        </is>
      </c>
      <c r="E23" s="379" t="inlineStr">
        <is>
          <t>маш.-ч</t>
        </is>
      </c>
      <c r="F23" s="276" t="n">
        <v>8.039999999999999</v>
      </c>
      <c r="G23" s="404" t="n">
        <v>65.70999999999999</v>
      </c>
      <c r="H23" s="381">
        <f>ROUND(F23*G23,2)</f>
        <v/>
      </c>
      <c r="J23" s="269" t="n"/>
      <c r="K23" s="312" t="n"/>
    </row>
    <row r="24" ht="25.5" customFormat="1" customHeight="1" s="307">
      <c r="A24" s="244">
        <f>A23+1</f>
        <v/>
      </c>
      <c r="B24" s="238" t="n"/>
      <c r="C24" s="276" t="inlineStr">
        <is>
          <t>91.17.04-036</t>
        </is>
      </c>
      <c r="D24" s="378" t="inlineStr">
        <is>
          <t>Агрегаты сварочные передвижные с дизельным двигателем, номинальный сварочный ток 250-400 А</t>
        </is>
      </c>
      <c r="E24" s="379" t="inlineStr">
        <is>
          <t>маш.-ч</t>
        </is>
      </c>
      <c r="F24" s="379" t="n">
        <v>5.5</v>
      </c>
      <c r="G24" s="404" t="n">
        <v>14</v>
      </c>
      <c r="H24" s="381">
        <f>ROUND(F24*G24,2)</f>
        <v/>
      </c>
      <c r="J24" s="269" t="n"/>
      <c r="K24" s="312" t="n"/>
    </row>
    <row r="25" ht="25.5" customFormat="1" customHeight="1" s="307">
      <c r="A25" s="244">
        <f>A24+1</f>
        <v/>
      </c>
      <c r="B25" s="238" t="n"/>
      <c r="C25" s="276" t="inlineStr">
        <is>
          <t>91.15.03-014</t>
        </is>
      </c>
      <c r="D25" s="378" t="inlineStr">
        <is>
          <t>Тракторы на пневмоколесном ходу, мощность 59 кВт (80 л.с.)</t>
        </is>
      </c>
      <c r="E25" s="379" t="inlineStr">
        <is>
          <t>маш.-ч</t>
        </is>
      </c>
      <c r="F25" s="379" t="n">
        <v>0.31</v>
      </c>
      <c r="G25" s="404" t="n">
        <v>74.61</v>
      </c>
      <c r="H25" s="381">
        <f>ROUND(F25*G25,2)</f>
        <v/>
      </c>
      <c r="J25" s="269" t="n"/>
      <c r="K25" s="312" t="n"/>
    </row>
    <row r="26" ht="15" customHeight="1" s="328">
      <c r="A26" s="374" t="inlineStr">
        <is>
          <t>Оборудование</t>
        </is>
      </c>
      <c r="B26" s="452" t="n"/>
      <c r="C26" s="452" t="n"/>
      <c r="D26" s="452" t="n"/>
      <c r="E26" s="453" t="n"/>
      <c r="F26" s="222" t="n"/>
      <c r="G26" s="222" t="n"/>
      <c r="H26" s="458">
        <f>SUM(H27:H29)</f>
        <v/>
      </c>
      <c r="J26" s="312" t="n"/>
      <c r="K26" s="312" t="n"/>
    </row>
    <row r="27" ht="15" customHeight="1" s="328">
      <c r="A27" s="379" t="n">
        <v>12</v>
      </c>
      <c r="B27" s="383" t="n"/>
      <c r="C27" s="276" t="inlineStr">
        <is>
          <t>Прайс из СД ОП</t>
        </is>
      </c>
      <c r="D27" s="268" t="inlineStr">
        <is>
          <t>Реклоузер тип 2 ток предельный 12,5 кА</t>
        </is>
      </c>
      <c r="E27" s="275" t="inlineStr">
        <is>
          <t>компл</t>
        </is>
      </c>
      <c r="F27" s="275" t="n">
        <v>3</v>
      </c>
      <c r="G27" s="459" t="n">
        <v>264799.3</v>
      </c>
      <c r="H27" s="247" t="n">
        <v>794397.9</v>
      </c>
      <c r="J27" s="269" t="n"/>
      <c r="K27" s="282" t="n"/>
    </row>
    <row r="28" ht="38.25" customHeight="1" s="328">
      <c r="A28" s="379" t="n">
        <v>13</v>
      </c>
      <c r="B28" s="383" t="n"/>
      <c r="C28" s="276" t="inlineStr">
        <is>
          <t>Прайс из СД ОП</t>
        </is>
      </c>
      <c r="D28" s="378" t="inlineStr">
        <is>
          <t>Разъединитель  10 кВ на ток 630А с приводом ПРН-1 с монтажным комплектом для установки  Цена=10403/3,96</t>
        </is>
      </c>
      <c r="E28" s="275" t="inlineStr">
        <is>
          <t>компл</t>
        </is>
      </c>
      <c r="F28" s="275" t="n">
        <v>3</v>
      </c>
      <c r="G28" s="212" t="n">
        <v>2627.02</v>
      </c>
      <c r="H28" s="247" t="n">
        <v>7881.06</v>
      </c>
      <c r="J28" s="269" t="n"/>
      <c r="K28" s="312" t="n"/>
    </row>
    <row r="29" ht="25.5" customHeight="1" s="328">
      <c r="A29" s="379" t="n">
        <v>14</v>
      </c>
      <c r="B29" s="383" t="n"/>
      <c r="C29" s="276" t="inlineStr">
        <is>
          <t>Прайс из СД ОП</t>
        </is>
      </c>
      <c r="D29" s="378" t="inlineStr">
        <is>
          <t>Ограничитель перенапряжения ОПН-РВ-10/12,6  Цена=1300,88/3,96</t>
        </is>
      </c>
      <c r="E29" s="275" t="inlineStr">
        <is>
          <t>шт</t>
        </is>
      </c>
      <c r="F29" s="275" t="n">
        <v>18</v>
      </c>
      <c r="G29" s="212" t="n">
        <v>328.51</v>
      </c>
      <c r="H29" s="247" t="n">
        <v>5913.18</v>
      </c>
      <c r="J29" s="269" t="n"/>
      <c r="K29" s="312" t="n"/>
    </row>
    <row r="30">
      <c r="A30" s="367" t="inlineStr">
        <is>
          <t>Материалы</t>
        </is>
      </c>
      <c r="B30" s="452" t="n"/>
      <c r="C30" s="452" t="n"/>
      <c r="D30" s="452" t="n"/>
      <c r="E30" s="453" t="n"/>
      <c r="F30" s="367" t="n"/>
      <c r="G30" s="203" t="n"/>
      <c r="H30" s="458" t="n">
        <v>23764.37</v>
      </c>
      <c r="J30" s="281" t="n"/>
      <c r="K30" s="312" t="n"/>
    </row>
    <row r="31" ht="25.5" customHeight="1" s="328">
      <c r="A31" s="275" t="n">
        <v>15</v>
      </c>
      <c r="B31" s="239" t="n"/>
      <c r="C31" s="379" t="inlineStr">
        <is>
          <t>20.5.04.08-0007</t>
        </is>
      </c>
      <c r="D31" s="378" t="inlineStr">
        <is>
          <t>Зажим соединительный: шлейфовый спиральный ШС-24,0-01</t>
        </is>
      </c>
      <c r="E31" s="275" t="inlineStr">
        <is>
          <t>шт</t>
        </is>
      </c>
      <c r="F31" s="275" t="n">
        <v>27</v>
      </c>
      <c r="G31" s="247" t="n">
        <v>535.9299999999999</v>
      </c>
      <c r="H31" s="247" t="n">
        <v>14470.11</v>
      </c>
      <c r="J31" s="269" t="n"/>
      <c r="K31" s="282" t="n"/>
    </row>
    <row r="32">
      <c r="A32" s="275" t="n">
        <v>16</v>
      </c>
      <c r="B32" s="239" t="n"/>
      <c r="C32" s="379" t="inlineStr">
        <is>
          <t>20.1.01.01-0025</t>
        </is>
      </c>
      <c r="D32" s="378" t="inlineStr">
        <is>
          <t>Зажим анкерный марки SO 3.35</t>
        </is>
      </c>
      <c r="E32" s="379" t="inlineStr">
        <is>
          <t>100 шт</t>
        </is>
      </c>
      <c r="F32" s="275" t="n">
        <v>0.18</v>
      </c>
      <c r="G32" s="247" t="n">
        <v>10668</v>
      </c>
      <c r="H32" s="247" t="n">
        <v>1920.24</v>
      </c>
      <c r="J32" s="269" t="n"/>
      <c r="K32" s="312" t="n"/>
    </row>
    <row r="33" ht="25.5" customHeight="1" s="328">
      <c r="A33" s="275" t="n">
        <v>17</v>
      </c>
      <c r="B33" s="239" t="n"/>
      <c r="C33" s="379" t="inlineStr">
        <is>
          <t>20.1.01.15-0003</t>
        </is>
      </c>
      <c r="D33" s="378" t="inlineStr">
        <is>
          <t>Зажим прокалывающий для изолированных алюминиевых и медных проводов марки SL 21.1</t>
        </is>
      </c>
      <c r="E33" s="379" t="inlineStr">
        <is>
          <t>100 шт</t>
        </is>
      </c>
      <c r="F33" s="275" t="n">
        <v>0.18</v>
      </c>
      <c r="G33" s="247" t="n">
        <v>9563</v>
      </c>
      <c r="H33" s="247" t="n">
        <v>1721.34</v>
      </c>
      <c r="J33" s="269" t="n"/>
      <c r="K33" s="312" t="n"/>
    </row>
    <row r="34">
      <c r="A34" s="275" t="n">
        <v>18</v>
      </c>
      <c r="B34" s="239" t="n"/>
      <c r="C34" s="379" t="inlineStr">
        <is>
          <t>22.2.01.05-0001</t>
        </is>
      </c>
      <c r="D34" s="378" t="inlineStr">
        <is>
          <t>Изолятор опорно-стержневой ИОС-10-500 УХЛ1</t>
        </is>
      </c>
      <c r="E34" s="379" t="inlineStr">
        <is>
          <t>100 шт</t>
        </is>
      </c>
      <c r="F34" s="275" t="n">
        <v>0.09</v>
      </c>
      <c r="G34" s="247" t="n">
        <v>16232.1</v>
      </c>
      <c r="H34" s="247" t="n">
        <v>1460.89</v>
      </c>
      <c r="J34" s="269" t="n"/>
      <c r="K34" s="312" t="n"/>
    </row>
    <row r="35">
      <c r="A35" s="275" t="n">
        <v>19</v>
      </c>
      <c r="B35" s="239" t="n"/>
      <c r="C35" s="379" t="inlineStr">
        <is>
          <t>22.2.01.04-0002</t>
        </is>
      </c>
      <c r="D35" s="378" t="inlineStr">
        <is>
          <t>Изолятор линейный штыревой фарфоровый ШФ 20-Г</t>
        </is>
      </c>
      <c r="E35" s="275" t="inlineStr">
        <is>
          <t>шт</t>
        </is>
      </c>
      <c r="F35" s="275" t="n">
        <v>24</v>
      </c>
      <c r="G35" s="247" t="n">
        <v>46.72</v>
      </c>
      <c r="H35" s="247" t="n">
        <v>1121.28</v>
      </c>
      <c r="J35" s="269" t="n"/>
      <c r="K35" s="312" t="n"/>
    </row>
    <row r="36" ht="25.5" customHeight="1" s="328">
      <c r="A36" s="275" t="n">
        <v>20</v>
      </c>
      <c r="B36" s="239" t="n"/>
      <c r="C36" s="379" t="inlineStr">
        <is>
          <t>21.2.01.02-0086</t>
        </is>
      </c>
      <c r="D36" s="378" t="inlineStr">
        <is>
          <t>Провод неизолированный для воздушных линий электропередачи АС 70/11</t>
        </is>
      </c>
      <c r="E36" s="275" t="inlineStr">
        <is>
          <t>т</t>
        </is>
      </c>
      <c r="F36" s="275" t="n">
        <v>0.022</v>
      </c>
      <c r="G36" s="247" t="n">
        <v>31957.37</v>
      </c>
      <c r="H36" s="247" t="n">
        <v>703.0599999999999</v>
      </c>
      <c r="J36" s="269" t="n"/>
      <c r="K36" s="312" t="n"/>
    </row>
    <row r="37">
      <c r="A37" s="275" t="n">
        <v>21</v>
      </c>
      <c r="B37" s="271" t="n"/>
      <c r="C37" s="379" t="inlineStr">
        <is>
          <t>21.2.01.01-0049</t>
        </is>
      </c>
      <c r="D37" s="378" t="inlineStr">
        <is>
          <t>Провод самонесущий изолированный СИП-3 1х70-20</t>
        </is>
      </c>
      <c r="E37" s="275" t="inlineStr">
        <is>
          <t>1000 м</t>
        </is>
      </c>
      <c r="F37" s="275" t="n">
        <v>0.05</v>
      </c>
      <c r="G37" s="247" t="n">
        <v>10392.39</v>
      </c>
      <c r="H37" s="247" t="n">
        <v>519.62</v>
      </c>
      <c r="J37" s="269" t="n"/>
      <c r="K37" s="282" t="n"/>
    </row>
    <row r="38" ht="25.5" customHeight="1" s="328">
      <c r="A38" s="275" t="n">
        <v>22</v>
      </c>
      <c r="B38" s="239" t="n"/>
      <c r="C38" s="379" t="inlineStr">
        <is>
          <t>08.3.04.02-0068</t>
        </is>
      </c>
      <c r="D38" s="378" t="inlineStr">
        <is>
          <t>Сталь круглая и квадратная, марка: Ст3пс размером 12х12 мм</t>
        </is>
      </c>
      <c r="E38" s="275" t="inlineStr">
        <is>
          <t>т</t>
        </is>
      </c>
      <c r="F38" s="275" t="n">
        <v>0.06</v>
      </c>
      <c r="G38" s="247" t="n">
        <v>5299.6</v>
      </c>
      <c r="H38" s="247" t="n">
        <v>317.98</v>
      </c>
      <c r="J38" s="269" t="n"/>
      <c r="K38" s="312" t="n"/>
    </row>
    <row r="39">
      <c r="A39" s="275" t="n">
        <v>23</v>
      </c>
      <c r="B39" s="239" t="n"/>
      <c r="C39" s="379" t="inlineStr">
        <is>
          <t>20.5.04.05-0009</t>
        </is>
      </c>
      <c r="D39" s="378" t="inlineStr">
        <is>
          <t>Зажим ответвительный ОА 70-2</t>
        </is>
      </c>
      <c r="E39" s="379" t="inlineStr">
        <is>
          <t>100 шт</t>
        </is>
      </c>
      <c r="F39" s="275" t="n">
        <v>0.09</v>
      </c>
      <c r="G39" s="247" t="n">
        <v>3516</v>
      </c>
      <c r="H39" s="247" t="n">
        <v>316.44</v>
      </c>
      <c r="J39" s="269" t="n"/>
      <c r="K39" s="312" t="n"/>
    </row>
    <row r="40">
      <c r="A40" s="275" t="n">
        <v>24</v>
      </c>
      <c r="B40" s="239" t="n"/>
      <c r="C40" s="379" t="inlineStr">
        <is>
          <t>01.7.06.10-0021</t>
        </is>
      </c>
      <c r="D40" s="378" t="inlineStr">
        <is>
          <t>Лента термоуплотнительная самоклеящаяся</t>
        </is>
      </c>
      <c r="E40" s="379" t="inlineStr">
        <is>
          <t>10 м</t>
        </is>
      </c>
      <c r="F40" s="275" t="n">
        <v>3</v>
      </c>
      <c r="G40" s="247" t="n">
        <v>101.1</v>
      </c>
      <c r="H40" s="247" t="n">
        <v>303.3</v>
      </c>
      <c r="J40" s="269" t="n"/>
      <c r="K40" s="312" t="n"/>
    </row>
    <row r="41" ht="25.5" customHeight="1" s="328">
      <c r="A41" s="275" t="n">
        <v>25</v>
      </c>
      <c r="B41" s="239" t="n"/>
      <c r="C41" s="379" t="inlineStr">
        <is>
          <t>08.3.04.02-0067</t>
        </is>
      </c>
      <c r="D41" s="378" t="inlineStr">
        <is>
          <t>Сталь круглая и квадратная, марка Ст3пс, размер 10x10 мм</t>
        </is>
      </c>
      <c r="E41" s="275" t="inlineStr">
        <is>
          <t>т</t>
        </is>
      </c>
      <c r="F41" s="275" t="n">
        <v>0.04435</v>
      </c>
      <c r="G41" s="247" t="n">
        <v>5390.19</v>
      </c>
      <c r="H41" s="247" t="n">
        <v>239.05</v>
      </c>
      <c r="J41" s="269" t="n"/>
      <c r="K41" s="312" t="n"/>
    </row>
    <row r="42">
      <c r="A42" s="275" t="n">
        <v>26</v>
      </c>
      <c r="B42" s="239" t="n"/>
      <c r="C42" s="379" t="inlineStr">
        <is>
          <t>20.1.01.02-0047</t>
        </is>
      </c>
      <c r="D42" s="378" t="inlineStr">
        <is>
          <t>Зажим аппаратный прессуемый: А2А-70-2</t>
        </is>
      </c>
      <c r="E42" s="379" t="inlineStr">
        <is>
          <t>100 шт</t>
        </is>
      </c>
      <c r="F42" s="275" t="n">
        <v>0.09</v>
      </c>
      <c r="G42" s="247" t="n">
        <v>2089</v>
      </c>
      <c r="H42" s="247" t="n">
        <v>188.01</v>
      </c>
      <c r="J42" s="269" t="n"/>
      <c r="K42" s="312" t="n"/>
    </row>
    <row r="43" ht="25.5" customHeight="1" s="328">
      <c r="A43" s="275" t="n">
        <v>27</v>
      </c>
      <c r="B43" s="239" t="n"/>
      <c r="C43" s="379" t="inlineStr">
        <is>
          <t>25.1.06.03-0061</t>
        </is>
      </c>
      <c r="D43" s="378" t="inlineStr">
        <is>
          <t>Плакаты предупредительные, путевые сигнальные знаки размер 420x220 мм</t>
        </is>
      </c>
      <c r="E43" s="379" t="inlineStr">
        <is>
          <t>100 шт</t>
        </is>
      </c>
      <c r="F43" s="275" t="n">
        <v>0.03</v>
      </c>
      <c r="G43" s="247" t="n">
        <v>3611.54</v>
      </c>
      <c r="H43" s="247" t="n">
        <v>108.35</v>
      </c>
      <c r="J43" s="269" t="n"/>
      <c r="K43" s="312" t="n"/>
    </row>
    <row r="44" ht="25.5" customHeight="1" s="328">
      <c r="A44" s="275" t="n">
        <v>28</v>
      </c>
      <c r="B44" s="239" t="n"/>
      <c r="C44" s="379" t="inlineStr">
        <is>
          <t>08.3.07.01-0052</t>
        </is>
      </c>
      <c r="D44" s="378" t="inlineStr">
        <is>
          <t>Прокат полосовой, горячекатаный, марка стали Ст3сп, размер 50х5 мм</t>
        </is>
      </c>
      <c r="E44" s="379" t="inlineStr">
        <is>
          <t>т</t>
        </is>
      </c>
      <c r="F44" s="275" t="n">
        <v>0.016</v>
      </c>
      <c r="G44" s="247" t="n">
        <v>6726.18</v>
      </c>
      <c r="H44" s="247" t="n">
        <v>107.62</v>
      </c>
      <c r="J44" s="269" t="n"/>
      <c r="K44" s="312" t="n"/>
    </row>
    <row r="45">
      <c r="A45" s="275" t="n">
        <v>29</v>
      </c>
      <c r="B45" s="239" t="n"/>
      <c r="C45" s="379" t="inlineStr">
        <is>
          <t>20.1.01.11-0022</t>
        </is>
      </c>
      <c r="D45" s="378" t="inlineStr">
        <is>
          <t>Зажим соединительный: плашечный ПС-2-1</t>
        </is>
      </c>
      <c r="E45" s="379" t="inlineStr">
        <is>
          <t>шт</t>
        </is>
      </c>
      <c r="F45" s="275" t="n">
        <v>6</v>
      </c>
      <c r="G45" s="247" t="n">
        <v>12.53</v>
      </c>
      <c r="H45" s="247" t="n">
        <v>75.18000000000001</v>
      </c>
      <c r="J45" s="269" t="n"/>
      <c r="K45" s="312" t="n"/>
    </row>
    <row r="46" ht="25.5" customHeight="1" s="328">
      <c r="A46" s="275" t="n">
        <v>30</v>
      </c>
      <c r="B46" s="239" t="n"/>
      <c r="C46" s="379" t="inlineStr">
        <is>
          <t>24.1.02.01-0018</t>
        </is>
      </c>
      <c r="D46" s="378" t="inlineStr">
        <is>
          <t>Хомуты двухболтовые с быстродействующим замком для крепления труб размером 54-58 мм</t>
        </is>
      </c>
      <c r="E46" s="275" t="inlineStr">
        <is>
          <t>шт</t>
        </is>
      </c>
      <c r="F46" s="275" t="n">
        <v>4</v>
      </c>
      <c r="G46" s="247" t="n">
        <v>18.64</v>
      </c>
      <c r="H46" s="247" t="n">
        <v>74.56</v>
      </c>
      <c r="J46" s="269" t="n"/>
      <c r="K46" s="312" t="n"/>
    </row>
    <row r="47" ht="25.5" customHeight="1" s="328">
      <c r="A47" s="275" t="n">
        <v>31</v>
      </c>
      <c r="B47" s="239" t="n"/>
      <c r="C47" s="379" t="inlineStr">
        <is>
          <t>01.7.15.03-0045</t>
        </is>
      </c>
      <c r="D47" s="378" t="inlineStr">
        <is>
          <t>Болты строительные с гайками оцинкованные размером 10x100 мм</t>
        </is>
      </c>
      <c r="E47" s="275" t="inlineStr">
        <is>
          <t>т</t>
        </is>
      </c>
      <c r="F47" s="275" t="n">
        <v>0.003</v>
      </c>
      <c r="G47" s="247" t="n">
        <v>13722.4</v>
      </c>
      <c r="H47" s="247" t="n">
        <v>41.17</v>
      </c>
      <c r="J47" s="269" t="n"/>
      <c r="K47" s="312" t="n"/>
    </row>
    <row r="48">
      <c r="A48" s="275" t="n">
        <v>32</v>
      </c>
      <c r="B48" s="239" t="n"/>
      <c r="C48" s="379" t="inlineStr">
        <is>
          <t>20.1.01.11-0021</t>
        </is>
      </c>
      <c r="D48" s="378" t="inlineStr">
        <is>
          <t>Зажим соединительный: плашечный ПС-1-1</t>
        </is>
      </c>
      <c r="E48" s="275" t="inlineStr">
        <is>
          <t>шт</t>
        </is>
      </c>
      <c r="F48" s="275" t="n">
        <v>3</v>
      </c>
      <c r="G48" s="247" t="n">
        <v>8.6</v>
      </c>
      <c r="H48" s="247" t="n">
        <v>25.8</v>
      </c>
      <c r="J48" s="269" t="n"/>
      <c r="K48" s="312" t="n"/>
    </row>
    <row r="49">
      <c r="A49" s="275" t="n">
        <v>33</v>
      </c>
      <c r="B49" s="239" t="n"/>
      <c r="C49" s="276" t="inlineStr">
        <is>
          <t>01.7.11.07-0032</t>
        </is>
      </c>
      <c r="D49" s="378" t="inlineStr">
        <is>
          <t>Электроды диаметром: 4 мм Э42</t>
        </is>
      </c>
      <c r="E49" s="275" t="inlineStr">
        <is>
          <t>т</t>
        </is>
      </c>
      <c r="F49" s="275" t="n">
        <v>0.0013</v>
      </c>
      <c r="G49" s="212" t="n">
        <v>10315.01</v>
      </c>
      <c r="H49" s="247" t="n">
        <v>13.41</v>
      </c>
      <c r="J49" s="269" t="n"/>
      <c r="K49" s="312" t="n"/>
    </row>
    <row r="50" ht="25.5" customHeight="1" s="328">
      <c r="A50" s="275" t="n">
        <v>34</v>
      </c>
      <c r="B50" s="239" t="n"/>
      <c r="C50" s="276" t="inlineStr">
        <is>
          <t>20.1.02.15-0011</t>
        </is>
      </c>
      <c r="D50" s="378" t="inlineStr">
        <is>
          <t>Соединитель алюминиевых и сталеалюминиевых проводов (СОАС) 062-3</t>
        </is>
      </c>
      <c r="E50" s="275" t="inlineStr">
        <is>
          <t>шт</t>
        </is>
      </c>
      <c r="F50" s="275" t="n">
        <v>0.1394</v>
      </c>
      <c r="G50" s="212" t="n">
        <v>88.14</v>
      </c>
      <c r="H50" s="247" t="n">
        <v>12.29</v>
      </c>
      <c r="J50" s="269" t="n"/>
      <c r="K50" s="312" t="n"/>
    </row>
    <row r="51">
      <c r="A51" s="275" t="n">
        <v>35</v>
      </c>
      <c r="B51" s="239" t="n"/>
      <c r="C51" s="276" t="inlineStr">
        <is>
          <t>01.3.01.06-0038</t>
        </is>
      </c>
      <c r="D51" s="378" t="inlineStr">
        <is>
          <t>Смазка ЗЭС</t>
        </is>
      </c>
      <c r="E51" s="275" t="inlineStr">
        <is>
          <t>кг</t>
        </is>
      </c>
      <c r="F51" s="275" t="n">
        <v>0.6341</v>
      </c>
      <c r="G51" s="212" t="n">
        <v>14.4</v>
      </c>
      <c r="H51" s="247" t="n">
        <v>9.130000000000001</v>
      </c>
      <c r="J51" s="269" t="n"/>
      <c r="K51" s="312" t="n"/>
    </row>
    <row r="52">
      <c r="A52" s="275" t="n">
        <v>36</v>
      </c>
      <c r="B52" s="239" t="n"/>
      <c r="C52" s="276" t="inlineStr">
        <is>
          <t>14.4.03.03-0102</t>
        </is>
      </c>
      <c r="D52" s="378" t="inlineStr">
        <is>
          <t>Лак БТ-577</t>
        </is>
      </c>
      <c r="E52" s="275" t="inlineStr">
        <is>
          <t>т</t>
        </is>
      </c>
      <c r="F52" s="275" t="n">
        <v>0.0009</v>
      </c>
      <c r="G52" s="212" t="n">
        <v>9550.01</v>
      </c>
      <c r="H52" s="247" t="n">
        <v>8.6</v>
      </c>
      <c r="J52" s="269" t="n"/>
      <c r="K52" s="312" t="n"/>
    </row>
    <row r="53">
      <c r="A53" s="275" t="n">
        <v>37</v>
      </c>
      <c r="B53" s="239" t="n"/>
      <c r="C53" s="276" t="inlineStr">
        <is>
          <t>14.5.09.11-0101</t>
        </is>
      </c>
      <c r="D53" s="378" t="inlineStr">
        <is>
          <t>Уайт-спирит</t>
        </is>
      </c>
      <c r="E53" s="275" t="inlineStr">
        <is>
          <t>т</t>
        </is>
      </c>
      <c r="F53" s="275" t="n">
        <v>0.0005999999999999999</v>
      </c>
      <c r="G53" s="212" t="n">
        <v>6667</v>
      </c>
      <c r="H53" s="247" t="n">
        <v>4</v>
      </c>
      <c r="J53" s="269" t="n"/>
      <c r="K53" s="312" t="n"/>
    </row>
    <row r="54">
      <c r="A54" s="275" t="n">
        <v>38</v>
      </c>
      <c r="B54" s="239" t="n"/>
      <c r="C54" s="276" t="inlineStr">
        <is>
          <t>01.3.01.06-0046</t>
        </is>
      </c>
      <c r="D54" s="378" t="inlineStr">
        <is>
          <t>Смазка солидол жировой марки «Ж»</t>
        </is>
      </c>
      <c r="E54" s="275" t="inlineStr">
        <is>
          <t>т</t>
        </is>
      </c>
      <c r="F54" s="275" t="n">
        <v>0.0003</v>
      </c>
      <c r="G54" s="212" t="n">
        <v>9661.5</v>
      </c>
      <c r="H54" s="247" t="n">
        <v>2.9</v>
      </c>
      <c r="J54" s="269" t="n"/>
      <c r="K54" s="312" t="n"/>
    </row>
    <row r="55">
      <c r="A55" s="275" t="n">
        <v>39</v>
      </c>
      <c r="B55" s="239" t="n"/>
      <c r="C55" s="276" t="inlineStr">
        <is>
          <t>01.7.20.08-0051</t>
        </is>
      </c>
      <c r="D55" s="378" t="inlineStr">
        <is>
          <t>Ветошь</t>
        </is>
      </c>
      <c r="E55" s="275" t="inlineStr">
        <is>
          <t>кг</t>
        </is>
      </c>
      <c r="F55" s="275" t="n">
        <v>0.1821</v>
      </c>
      <c r="G55" s="212" t="n">
        <v>1.82</v>
      </c>
      <c r="H55" s="247" t="n"/>
      <c r="J55" s="269" t="n"/>
      <c r="K55" s="312" t="n"/>
    </row>
    <row r="56">
      <c r="A56" s="275" t="n">
        <v>40</v>
      </c>
      <c r="B56" s="239" t="n"/>
      <c r="C56" s="379" t="inlineStr">
        <is>
          <t>08.3.03.06-0001</t>
        </is>
      </c>
      <c r="D56" s="378" t="inlineStr">
        <is>
          <t>Проволока вязальная</t>
        </is>
      </c>
      <c r="E56" s="275" t="inlineStr">
        <is>
          <t>т</t>
        </is>
      </c>
      <c r="F56" s="275" t="n">
        <v>0.004</v>
      </c>
      <c r="G56" s="247" t="n">
        <v>9.5</v>
      </c>
      <c r="H56" s="247" t="n">
        <v>0.04</v>
      </c>
      <c r="J56" s="269" t="n"/>
      <c r="K56" s="312" t="n"/>
    </row>
    <row r="57">
      <c r="J57" s="266" t="n"/>
    </row>
    <row r="59">
      <c r="B59" s="330" t="inlineStr">
        <is>
          <t>Составил ______________________    Д.А. Самуйленко</t>
        </is>
      </c>
    </row>
    <row r="60">
      <c r="B60" s="191" t="inlineStr">
        <is>
          <t xml:space="preserve">                         (подпись, инициалы, фамилия)</t>
        </is>
      </c>
    </row>
    <row r="62">
      <c r="B62" s="330" t="inlineStr">
        <is>
          <t>Проверил ______________________        А.В. Костянецкая</t>
        </is>
      </c>
    </row>
    <row r="63">
      <c r="B63" s="191" t="inlineStr">
        <is>
          <t xml:space="preserve">                        (подпись, инициалы, фамилия)</t>
        </is>
      </c>
    </row>
  </sheetData>
  <mergeCells count="16">
    <mergeCell ref="A30:E30"/>
    <mergeCell ref="A4:H4"/>
    <mergeCell ref="B9:B10"/>
    <mergeCell ref="A3:H3"/>
    <mergeCell ref="A12:E12"/>
    <mergeCell ref="C9:C10"/>
    <mergeCell ref="A20:E20"/>
    <mergeCell ref="D9:D10"/>
    <mergeCell ref="A7:H7"/>
    <mergeCell ref="A9:A10"/>
    <mergeCell ref="E9:E10"/>
    <mergeCell ref="F9:F10"/>
    <mergeCell ref="A26:E26"/>
    <mergeCell ref="C5:H5"/>
    <mergeCell ref="G9:H9"/>
    <mergeCell ref="A18:E18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  <rowBreaks count="1" manualBreakCount="1">
    <brk id="53" min="0" max="7" man="1"/>
  </rowBreaks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5" workbookViewId="0">
      <selection activeCell="E66" sqref="E66"/>
    </sheetView>
  </sheetViews>
  <sheetFormatPr baseColWidth="8" defaultRowHeight="15"/>
  <cols>
    <col width="4.140625" customWidth="1" style="328" min="1" max="1"/>
    <col width="36.28515625" customWidth="1" style="328" min="2" max="2"/>
    <col width="18.85546875" customWidth="1" style="328" min="3" max="3"/>
    <col width="18.28515625" customWidth="1" style="328" min="4" max="4"/>
    <col width="18.85546875" customWidth="1" style="328" min="5" max="5"/>
    <col width="9.140625" customWidth="1" style="328" min="6" max="6"/>
    <col width="13.42578125" customWidth="1" style="328" min="7" max="7"/>
    <col width="9.140625" customWidth="1" style="328" min="8" max="11"/>
    <col width="13.5703125" customWidth="1" style="328" min="12" max="12"/>
    <col width="9.140625" customWidth="1" style="328" min="13" max="13"/>
  </cols>
  <sheetData>
    <row r="1">
      <c r="B1" s="312" t="n"/>
      <c r="C1" s="312" t="n"/>
      <c r="D1" s="312" t="n"/>
      <c r="E1" s="312" t="n"/>
    </row>
    <row r="2">
      <c r="B2" s="312" t="n"/>
      <c r="C2" s="312" t="n"/>
      <c r="D2" s="312" t="n"/>
      <c r="E2" s="399" t="inlineStr">
        <is>
          <t>Приложение № 4</t>
        </is>
      </c>
    </row>
    <row r="3">
      <c r="B3" s="312" t="n"/>
      <c r="C3" s="312" t="n"/>
      <c r="D3" s="312" t="n"/>
      <c r="E3" s="312" t="n"/>
    </row>
    <row r="4">
      <c r="B4" s="312" t="n"/>
      <c r="C4" s="312" t="n"/>
      <c r="D4" s="312" t="n"/>
      <c r="E4" s="312" t="n"/>
    </row>
    <row r="5">
      <c r="B5" s="350" t="inlineStr">
        <is>
          <t>Ресурсная модель</t>
        </is>
      </c>
    </row>
    <row r="6">
      <c r="B6" s="216" t="n"/>
      <c r="C6" s="312" t="n"/>
      <c r="D6" s="312" t="n"/>
      <c r="E6" s="312" t="n"/>
    </row>
    <row r="7" ht="25.5" customHeight="1" s="328">
      <c r="B7" s="376" t="inlineStr">
        <is>
          <t xml:space="preserve">Наименование разрабатываемого показателя УНЦ — Автоматический пункт секционирования (реклоузера) 20 кВ без ПКУ </t>
        </is>
      </c>
    </row>
    <row r="8">
      <c r="B8" s="377" t="inlineStr">
        <is>
          <t>Единица измерения  — 1 ед.</t>
        </is>
      </c>
    </row>
    <row r="9">
      <c r="B9" s="216" t="n"/>
      <c r="C9" s="312" t="n"/>
      <c r="D9" s="312" t="n"/>
      <c r="E9" s="312" t="n"/>
    </row>
    <row r="10" ht="51" customHeight="1" s="328">
      <c r="B10" s="379" t="inlineStr">
        <is>
          <t>Наименование</t>
        </is>
      </c>
      <c r="C10" s="379" t="inlineStr">
        <is>
          <t>Сметная стоимость в ценах на 01.01.2023
 (руб.)</t>
        </is>
      </c>
      <c r="D10" s="379" t="inlineStr">
        <is>
          <t>Удельный вес, 
(в СМР)</t>
        </is>
      </c>
      <c r="E10" s="379" t="inlineStr">
        <is>
          <t>Удельный вес, % 
(от всего по РМ)</t>
        </is>
      </c>
    </row>
    <row r="11">
      <c r="B11" s="208" t="inlineStr">
        <is>
          <t>Оплата труда рабочих</t>
        </is>
      </c>
      <c r="C11" s="209">
        <f>'Прил.5 Расчет СМР и ОБ'!J14</f>
        <v/>
      </c>
      <c r="D11" s="210">
        <f>C11/$C$24</f>
        <v/>
      </c>
      <c r="E11" s="210">
        <f>C11/$C$40</f>
        <v/>
      </c>
    </row>
    <row r="12">
      <c r="B12" s="208" t="inlineStr">
        <is>
          <t>Эксплуатация машин основных</t>
        </is>
      </c>
      <c r="C12" s="209">
        <f>'Прил.5 Расчет СМР и ОБ'!J22</f>
        <v/>
      </c>
      <c r="D12" s="210">
        <f>C12/$C$24</f>
        <v/>
      </c>
      <c r="E12" s="210">
        <f>C12/$C$40</f>
        <v/>
      </c>
    </row>
    <row r="13">
      <c r="B13" s="208" t="inlineStr">
        <is>
          <t>Эксплуатация машин прочих</t>
        </is>
      </c>
      <c r="C13" s="209">
        <f>'Прил.5 Расчет СМР и ОБ'!J25</f>
        <v/>
      </c>
      <c r="D13" s="210">
        <f>C13/$C$24</f>
        <v/>
      </c>
      <c r="E13" s="210">
        <f>C13/$C$40</f>
        <v/>
      </c>
    </row>
    <row r="14">
      <c r="B14" s="208" t="inlineStr">
        <is>
          <t>ЭКСПЛУАТАЦИЯ МАШИН, ВСЕГО:</t>
        </is>
      </c>
      <c r="C14" s="209">
        <f>C13+C12</f>
        <v/>
      </c>
      <c r="D14" s="210">
        <f>C14/$C$24</f>
        <v/>
      </c>
      <c r="E14" s="210">
        <f>C14/$C$40</f>
        <v/>
      </c>
    </row>
    <row r="15">
      <c r="B15" s="208" t="inlineStr">
        <is>
          <t>в том числе зарплата машинистов</t>
        </is>
      </c>
      <c r="C15" s="209">
        <f>'Прил.5 Расчет СМР и ОБ'!J16</f>
        <v/>
      </c>
      <c r="D15" s="210">
        <f>C15/$C$24</f>
        <v/>
      </c>
      <c r="E15" s="210">
        <f>C15/$C$40</f>
        <v/>
      </c>
    </row>
    <row r="16">
      <c r="B16" s="208" t="inlineStr">
        <is>
          <t>Материалы основные</t>
        </is>
      </c>
      <c r="C16" s="209">
        <f>'Прил.5 Расчет СМР и ОБ'!J43</f>
        <v/>
      </c>
      <c r="D16" s="210">
        <f>C16/$C$24</f>
        <v/>
      </c>
      <c r="E16" s="210">
        <f>C16/$C$40</f>
        <v/>
      </c>
    </row>
    <row r="17">
      <c r="B17" s="208" t="inlineStr">
        <is>
          <t>Материалы прочие</t>
        </is>
      </c>
      <c r="C17" s="209">
        <f>'Прил.5 Расчет СМР и ОБ'!J65</f>
        <v/>
      </c>
      <c r="D17" s="210">
        <f>C17/$C$24</f>
        <v/>
      </c>
      <c r="E17" s="210">
        <f>C17/$C$40</f>
        <v/>
      </c>
      <c r="G17" s="460" t="n"/>
    </row>
    <row r="18">
      <c r="B18" s="208" t="inlineStr">
        <is>
          <t>МАТЕРИАЛЫ, ВСЕГО:</t>
        </is>
      </c>
      <c r="C18" s="209">
        <f>C17+C16</f>
        <v/>
      </c>
      <c r="D18" s="210">
        <f>C18/$C$24</f>
        <v/>
      </c>
      <c r="E18" s="210">
        <f>C18/$C$40</f>
        <v/>
      </c>
    </row>
    <row r="19">
      <c r="B19" s="208" t="inlineStr">
        <is>
          <t>ИТОГО</t>
        </is>
      </c>
      <c r="C19" s="209">
        <f>C18+C14+C11</f>
        <v/>
      </c>
      <c r="D19" s="210" t="n"/>
      <c r="E19" s="208" t="n"/>
    </row>
    <row r="20">
      <c r="B20" s="208" t="inlineStr">
        <is>
          <t>Сметная прибыль, руб.</t>
        </is>
      </c>
      <c r="C20" s="209">
        <f>ROUND(C21*(C11+C15),2)</f>
        <v/>
      </c>
      <c r="D20" s="210">
        <f>C20/$C$24</f>
        <v/>
      </c>
      <c r="E20" s="210">
        <f>C20/$C$40</f>
        <v/>
      </c>
    </row>
    <row r="21">
      <c r="B21" s="208" t="inlineStr">
        <is>
          <t>Сметная прибыль, %</t>
        </is>
      </c>
      <c r="C21" s="213">
        <f>'Прил.5 Расчет СМР и ОБ'!D69</f>
        <v/>
      </c>
      <c r="D21" s="210" t="n"/>
      <c r="E21" s="208" t="n"/>
    </row>
    <row r="22">
      <c r="B22" s="208" t="inlineStr">
        <is>
          <t>Накладные расходы, руб.</t>
        </is>
      </c>
      <c r="C22" s="209">
        <f>ROUND(C23*(C11+C15),2)</f>
        <v/>
      </c>
      <c r="D22" s="210">
        <f>C22/$C$24</f>
        <v/>
      </c>
      <c r="E22" s="210">
        <f>C22/$C$40</f>
        <v/>
      </c>
    </row>
    <row r="23">
      <c r="B23" s="208" t="inlineStr">
        <is>
          <t>Накладные расходы, %</t>
        </is>
      </c>
      <c r="C23" s="213">
        <f>'Прил.5 Расчет СМР и ОБ'!D68</f>
        <v/>
      </c>
      <c r="D23" s="210" t="n"/>
      <c r="E23" s="208" t="n"/>
    </row>
    <row r="24">
      <c r="B24" s="208" t="inlineStr">
        <is>
          <t>ВСЕГО СМР с НР и СП</t>
        </is>
      </c>
      <c r="C24" s="209">
        <f>C19+C20+C22</f>
        <v/>
      </c>
      <c r="D24" s="210">
        <f>C24/$C$24</f>
        <v/>
      </c>
      <c r="E24" s="210">
        <f>C24/$C$40</f>
        <v/>
      </c>
    </row>
    <row r="25" ht="25.5" customHeight="1" s="328">
      <c r="B25" s="208" t="inlineStr">
        <is>
          <t>ВСЕГО стоимость оборудования, в том числе</t>
        </is>
      </c>
      <c r="C25" s="209">
        <f>'Прил.5 Расчет СМР и ОБ'!J34</f>
        <v/>
      </c>
      <c r="D25" s="210" t="n"/>
      <c r="E25" s="210">
        <f>C25/$C$40</f>
        <v/>
      </c>
    </row>
    <row r="26" ht="25.5" customHeight="1" s="328">
      <c r="B26" s="208" t="inlineStr">
        <is>
          <t>стоимость оборудования технологического</t>
        </is>
      </c>
      <c r="C26" s="209">
        <f>'Прил.5 Расчет СМР и ОБ'!J35</f>
        <v/>
      </c>
      <c r="D26" s="210" t="n"/>
      <c r="E26" s="210">
        <f>C26/$C$40</f>
        <v/>
      </c>
    </row>
    <row r="27">
      <c r="B27" s="208" t="inlineStr">
        <is>
          <t>ИТОГО (СМР + ОБОРУДОВАНИЕ)</t>
        </is>
      </c>
      <c r="C27" s="212">
        <f>C24+C25</f>
        <v/>
      </c>
      <c r="D27" s="210" t="n"/>
      <c r="E27" s="210">
        <f>C27/$C$40</f>
        <v/>
      </c>
      <c r="G27" s="211" t="n"/>
    </row>
    <row r="28" ht="33" customHeight="1" s="328">
      <c r="B28" s="208" t="inlineStr">
        <is>
          <t>ПРОЧ. ЗАТР., УЧТЕННЫЕ ПОКАЗАТЕЛЕМ,  в том числе</t>
        </is>
      </c>
      <c r="C28" s="208" t="n"/>
      <c r="D28" s="208" t="n"/>
      <c r="E28" s="208" t="n"/>
    </row>
    <row r="29" ht="25.5" customHeight="1" s="328">
      <c r="B29" s="208" t="inlineStr">
        <is>
          <t>Временные здания и сооружения - 2,5%</t>
        </is>
      </c>
      <c r="C29" s="212">
        <f>ROUND(C24*2.5%,2)</f>
        <v/>
      </c>
      <c r="D29" s="208" t="n"/>
      <c r="E29" s="210">
        <f>C29/$C$40</f>
        <v/>
      </c>
    </row>
    <row r="30" ht="38.25" customHeight="1" s="328">
      <c r="B30" s="208" t="inlineStr">
        <is>
          <t>Дополнительные затраты при производстве строительно-монтажных работ в зимнее время - 1,9%</t>
        </is>
      </c>
      <c r="C30" s="212">
        <f>ROUND((C24+C29)*1.9%,2)</f>
        <v/>
      </c>
      <c r="D30" s="208" t="n"/>
      <c r="E30" s="210">
        <f>C30/$C$40</f>
        <v/>
      </c>
    </row>
    <row r="31">
      <c r="B31" s="208" t="inlineStr">
        <is>
          <t>Пусконаладочные работы</t>
        </is>
      </c>
      <c r="C31" s="212" t="n">
        <v>275376.42</v>
      </c>
      <c r="D31" s="208" t="n"/>
      <c r="E31" s="210">
        <f>C31/$C$40</f>
        <v/>
      </c>
    </row>
    <row r="32" ht="25.5" customHeight="1" s="328">
      <c r="B32" s="208" t="inlineStr">
        <is>
          <t>Затраты по перевозке работников к месту работы и обратно</t>
        </is>
      </c>
      <c r="C32" s="212" t="n">
        <v>0</v>
      </c>
      <c r="D32" s="208" t="n"/>
      <c r="E32" s="210">
        <f>C32/$C$40</f>
        <v/>
      </c>
    </row>
    <row r="33" ht="25.5" customHeight="1" s="328">
      <c r="B33" s="208" t="inlineStr">
        <is>
          <t>Затраты, связанные с осуществлением работ вахтовым методом</t>
        </is>
      </c>
      <c r="C33" s="212">
        <f>ROUND(C27*0%,2)</f>
        <v/>
      </c>
      <c r="D33" s="208" t="n"/>
      <c r="E33" s="210">
        <f>C33/$C$40</f>
        <v/>
      </c>
    </row>
    <row r="34" ht="51" customHeight="1" s="328">
      <c r="B34" s="208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12" t="n">
        <v>0</v>
      </c>
      <c r="D34" s="208" t="n"/>
      <c r="E34" s="210">
        <f>C34/$C$40</f>
        <v/>
      </c>
    </row>
    <row r="35" ht="76.5" customHeight="1" s="328">
      <c r="B35" s="208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12">
        <f>ROUND(C27*0%,2)</f>
        <v/>
      </c>
      <c r="D35" s="208" t="n"/>
      <c r="E35" s="210">
        <f>C35/$C$40</f>
        <v/>
      </c>
    </row>
    <row r="36" ht="25.5" customHeight="1" s="328">
      <c r="B36" s="208" t="inlineStr">
        <is>
          <t>Строительный контроль и содержание службы заказчика - 2,14%</t>
        </is>
      </c>
      <c r="C36" s="212">
        <f>ROUND((C27+C32+C33+C34+C35+C29+C31+C30)*2.14%,2)</f>
        <v/>
      </c>
      <c r="D36" s="208" t="n"/>
      <c r="E36" s="210">
        <f>C36/$C$40</f>
        <v/>
      </c>
      <c r="L36" s="211" t="n"/>
    </row>
    <row r="37">
      <c r="B37" s="208" t="inlineStr">
        <is>
          <t>Авторский надзор - 0,2%</t>
        </is>
      </c>
      <c r="C37" s="212">
        <f>ROUND((C27+C32+C33+C34+C35+C29+C31+C30)*0.2%,2)</f>
        <v/>
      </c>
      <c r="D37" s="208" t="n"/>
      <c r="E37" s="210">
        <f>C37/$C$40</f>
        <v/>
      </c>
      <c r="L37" s="211" t="n"/>
    </row>
    <row r="38" ht="38.25" customHeight="1" s="328">
      <c r="B38" s="208" t="inlineStr">
        <is>
          <t>ИТОГО (СМР+ОБОРУДОВАНИЕ+ПРОЧ. ЗАТР., УЧТЕННЫЕ ПОКАЗАТЕЛЕМ)</t>
        </is>
      </c>
      <c r="C38" s="209">
        <f>C27+C32+C33+C34+C35+C29+C31+C30+C36+C37</f>
        <v/>
      </c>
      <c r="D38" s="208" t="n"/>
      <c r="E38" s="210">
        <f>C38/$C$40</f>
        <v/>
      </c>
    </row>
    <row r="39" ht="13.5" customHeight="1" s="328">
      <c r="B39" s="208" t="inlineStr">
        <is>
          <t>Непредвиденные расходы</t>
        </is>
      </c>
      <c r="C39" s="209">
        <f>ROUND(C38*3%,2)</f>
        <v/>
      </c>
      <c r="D39" s="208" t="n"/>
      <c r="E39" s="210">
        <f>C39/$C$38</f>
        <v/>
      </c>
    </row>
    <row r="40">
      <c r="B40" s="208" t="inlineStr">
        <is>
          <t>ВСЕГО:</t>
        </is>
      </c>
      <c r="C40" s="209">
        <f>C39+C38</f>
        <v/>
      </c>
      <c r="D40" s="208" t="n"/>
      <c r="E40" s="210">
        <f>C40/$C$40</f>
        <v/>
      </c>
    </row>
    <row r="41">
      <c r="B41" s="208" t="inlineStr">
        <is>
          <t>ИТОГО ПОКАЗАТЕЛЬ НА ЕД. ИЗМ.</t>
        </is>
      </c>
      <c r="C41" s="209">
        <f>C40/'Прил.5 Расчет СМР и ОБ'!E72</f>
        <v/>
      </c>
      <c r="D41" s="208" t="n"/>
      <c r="E41" s="208" t="n"/>
    </row>
    <row r="42">
      <c r="B42" s="207" t="n"/>
      <c r="C42" s="312" t="n"/>
      <c r="D42" s="312" t="n"/>
      <c r="E42" s="312" t="n"/>
    </row>
    <row r="43">
      <c r="B43" s="207" t="inlineStr">
        <is>
          <t>Составил ____________________________  Д.А. Самуйленко</t>
        </is>
      </c>
      <c r="C43" s="312" t="n"/>
      <c r="D43" s="312" t="n"/>
      <c r="E43" s="312" t="n"/>
    </row>
    <row r="44">
      <c r="B44" s="207" t="inlineStr">
        <is>
          <t xml:space="preserve">(должность, подпись, инициалы, фамилия) </t>
        </is>
      </c>
      <c r="C44" s="312" t="n"/>
      <c r="D44" s="312" t="n"/>
      <c r="E44" s="312" t="n"/>
    </row>
    <row r="45">
      <c r="B45" s="207" t="n"/>
      <c r="C45" s="312" t="n"/>
      <c r="D45" s="312" t="n"/>
      <c r="E45" s="312" t="n"/>
    </row>
    <row r="46">
      <c r="B46" s="207" t="inlineStr">
        <is>
          <t>Проверил ____________________________ А.В. Костянецкая</t>
        </is>
      </c>
      <c r="C46" s="312" t="n"/>
      <c r="D46" s="312" t="n"/>
      <c r="E46" s="312" t="n"/>
    </row>
    <row r="47">
      <c r="B47" s="377" t="inlineStr">
        <is>
          <t>(должность, подпись, инициалы, фамилия)</t>
        </is>
      </c>
      <c r="D47" s="312" t="n"/>
      <c r="E47" s="312" t="n"/>
    </row>
    <row r="49">
      <c r="B49" s="312" t="n"/>
      <c r="C49" s="312" t="n"/>
      <c r="D49" s="312" t="n"/>
      <c r="E49" s="312" t="n"/>
    </row>
    <row r="50">
      <c r="B50" s="312" t="n"/>
      <c r="C50" s="312" t="n"/>
      <c r="D50" s="312" t="n"/>
      <c r="E50" s="312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78"/>
  <sheetViews>
    <sheetView tabSelected="1" view="pageBreakPreview" zoomScale="70" zoomScaleSheetLayoutView="70" workbookViewId="0">
      <selection activeCell="S35" sqref="S35"/>
    </sheetView>
  </sheetViews>
  <sheetFormatPr baseColWidth="8" defaultColWidth="9.140625" defaultRowHeight="15" outlineLevelRow="1"/>
  <cols>
    <col width="5.7109375" customWidth="1" style="313" min="1" max="1"/>
    <col width="22.5703125" customWidth="1" style="313" min="2" max="2"/>
    <col width="39.140625" customWidth="1" style="313" min="3" max="3"/>
    <col width="13.5703125" customWidth="1" style="313" min="4" max="4"/>
    <col width="12.7109375" customWidth="1" style="313" min="5" max="5"/>
    <col width="14.5703125" customWidth="1" style="313" min="6" max="6"/>
    <col width="13.42578125" customWidth="1" style="313" min="7" max="7"/>
    <col width="12.7109375" customWidth="1" style="313" min="8" max="8"/>
    <col width="13.85546875" customWidth="1" style="313" min="9" max="9"/>
    <col width="17.5703125" customWidth="1" style="313" min="10" max="10"/>
    <col width="10.85546875" customWidth="1" style="313" min="11" max="11"/>
    <col width="13.85546875" customWidth="1" style="313" min="12" max="12"/>
    <col width="9.140625" customWidth="1" style="328" min="13" max="13"/>
  </cols>
  <sheetData>
    <row r="1" s="328">
      <c r="A1" s="313" t="n"/>
      <c r="B1" s="313" t="n"/>
      <c r="C1" s="313" t="n"/>
      <c r="D1" s="313" t="n"/>
      <c r="E1" s="313" t="n"/>
      <c r="F1" s="313" t="n"/>
      <c r="G1" s="313" t="n"/>
      <c r="H1" s="313" t="n"/>
      <c r="I1" s="313" t="n"/>
      <c r="J1" s="313" t="n"/>
      <c r="K1" s="313" t="n"/>
      <c r="L1" s="313" t="n"/>
      <c r="M1" s="313" t="n"/>
      <c r="N1" s="313" t="n"/>
    </row>
    <row r="2" ht="15.75" customHeight="1" s="328">
      <c r="A2" s="313" t="n"/>
      <c r="B2" s="313" t="n"/>
      <c r="C2" s="313" t="n"/>
      <c r="D2" s="313" t="n"/>
      <c r="E2" s="313" t="n"/>
      <c r="F2" s="313" t="n"/>
      <c r="G2" s="313" t="n"/>
      <c r="H2" s="395" t="inlineStr">
        <is>
          <t>Приложение №5</t>
        </is>
      </c>
      <c r="K2" s="313" t="n"/>
      <c r="L2" s="313" t="n"/>
      <c r="M2" s="313" t="n"/>
      <c r="N2" s="313" t="n"/>
    </row>
    <row r="3" s="328">
      <c r="A3" s="313" t="n"/>
      <c r="B3" s="313" t="n"/>
      <c r="C3" s="313" t="n"/>
      <c r="D3" s="313" t="n"/>
      <c r="E3" s="313" t="n"/>
      <c r="F3" s="313" t="n"/>
      <c r="G3" s="313" t="n"/>
      <c r="H3" s="313" t="n"/>
      <c r="I3" s="313" t="n"/>
      <c r="J3" s="313" t="n"/>
      <c r="K3" s="313" t="n"/>
      <c r="L3" s="313" t="n"/>
      <c r="M3" s="313" t="n"/>
      <c r="N3" s="313" t="n"/>
    </row>
    <row r="4" ht="12.75" customFormat="1" customHeight="1" s="312">
      <c r="A4" s="350" t="inlineStr">
        <is>
          <t>Расчет стоимости СМР и оборудования</t>
        </is>
      </c>
    </row>
    <row r="5" ht="12.75" customFormat="1" customHeight="1" s="312">
      <c r="A5" s="350" t="n"/>
      <c r="B5" s="350" t="n"/>
      <c r="C5" s="408" t="n"/>
      <c r="D5" s="350" t="n"/>
      <c r="E5" s="350" t="n"/>
      <c r="F5" s="350" t="n"/>
      <c r="G5" s="350" t="n"/>
      <c r="H5" s="350" t="n"/>
      <c r="I5" s="350" t="n"/>
      <c r="J5" s="350" t="n"/>
    </row>
    <row r="6" ht="12.75" customFormat="1" customHeight="1" s="312">
      <c r="A6" s="186" t="inlineStr">
        <is>
          <t>Наименование разрабатываемого показателя УНЦ</t>
        </is>
      </c>
      <c r="B6" s="185" t="n"/>
      <c r="C6" s="185" t="n"/>
      <c r="D6" s="353" t="inlineStr">
        <is>
          <t xml:space="preserve">Автоматический пункт секционирования (реклоузера) 20 кВ без ПКУ </t>
        </is>
      </c>
    </row>
    <row r="7" ht="12.75" customFormat="1" customHeight="1" s="312">
      <c r="A7" s="353" t="inlineStr">
        <is>
          <t>Единица измерения  — 1 ед.</t>
        </is>
      </c>
      <c r="I7" s="376" t="n"/>
      <c r="J7" s="376" t="n"/>
    </row>
    <row r="8" ht="13.5" customFormat="1" customHeight="1" s="312">
      <c r="A8" s="353" t="n"/>
    </row>
    <row r="9" ht="27" customHeight="1" s="328">
      <c r="A9" s="379" t="inlineStr">
        <is>
          <t>№ пп.</t>
        </is>
      </c>
      <c r="B9" s="379" t="inlineStr">
        <is>
          <t>Код ресурса</t>
        </is>
      </c>
      <c r="C9" s="379" t="inlineStr">
        <is>
          <t>Наименование</t>
        </is>
      </c>
      <c r="D9" s="379" t="inlineStr">
        <is>
          <t>Ед. изм.</t>
        </is>
      </c>
      <c r="E9" s="379" t="inlineStr">
        <is>
          <t>Кол-во единиц по проектным данным</t>
        </is>
      </c>
      <c r="F9" s="379" t="inlineStr">
        <is>
          <t>Сметная стоимость в ценах на 01.01.2000 (руб.)</t>
        </is>
      </c>
      <c r="G9" s="453" t="n"/>
      <c r="H9" s="379" t="inlineStr">
        <is>
          <t>Удельный вес, %</t>
        </is>
      </c>
      <c r="I9" s="379" t="inlineStr">
        <is>
          <t>Сметная стоимость в ценах на 01.01.2023 (руб.)</t>
        </is>
      </c>
      <c r="J9" s="453" t="n"/>
      <c r="K9" s="313" t="n"/>
      <c r="L9" s="313" t="n"/>
      <c r="M9" s="313" t="n"/>
      <c r="N9" s="313" t="n"/>
    </row>
    <row r="10" ht="28.5" customHeight="1" s="328">
      <c r="A10" s="455" t="n"/>
      <c r="B10" s="455" t="n"/>
      <c r="C10" s="455" t="n"/>
      <c r="D10" s="455" t="n"/>
      <c r="E10" s="455" t="n"/>
      <c r="F10" s="379" t="inlineStr">
        <is>
          <t>на ед. изм.</t>
        </is>
      </c>
      <c r="G10" s="379" t="inlineStr">
        <is>
          <t>общая</t>
        </is>
      </c>
      <c r="H10" s="455" t="n"/>
      <c r="I10" s="379" t="inlineStr">
        <is>
          <t>на ед. изм.</t>
        </is>
      </c>
      <c r="J10" s="379" t="inlineStr">
        <is>
          <t>общая</t>
        </is>
      </c>
      <c r="K10" s="313" t="n"/>
      <c r="L10" s="313" t="n"/>
      <c r="M10" s="313" t="n"/>
      <c r="N10" s="313" t="n"/>
    </row>
    <row r="11" s="328">
      <c r="A11" s="379" t="n">
        <v>1</v>
      </c>
      <c r="B11" s="379" t="n">
        <v>2</v>
      </c>
      <c r="C11" s="379" t="n">
        <v>3</v>
      </c>
      <c r="D11" s="379" t="n">
        <v>4</v>
      </c>
      <c r="E11" s="379" t="n">
        <v>5</v>
      </c>
      <c r="F11" s="379" t="n">
        <v>6</v>
      </c>
      <c r="G11" s="379" t="n">
        <v>7</v>
      </c>
      <c r="H11" s="379" t="n">
        <v>8</v>
      </c>
      <c r="I11" s="386" t="n">
        <v>9</v>
      </c>
      <c r="J11" s="386" t="n">
        <v>10</v>
      </c>
      <c r="K11" s="313" t="n"/>
      <c r="L11" s="313" t="n"/>
      <c r="M11" s="313" t="n"/>
      <c r="N11" s="313" t="n"/>
    </row>
    <row r="12">
      <c r="A12" s="379" t="n"/>
      <c r="B12" s="383" t="inlineStr">
        <is>
          <t>Затраты труда рабочих-строителей</t>
        </is>
      </c>
      <c r="C12" s="452" t="n"/>
      <c r="D12" s="452" t="n"/>
      <c r="E12" s="452" t="n"/>
      <c r="F12" s="452" t="n"/>
      <c r="G12" s="452" t="n"/>
      <c r="H12" s="453" t="n"/>
      <c r="I12" s="265" t="n"/>
      <c r="J12" s="265" t="n"/>
    </row>
    <row r="13" ht="25.5" customHeight="1" s="328">
      <c r="A13" s="379" t="n">
        <v>1</v>
      </c>
      <c r="B13" s="276" t="inlineStr">
        <is>
          <t>1-3-8</t>
        </is>
      </c>
      <c r="C13" s="378" t="inlineStr">
        <is>
          <t>Затраты труда рабочих (средний разряд работы 3,8)</t>
        </is>
      </c>
      <c r="D13" s="379" t="inlineStr">
        <is>
          <t>чел.-ч.</t>
        </is>
      </c>
      <c r="E13" s="461">
        <f>G13/F13</f>
        <v/>
      </c>
      <c r="F13" s="404" t="n">
        <v>9.4</v>
      </c>
      <c r="G13" s="247" t="n">
        <v>1483.05</v>
      </c>
      <c r="H13" s="382">
        <f>G13/G14</f>
        <v/>
      </c>
      <c r="I13" s="247">
        <f>ФОТр.тек.!E13</f>
        <v/>
      </c>
      <c r="J13" s="247">
        <f>ROUND(I13*E13,2)</f>
        <v/>
      </c>
    </row>
    <row r="14" ht="25.5" customFormat="1" customHeight="1" s="313">
      <c r="A14" s="379" t="n"/>
      <c r="B14" s="379" t="n"/>
      <c r="C14" s="383" t="inlineStr">
        <is>
          <t>Итого по разделу "Затраты труда рабочих-строителей"</t>
        </is>
      </c>
      <c r="D14" s="379" t="inlineStr">
        <is>
          <t>чел.-ч.</t>
        </is>
      </c>
      <c r="E14" s="461">
        <f>SUM(E13:E13)</f>
        <v/>
      </c>
      <c r="F14" s="247" t="n"/>
      <c r="G14" s="247">
        <f>SUM(G13:G13)</f>
        <v/>
      </c>
      <c r="H14" s="384">
        <f>H13</f>
        <v/>
      </c>
      <c r="I14" s="265" t="n"/>
      <c r="J14" s="247">
        <f>SUM(J13:J13)</f>
        <v/>
      </c>
    </row>
    <row r="15" ht="14.25" customFormat="1" customHeight="1" s="313">
      <c r="A15" s="379" t="n"/>
      <c r="B15" s="378" t="inlineStr">
        <is>
          <t>Затраты труда машинистов</t>
        </is>
      </c>
      <c r="C15" s="452" t="n"/>
      <c r="D15" s="452" t="n"/>
      <c r="E15" s="452" t="n"/>
      <c r="F15" s="452" t="n"/>
      <c r="G15" s="452" t="n"/>
      <c r="H15" s="453" t="n"/>
      <c r="I15" s="265" t="n"/>
      <c r="J15" s="265" t="n"/>
    </row>
    <row r="16" ht="14.25" customFormat="1" customHeight="1" s="313">
      <c r="A16" s="379" t="n">
        <v>2</v>
      </c>
      <c r="B16" s="379" t="n">
        <v>2</v>
      </c>
      <c r="C16" s="378" t="inlineStr">
        <is>
          <t>Затраты труда машинистов</t>
        </is>
      </c>
      <c r="D16" s="379" t="inlineStr">
        <is>
          <t>чел.-ч.</t>
        </is>
      </c>
      <c r="E16" s="379" t="n">
        <v>41.75</v>
      </c>
      <c r="F16" s="247">
        <f>G16/E16</f>
        <v/>
      </c>
      <c r="G16" s="247" t="n">
        <v>467.8186</v>
      </c>
      <c r="H16" s="384" t="n">
        <v>1</v>
      </c>
      <c r="I16" s="247">
        <f>ROUND(F16*Прил.10!$D$11,2)</f>
        <v/>
      </c>
      <c r="J16" s="247">
        <f>ROUND(I16*E16,2)</f>
        <v/>
      </c>
    </row>
    <row r="17" ht="14.25" customFormat="1" customHeight="1" s="313">
      <c r="A17" s="379" t="n"/>
      <c r="B17" s="383" t="inlineStr">
        <is>
          <t>Машины и механизмы</t>
        </is>
      </c>
      <c r="C17" s="452" t="n"/>
      <c r="D17" s="452" t="n"/>
      <c r="E17" s="452" t="n"/>
      <c r="F17" s="452" t="n"/>
      <c r="G17" s="452" t="n"/>
      <c r="H17" s="453" t="n"/>
      <c r="I17" s="265" t="n"/>
      <c r="J17" s="265" t="n"/>
    </row>
    <row r="18" ht="14.25" customFormat="1" customHeight="1" s="313">
      <c r="A18" s="386" t="n"/>
      <c r="B18" s="385" t="inlineStr">
        <is>
          <t>Основные машины и механизмы</t>
        </is>
      </c>
      <c r="C18" s="462" t="n"/>
      <c r="D18" s="462" t="n"/>
      <c r="E18" s="462" t="n"/>
      <c r="F18" s="462" t="n"/>
      <c r="G18" s="462" t="n"/>
      <c r="H18" s="463" t="n"/>
      <c r="I18" s="317" t="n"/>
      <c r="J18" s="317" t="n"/>
    </row>
    <row r="19" ht="25.5" customFormat="1" customHeight="1" s="313">
      <c r="A19" s="379" t="n">
        <v>3</v>
      </c>
      <c r="B19" s="276" t="inlineStr">
        <is>
          <t>91.06.06-011</t>
        </is>
      </c>
      <c r="C19" s="378" t="inlineStr">
        <is>
          <t>Автогидроподъемники, высота подъема 12 м</t>
        </is>
      </c>
      <c r="D19" s="379" t="inlineStr">
        <is>
          <t>маш.-ч</t>
        </is>
      </c>
      <c r="E19" s="379" t="n">
        <v>23.41</v>
      </c>
      <c r="F19" s="404" t="n">
        <v>82.22</v>
      </c>
      <c r="G19" s="247">
        <f>ROUND(E19*F19,2)</f>
        <v/>
      </c>
      <c r="H19" s="382">
        <f>G19/$G$26</f>
        <v/>
      </c>
      <c r="I19" s="247">
        <f>ROUND(F19*Прил.10!$D$12,2)</f>
        <v/>
      </c>
      <c r="J19" s="247">
        <f>ROUND(I19*E19,2)</f>
        <v/>
      </c>
    </row>
    <row r="20" ht="25.5" customFormat="1" customHeight="1" s="313">
      <c r="A20" s="379" t="n">
        <v>4</v>
      </c>
      <c r="B20" s="276" t="inlineStr">
        <is>
          <t>91.05.05-014</t>
        </is>
      </c>
      <c r="C20" s="378" t="inlineStr">
        <is>
          <t>Краны на автомобильном ходу, грузоподъемность 10 т</t>
        </is>
      </c>
      <c r="D20" s="379" t="inlineStr">
        <is>
          <t>маш.-ч</t>
        </is>
      </c>
      <c r="E20" s="379" t="n">
        <v>9.99</v>
      </c>
      <c r="F20" s="404" t="n">
        <v>111.99</v>
      </c>
      <c r="G20" s="247">
        <f>ROUND(E20*F20,2)</f>
        <v/>
      </c>
      <c r="H20" s="246">
        <f>G20/$G$26</f>
        <v/>
      </c>
      <c r="I20" s="251">
        <f>ROUND(F20*Прил.10!$D$12,2)</f>
        <v/>
      </c>
      <c r="J20" s="251">
        <f>ROUND(I20*E20,2)</f>
        <v/>
      </c>
    </row>
    <row r="21" ht="25.5" customFormat="1" customHeight="1" s="313">
      <c r="A21" s="379" t="n">
        <v>5</v>
      </c>
      <c r="B21" s="276" t="inlineStr">
        <is>
          <t>91.14.02-001</t>
        </is>
      </c>
      <c r="C21" s="378" t="inlineStr">
        <is>
          <t>Автомобили бортовые, грузоподъемность до 5 т</t>
        </is>
      </c>
      <c r="D21" s="379" t="inlineStr">
        <is>
          <t>маш.-ч</t>
        </is>
      </c>
      <c r="E21" s="276" t="n">
        <v>8.039999999999999</v>
      </c>
      <c r="F21" s="404" t="n">
        <v>65.70999999999999</v>
      </c>
      <c r="G21" s="247">
        <f>ROUND(E21*F21,2)</f>
        <v/>
      </c>
      <c r="H21" s="246">
        <f>G21/$G$26</f>
        <v/>
      </c>
      <c r="I21" s="251">
        <f>ROUND(F21*Прил.10!$D$12,2)</f>
        <v/>
      </c>
      <c r="J21" s="251">
        <f>ROUND(I21*E21,2)</f>
        <v/>
      </c>
    </row>
    <row r="22" ht="14.25" customFormat="1" customHeight="1" s="313">
      <c r="A22" s="386" t="n"/>
      <c r="B22" s="261" t="n"/>
      <c r="C22" s="385" t="inlineStr">
        <is>
          <t>Итого основные машины и механизмы</t>
        </is>
      </c>
      <c r="D22" s="386" t="n"/>
      <c r="E22" s="464" t="n"/>
      <c r="F22" s="404" t="n"/>
      <c r="G22" s="247">
        <f>SUM(G19:G21)</f>
        <v/>
      </c>
      <c r="H22" s="382">
        <f>G22/G26</f>
        <v/>
      </c>
      <c r="I22" s="247" t="n"/>
      <c r="J22" s="247">
        <f>SUM(J19:J21)</f>
        <v/>
      </c>
    </row>
    <row r="23" hidden="1" outlineLevel="1" ht="38.25" customFormat="1" customHeight="1" s="313">
      <c r="A23" s="379" t="n">
        <v>6</v>
      </c>
      <c r="B23" s="276" t="inlineStr">
        <is>
          <t>91.17.04-036</t>
        </is>
      </c>
      <c r="C23" s="378" t="inlineStr">
        <is>
          <t>Агрегаты сварочные передвижные с дизельным двигателем, номинальный сварочный ток 250-400 А</t>
        </is>
      </c>
      <c r="D23" s="379" t="inlineStr">
        <is>
          <t>маш.-ч</t>
        </is>
      </c>
      <c r="E23" s="379" t="n">
        <v>5.5</v>
      </c>
      <c r="F23" s="404" t="n">
        <v>14</v>
      </c>
      <c r="G23" s="247">
        <f>ROUND(E23*F23,2)</f>
        <v/>
      </c>
      <c r="H23" s="382">
        <f>G23/$G$26</f>
        <v/>
      </c>
      <c r="I23" s="247">
        <f>ROUND(F23*Прил.10!$D$12,2)</f>
        <v/>
      </c>
      <c r="J23" s="247">
        <f>ROUND(I23*E23,2)</f>
        <v/>
      </c>
    </row>
    <row r="24" hidden="1" outlineLevel="1" ht="25.5" customFormat="1" customHeight="1" s="313">
      <c r="A24" s="379" t="n">
        <v>7</v>
      </c>
      <c r="B24" s="276" t="inlineStr">
        <is>
          <t>91.15.03-014</t>
        </is>
      </c>
      <c r="C24" s="378" t="inlineStr">
        <is>
          <t>Тракторы на пневмоколесном ходу, мощность 59 кВт (80 л.с.)</t>
        </is>
      </c>
      <c r="D24" s="379" t="inlineStr">
        <is>
          <t>маш.-ч</t>
        </is>
      </c>
      <c r="E24" s="379" t="n">
        <v>0.31</v>
      </c>
      <c r="F24" s="404" t="n">
        <v>74.61</v>
      </c>
      <c r="G24" s="251">
        <f>ROUND(E24*F24,2)</f>
        <v/>
      </c>
      <c r="H24" s="246">
        <f>G24/$G$26</f>
        <v/>
      </c>
      <c r="I24" s="251">
        <f>ROUND(F24*Прил.10!$D$12,2)</f>
        <v/>
      </c>
      <c r="J24" s="251">
        <f>ROUND(I24*E24,2)</f>
        <v/>
      </c>
    </row>
    <row r="25" collapsed="1" ht="14.25" customFormat="1" customHeight="1" s="313">
      <c r="A25" s="379" t="n"/>
      <c r="B25" s="379" t="n"/>
      <c r="C25" s="378" t="inlineStr">
        <is>
          <t>Итого прочие машины и механизмы</t>
        </is>
      </c>
      <c r="D25" s="379" t="n"/>
      <c r="E25" s="380" t="n"/>
      <c r="F25" s="247" t="n"/>
      <c r="G25" s="177">
        <f>SUM(G23:G24)</f>
        <v/>
      </c>
      <c r="H25" s="382">
        <f>G25/G26</f>
        <v/>
      </c>
      <c r="I25" s="247" t="n"/>
      <c r="J25" s="177">
        <f>SUM(J23:J24)</f>
        <v/>
      </c>
    </row>
    <row r="26" ht="25.5" customFormat="1" customHeight="1" s="313">
      <c r="A26" s="379" t="n"/>
      <c r="B26" s="379" t="n"/>
      <c r="C26" s="383" t="inlineStr">
        <is>
          <t>Итого по разделу «Машины и механизмы»</t>
        </is>
      </c>
      <c r="D26" s="379" t="n"/>
      <c r="E26" s="380" t="n"/>
      <c r="F26" s="247" t="n"/>
      <c r="G26" s="247">
        <f>G25+G22</f>
        <v/>
      </c>
      <c r="H26" s="179" t="n">
        <v>1</v>
      </c>
      <c r="I26" s="180" t="n"/>
      <c r="J26" s="247">
        <f>J25+J22</f>
        <v/>
      </c>
    </row>
    <row r="27" ht="14.25" customFormat="1" customHeight="1" s="313">
      <c r="A27" s="379" t="n"/>
      <c r="B27" s="383" t="inlineStr">
        <is>
          <t>Оборудование</t>
        </is>
      </c>
      <c r="C27" s="452" t="n"/>
      <c r="D27" s="452" t="n"/>
      <c r="E27" s="452" t="n"/>
      <c r="F27" s="452" t="n"/>
      <c r="G27" s="452" t="n"/>
      <c r="H27" s="453" t="n"/>
      <c r="I27" s="265" t="n"/>
      <c r="J27" s="265" t="n"/>
    </row>
    <row r="28">
      <c r="A28" s="386" t="n"/>
      <c r="B28" s="385" t="inlineStr">
        <is>
          <t>Основное оборудование</t>
        </is>
      </c>
      <c r="C28" s="462" t="n"/>
      <c r="D28" s="462" t="n"/>
      <c r="E28" s="462" t="n"/>
      <c r="F28" s="462" t="n"/>
      <c r="G28" s="462" t="n"/>
      <c r="H28" s="463" t="n"/>
      <c r="I28" s="317" t="n"/>
      <c r="J28" s="317" t="n"/>
      <c r="K28" s="313" t="n"/>
      <c r="L28" s="313" t="n"/>
    </row>
    <row r="29">
      <c r="A29" s="379" t="n">
        <v>8</v>
      </c>
      <c r="B29" s="276" t="inlineStr">
        <is>
          <t>БЦ.115.17</t>
        </is>
      </c>
      <c r="C29" s="378" t="inlineStr">
        <is>
          <t>Реклоузер 20 кВ без ПКУ</t>
        </is>
      </c>
      <c r="D29" s="275" t="inlineStr">
        <is>
          <t>компл</t>
        </is>
      </c>
      <c r="E29" s="275" t="n">
        <v>3</v>
      </c>
      <c r="F29" s="465">
        <f>ROUND(I29/Прил.10!$D$14,2)</f>
        <v/>
      </c>
      <c r="G29" s="247">
        <f>ROUND(E29*F29,2)</f>
        <v/>
      </c>
      <c r="H29" s="382">
        <f>G29/$G$34</f>
        <v/>
      </c>
      <c r="I29" s="247" t="n">
        <v>2075471.7</v>
      </c>
      <c r="J29" s="247">
        <f>ROUND(I29*E29,2)</f>
        <v/>
      </c>
      <c r="K29" s="313" t="n"/>
      <c r="L29" s="313" t="n"/>
    </row>
    <row r="30">
      <c r="A30" s="255" t="n"/>
      <c r="B30" s="255" t="n"/>
      <c r="C30" s="254" t="inlineStr">
        <is>
          <t>Итого основное оборудование</t>
        </is>
      </c>
      <c r="D30" s="255" t="n"/>
      <c r="E30" s="466" t="n"/>
      <c r="F30" s="257" t="n"/>
      <c r="G30" s="253">
        <f>SUM(G29:G29)</f>
        <v/>
      </c>
      <c r="H30" s="382">
        <f>G30/$G$34</f>
        <v/>
      </c>
      <c r="I30" s="252" t="n"/>
      <c r="J30" s="253">
        <f>SUM(J29:J29)</f>
        <v/>
      </c>
      <c r="K30" s="313" t="n"/>
      <c r="L30" s="313" t="n"/>
    </row>
    <row r="31" hidden="1" outlineLevel="1" ht="25.5" customHeight="1" s="328">
      <c r="A31" s="379" t="n">
        <v>9</v>
      </c>
      <c r="B31" s="276" t="inlineStr">
        <is>
          <t>БЦ.63.66</t>
        </is>
      </c>
      <c r="C31" s="378" t="inlineStr">
        <is>
          <t>Разъединитель трехполюсный с одним комплектом заземляющих ножей 10 кВ</t>
        </is>
      </c>
      <c r="D31" s="275" t="inlineStr">
        <is>
          <t>компл</t>
        </is>
      </c>
      <c r="E31" s="275" t="n">
        <v>3</v>
      </c>
      <c r="F31" s="465">
        <f>ROUND(I31/Прил.10!$D$14,2)</f>
        <v/>
      </c>
      <c r="G31" s="247">
        <f>ROUND(E31*F31,2)</f>
        <v/>
      </c>
      <c r="H31" s="382">
        <f>G31/$G$34</f>
        <v/>
      </c>
      <c r="I31" s="290" t="n">
        <v>145514.4</v>
      </c>
      <c r="J31" s="247">
        <f>ROUND(I31*E31,2)</f>
        <v/>
      </c>
      <c r="K31" s="313" t="n"/>
      <c r="L31" s="313" t="n"/>
    </row>
    <row r="32" hidden="1" outlineLevel="1" ht="25.5" customHeight="1" s="328">
      <c r="A32" s="379" t="n">
        <v>10</v>
      </c>
      <c r="B32" s="276" t="inlineStr">
        <is>
          <t>БЦ.60.26</t>
        </is>
      </c>
      <c r="C32" s="378" t="inlineStr">
        <is>
          <t>Ограничитель перенапряжения 10 кВ</t>
        </is>
      </c>
      <c r="D32" s="275" t="inlineStr">
        <is>
          <t>шт</t>
        </is>
      </c>
      <c r="E32" s="275" t="n">
        <v>18</v>
      </c>
      <c r="F32" s="465">
        <f>ROUND(I32/Прил.10!$D$14,2)</f>
        <v/>
      </c>
      <c r="G32" s="247">
        <f>E32*F32</f>
        <v/>
      </c>
      <c r="H32" s="382">
        <f>G32/$G$34</f>
        <v/>
      </c>
      <c r="I32" s="290" t="n">
        <v>2132.87</v>
      </c>
      <c r="J32" s="247">
        <f>ROUND(I32*E32,2)</f>
        <v/>
      </c>
      <c r="K32" s="313" t="n"/>
      <c r="L32" s="313" t="n"/>
    </row>
    <row r="33" collapsed="1" s="328">
      <c r="A33" s="255" t="n"/>
      <c r="B33" s="398" t="n"/>
      <c r="C33" s="259" t="inlineStr">
        <is>
          <t>Итого прочее оборудование</t>
        </is>
      </c>
      <c r="D33" s="398" t="n"/>
      <c r="E33" s="467" t="n"/>
      <c r="F33" s="250" t="n"/>
      <c r="G33" s="251">
        <f>SUM(G31:G32)</f>
        <v/>
      </c>
      <c r="H33" s="382">
        <f>G33/$G$34</f>
        <v/>
      </c>
      <c r="I33" s="252" t="n"/>
      <c r="J33" s="253">
        <f>SUM(J31:J32)</f>
        <v/>
      </c>
      <c r="K33" s="313" t="n"/>
      <c r="L33" s="313" t="n"/>
    </row>
    <row r="34">
      <c r="A34" s="386" t="n"/>
      <c r="B34" s="386" t="n"/>
      <c r="C34" s="226" t="inlineStr">
        <is>
          <t>Итого по разделу «Оборудование»</t>
        </is>
      </c>
      <c r="D34" s="386" t="n"/>
      <c r="E34" s="387" t="n"/>
      <c r="F34" s="388" t="n"/>
      <c r="G34" s="227">
        <f>G30+G33</f>
        <v/>
      </c>
      <c r="H34" s="382">
        <f>G34/$G$34</f>
        <v/>
      </c>
      <c r="I34" s="228" t="n"/>
      <c r="J34" s="227">
        <f>J30+J33</f>
        <v/>
      </c>
      <c r="K34" s="313" t="n"/>
      <c r="L34" s="313" t="n"/>
    </row>
    <row r="35" ht="25.5" customHeight="1" s="328">
      <c r="A35" s="379" t="n"/>
      <c r="B35" s="379" t="n"/>
      <c r="C35" s="378" t="inlineStr">
        <is>
          <t>в том числе технологическое оборудование</t>
        </is>
      </c>
      <c r="D35" s="379" t="n"/>
      <c r="E35" s="468" t="n"/>
      <c r="F35" s="381" t="n"/>
      <c r="G35" s="247">
        <f>'Прил.6 Расчет ОБ'!G15</f>
        <v/>
      </c>
      <c r="H35" s="382" t="n"/>
      <c r="I35" s="247" t="n"/>
      <c r="J35" s="247">
        <f>J34</f>
        <v/>
      </c>
      <c r="K35" s="313" t="n"/>
      <c r="L35" s="313" t="n"/>
    </row>
    <row r="36" ht="14.25" customFormat="1" customHeight="1" s="313">
      <c r="A36" s="379" t="n"/>
      <c r="B36" s="383" t="inlineStr">
        <is>
          <t>Материалы</t>
        </is>
      </c>
      <c r="C36" s="452" t="n"/>
      <c r="D36" s="452" t="n"/>
      <c r="E36" s="452" t="n"/>
      <c r="F36" s="452" t="n"/>
      <c r="G36" s="452" t="n"/>
      <c r="H36" s="453" t="n"/>
      <c r="I36" s="265" t="n"/>
      <c r="J36" s="265" t="n"/>
    </row>
    <row r="37" ht="14.25" customFormat="1" customHeight="1" s="313">
      <c r="A37" s="379" t="n"/>
      <c r="B37" s="378" t="inlineStr">
        <is>
          <t>Основные материалы</t>
        </is>
      </c>
      <c r="C37" s="452" t="n"/>
      <c r="D37" s="452" t="n"/>
      <c r="E37" s="452" t="n"/>
      <c r="F37" s="452" t="n"/>
      <c r="G37" s="452" t="n"/>
      <c r="H37" s="453" t="n"/>
      <c r="I37" s="265" t="n"/>
      <c r="J37" s="265" t="n"/>
    </row>
    <row r="38" ht="25.5" customFormat="1" customHeight="1" s="313">
      <c r="A38" s="379" t="n">
        <v>11</v>
      </c>
      <c r="B38" s="379" t="inlineStr">
        <is>
          <t>20.5.04.08-0007</t>
        </is>
      </c>
      <c r="C38" s="378" t="inlineStr">
        <is>
          <t>Зажим соединительный: шлейфовый спиральный ШС-24,0-01</t>
        </is>
      </c>
      <c r="D38" s="275" t="inlineStr">
        <is>
          <t>шт</t>
        </is>
      </c>
      <c r="E38" s="275" t="n">
        <v>27</v>
      </c>
      <c r="F38" s="404" t="n">
        <v>535.9299999999999</v>
      </c>
      <c r="G38" s="251">
        <f>ROUND(E38*F38,2)</f>
        <v/>
      </c>
      <c r="H38" s="382">
        <f>G38/$G$66</f>
        <v/>
      </c>
      <c r="I38" s="469">
        <f>ROUND(F38*Прил.10!$D$13,2)</f>
        <v/>
      </c>
      <c r="J38" s="469">
        <f>ROUND(I38*E38,2)</f>
        <v/>
      </c>
    </row>
    <row r="39" ht="14.25" customFormat="1" customHeight="1" s="313">
      <c r="A39" s="379" t="n">
        <v>12</v>
      </c>
      <c r="B39" s="379" t="inlineStr">
        <is>
          <t>20.1.01.01-0025</t>
        </is>
      </c>
      <c r="C39" s="378" t="inlineStr">
        <is>
          <t>Зажим анкерный марки SO 3.35</t>
        </is>
      </c>
      <c r="D39" s="379" t="inlineStr">
        <is>
          <t>100 шт</t>
        </is>
      </c>
      <c r="E39" s="275" t="n">
        <v>0.18</v>
      </c>
      <c r="F39" s="247" t="n">
        <v>10668</v>
      </c>
      <c r="G39" s="251">
        <f>ROUND(E39*F39,2)</f>
        <v/>
      </c>
      <c r="H39" s="382">
        <f>G39/$G$66</f>
        <v/>
      </c>
      <c r="I39" s="469">
        <f>ROUND(F39*Прил.10!$D$13,2)</f>
        <v/>
      </c>
      <c r="J39" s="469">
        <f>ROUND(I39*E39,2)</f>
        <v/>
      </c>
    </row>
    <row r="40" ht="38.25" customFormat="1" customHeight="1" s="313">
      <c r="A40" s="379" t="n">
        <v>13</v>
      </c>
      <c r="B40" s="379" t="inlineStr">
        <is>
          <t>20.1.01.15-0003</t>
        </is>
      </c>
      <c r="C40" s="378" t="inlineStr">
        <is>
          <t>Зажим прокалывающий для изолированных алюминиевых и медных проводов марки SL 21.1</t>
        </is>
      </c>
      <c r="D40" s="379" t="inlineStr">
        <is>
          <t>100 шт</t>
        </is>
      </c>
      <c r="E40" s="275" t="n">
        <v>0.18</v>
      </c>
      <c r="F40" s="247" t="n">
        <v>9563</v>
      </c>
      <c r="G40" s="251">
        <f>ROUND(E40*F40,2)</f>
        <v/>
      </c>
      <c r="H40" s="382">
        <f>G40/$G$66</f>
        <v/>
      </c>
      <c r="I40" s="469">
        <f>ROUND(F40*Прил.10!$D$13,2)</f>
        <v/>
      </c>
      <c r="J40" s="469">
        <f>ROUND(I40*E40,2)</f>
        <v/>
      </c>
    </row>
    <row r="41" ht="25.5" customFormat="1" customHeight="1" s="313">
      <c r="A41" s="379" t="n">
        <v>14</v>
      </c>
      <c r="B41" s="379" t="inlineStr">
        <is>
          <t>22.2.01.05-0001</t>
        </is>
      </c>
      <c r="C41" s="378" t="inlineStr">
        <is>
          <t>Изолятор опорно-стержневой ИОС-10-500 УХЛ1</t>
        </is>
      </c>
      <c r="D41" s="379" t="inlineStr">
        <is>
          <t>100 шт</t>
        </is>
      </c>
      <c r="E41" s="275" t="n">
        <v>0.09</v>
      </c>
      <c r="F41" s="247" t="n">
        <v>16232.1</v>
      </c>
      <c r="G41" s="251">
        <f>ROUND(E41*F41,2)</f>
        <v/>
      </c>
      <c r="H41" s="382">
        <f>G41/$G$66</f>
        <v/>
      </c>
      <c r="I41" s="469">
        <f>ROUND(F41*Прил.10!$D$13,2)</f>
        <v/>
      </c>
      <c r="J41" s="469">
        <f>ROUND(I41*E41,2)</f>
        <v/>
      </c>
    </row>
    <row r="42" ht="25.5" customFormat="1" customHeight="1" s="313">
      <c r="A42" s="379" t="n">
        <v>15</v>
      </c>
      <c r="B42" s="379" t="inlineStr">
        <is>
          <t>22.2.01.04-0002</t>
        </is>
      </c>
      <c r="C42" s="378" t="inlineStr">
        <is>
          <t>Изолятор линейный штыревой фарфоровый ШФ 20-Г</t>
        </is>
      </c>
      <c r="D42" s="275" t="inlineStr">
        <is>
          <t>шт</t>
        </is>
      </c>
      <c r="E42" s="275" t="n">
        <v>24</v>
      </c>
      <c r="F42" s="404" t="n">
        <v>46.72</v>
      </c>
      <c r="G42" s="251">
        <f>ROUND(E42*F42,2)</f>
        <v/>
      </c>
      <c r="H42" s="382">
        <f>G42/$G$66</f>
        <v/>
      </c>
      <c r="I42" s="469">
        <f>ROUND(F42*Прил.10!$D$13,2)</f>
        <v/>
      </c>
      <c r="J42" s="469">
        <f>ROUND(I42*E42,2)</f>
        <v/>
      </c>
    </row>
    <row r="43" ht="14.25" customFormat="1" customHeight="1" s="313">
      <c r="A43" s="398" t="n"/>
      <c r="B43" s="258" t="n"/>
      <c r="C43" s="259" t="inlineStr">
        <is>
          <t>Итого основные материалы</t>
        </is>
      </c>
      <c r="D43" s="398" t="n"/>
      <c r="E43" s="467" t="n"/>
      <c r="F43" s="264" t="n"/>
      <c r="G43" s="251">
        <f>SUM(G38:G42)</f>
        <v/>
      </c>
      <c r="H43" s="246">
        <f>G43/$G$66</f>
        <v/>
      </c>
      <c r="I43" s="470" t="n"/>
      <c r="J43" s="471">
        <f>SUM(J38:J42)</f>
        <v/>
      </c>
    </row>
    <row r="44" hidden="1" outlineLevel="1" ht="25.5" customFormat="1" customHeight="1" s="313">
      <c r="A44" s="398" t="n">
        <v>16</v>
      </c>
      <c r="B44" s="379" t="inlineStr">
        <is>
          <t>21.2.01.02-0086</t>
        </is>
      </c>
      <c r="C44" s="378" t="inlineStr">
        <is>
          <t>Провод неизолированный для воздушных линий электропередачи АС 70/11</t>
        </is>
      </c>
      <c r="D44" s="275" t="inlineStr">
        <is>
          <t>т</t>
        </is>
      </c>
      <c r="E44" s="275" t="n">
        <v>0.022</v>
      </c>
      <c r="F44" s="247" t="n">
        <v>31957.37</v>
      </c>
      <c r="G44" s="251">
        <f>ROUND(E44*F44,2)</f>
        <v/>
      </c>
      <c r="H44" s="382">
        <f>G44/$G$66</f>
        <v/>
      </c>
      <c r="I44" s="469">
        <f>ROUND(F44*Прил.10!$D$13,2)</f>
        <v/>
      </c>
      <c r="J44" s="469">
        <f>ROUND(I44*E44,2)</f>
        <v/>
      </c>
    </row>
    <row r="45" hidden="1" outlineLevel="1" ht="25.5" customFormat="1" customHeight="1" s="313">
      <c r="A45" s="398" t="n">
        <v>17</v>
      </c>
      <c r="B45" s="379" t="inlineStr">
        <is>
          <t>21.2.01.01-0049</t>
        </is>
      </c>
      <c r="C45" s="378" t="inlineStr">
        <is>
          <t>Провод самонесущий изолированный СИП-3 1х70-20</t>
        </is>
      </c>
      <c r="D45" s="275" t="inlineStr">
        <is>
          <t>1000 м</t>
        </is>
      </c>
      <c r="E45" s="275" t="n">
        <v>0.05</v>
      </c>
      <c r="F45" s="247" t="n">
        <v>10392.39</v>
      </c>
      <c r="G45" s="251">
        <f>ROUND(E45*F45,2)</f>
        <v/>
      </c>
      <c r="H45" s="382">
        <f>G45/$G$66</f>
        <v/>
      </c>
      <c r="I45" s="469">
        <f>ROUND(F45*Прил.10!$D$13,2)</f>
        <v/>
      </c>
      <c r="J45" s="469">
        <f>ROUND(I45*E45,2)</f>
        <v/>
      </c>
    </row>
    <row r="46" hidden="1" outlineLevel="1" ht="25.5" customFormat="1" customHeight="1" s="313">
      <c r="A46" s="398" t="n">
        <v>18</v>
      </c>
      <c r="B46" s="379" t="inlineStr">
        <is>
          <t>08.3.04.02-0068</t>
        </is>
      </c>
      <c r="C46" s="378" t="inlineStr">
        <is>
          <t>Сталь круглая и квадратная, марка: Ст3пс размером 12х12 мм</t>
        </is>
      </c>
      <c r="D46" s="275" t="inlineStr">
        <is>
          <t>т</t>
        </is>
      </c>
      <c r="E46" s="275" t="n">
        <v>0.06</v>
      </c>
      <c r="F46" s="247" t="n">
        <v>5299.6</v>
      </c>
      <c r="G46" s="251">
        <f>ROUND(E46*F46,2)</f>
        <v/>
      </c>
      <c r="H46" s="382">
        <f>G46/$G$66</f>
        <v/>
      </c>
      <c r="I46" s="469">
        <f>ROUND(F46*Прил.10!$D$13,2)</f>
        <v/>
      </c>
      <c r="J46" s="469">
        <f>ROUND(I46*E46,2)</f>
        <v/>
      </c>
    </row>
    <row r="47" hidden="1" outlineLevel="1" ht="14.25" customFormat="1" customHeight="1" s="313">
      <c r="A47" s="398" t="n">
        <v>19</v>
      </c>
      <c r="B47" s="379" t="inlineStr">
        <is>
          <t>20.5.04.05-0009</t>
        </is>
      </c>
      <c r="C47" s="378" t="inlineStr">
        <is>
          <t>Зажим ответвительный ОА 70-2</t>
        </is>
      </c>
      <c r="D47" s="379" t="inlineStr">
        <is>
          <t>100 шт</t>
        </is>
      </c>
      <c r="E47" s="275" t="n">
        <v>0.09</v>
      </c>
      <c r="F47" s="247" t="n">
        <v>3516</v>
      </c>
      <c r="G47" s="251">
        <f>ROUND(E47*F47,2)</f>
        <v/>
      </c>
      <c r="H47" s="382">
        <f>G47/$G$66</f>
        <v/>
      </c>
      <c r="I47" s="469">
        <f>ROUND(F47*Прил.10!$D$13,2)</f>
        <v/>
      </c>
      <c r="J47" s="469">
        <f>ROUND(I47*E47,2)</f>
        <v/>
      </c>
    </row>
    <row r="48" hidden="1" outlineLevel="1" ht="25.5" customFormat="1" customHeight="1" s="313">
      <c r="A48" s="398" t="n">
        <v>20</v>
      </c>
      <c r="B48" s="379" t="inlineStr">
        <is>
          <t>01.7.06.10-0021</t>
        </is>
      </c>
      <c r="C48" s="378" t="inlineStr">
        <is>
          <t>Лента термоуплотнительная самоклеящаяся</t>
        </is>
      </c>
      <c r="D48" s="379" t="inlineStr">
        <is>
          <t>10 м</t>
        </is>
      </c>
      <c r="E48" s="275" t="n">
        <v>3</v>
      </c>
      <c r="F48" s="404" t="n">
        <v>101.1</v>
      </c>
      <c r="G48" s="251">
        <f>ROUND(E48*F48,2)</f>
        <v/>
      </c>
      <c r="H48" s="382">
        <f>G48/$G$66</f>
        <v/>
      </c>
      <c r="I48" s="469">
        <f>ROUND(F48*Прил.10!$D$13,2)</f>
        <v/>
      </c>
      <c r="J48" s="469">
        <f>ROUND(I48*E48,2)</f>
        <v/>
      </c>
    </row>
    <row r="49" hidden="1" outlineLevel="1" ht="25.5" customFormat="1" customHeight="1" s="313">
      <c r="A49" s="398" t="n">
        <v>21</v>
      </c>
      <c r="B49" s="379" t="inlineStr">
        <is>
          <t>08.3.04.02-0067</t>
        </is>
      </c>
      <c r="C49" s="378" t="inlineStr">
        <is>
          <t>Сталь круглая и квадратная, марка Ст3пс, размер 10x10 мм</t>
        </is>
      </c>
      <c r="D49" s="275" t="inlineStr">
        <is>
          <t>т</t>
        </is>
      </c>
      <c r="E49" s="275" t="n">
        <v>0.04435</v>
      </c>
      <c r="F49" s="247" t="n">
        <v>5390.19</v>
      </c>
      <c r="G49" s="251">
        <f>ROUND(E49*F49,2)</f>
        <v/>
      </c>
      <c r="H49" s="382">
        <f>G49/$G$66</f>
        <v/>
      </c>
      <c r="I49" s="469">
        <f>ROUND(F49*Прил.10!$D$13,2)</f>
        <v/>
      </c>
      <c r="J49" s="469">
        <f>ROUND(I49*E49,2)</f>
        <v/>
      </c>
    </row>
    <row r="50" hidden="1" outlineLevel="1" ht="14.25" customFormat="1" customHeight="1" s="313">
      <c r="A50" s="398" t="n">
        <v>22</v>
      </c>
      <c r="B50" s="379" t="inlineStr">
        <is>
          <t>20.1.01.02-0047</t>
        </is>
      </c>
      <c r="C50" s="378" t="inlineStr">
        <is>
          <t>Зажим аппаратный прессуемый: А2А-70-2</t>
        </is>
      </c>
      <c r="D50" s="379" t="inlineStr">
        <is>
          <t>100 шт</t>
        </is>
      </c>
      <c r="E50" s="275" t="n">
        <v>0.09</v>
      </c>
      <c r="F50" s="247" t="n">
        <v>2089</v>
      </c>
      <c r="G50" s="251">
        <f>ROUND(E50*F50,2)</f>
        <v/>
      </c>
      <c r="H50" s="382">
        <f>G50/$G$66</f>
        <v/>
      </c>
      <c r="I50" s="469">
        <f>ROUND(F50*Прил.10!$D$13,2)</f>
        <v/>
      </c>
      <c r="J50" s="469">
        <f>ROUND(I50*E50,2)</f>
        <v/>
      </c>
    </row>
    <row r="51" hidden="1" outlineLevel="1" ht="25.5" customFormat="1" customHeight="1" s="313">
      <c r="A51" s="398" t="n">
        <v>23</v>
      </c>
      <c r="B51" s="379" t="inlineStr">
        <is>
          <t>25.1.06.03-0061</t>
        </is>
      </c>
      <c r="C51" s="378" t="inlineStr">
        <is>
          <t>Плакаты предупредительные, путевые сигнальные знаки размер 420x220 мм</t>
        </is>
      </c>
      <c r="D51" s="379" t="inlineStr">
        <is>
          <t>100 шт</t>
        </is>
      </c>
      <c r="E51" s="275" t="n">
        <v>0.03</v>
      </c>
      <c r="F51" s="247" t="n">
        <v>3611.54</v>
      </c>
      <c r="G51" s="251">
        <f>ROUND(E51*F51,2)</f>
        <v/>
      </c>
      <c r="H51" s="382">
        <f>G51/$G$66</f>
        <v/>
      </c>
      <c r="I51" s="469">
        <f>ROUND(F51*Прил.10!$D$13,2)</f>
        <v/>
      </c>
      <c r="J51" s="469">
        <f>ROUND(I51*E51,2)</f>
        <v/>
      </c>
    </row>
    <row r="52" hidden="1" outlineLevel="1" ht="25.5" customFormat="1" customHeight="1" s="313">
      <c r="A52" s="398" t="n">
        <v>24</v>
      </c>
      <c r="B52" s="379" t="inlineStr">
        <is>
          <t>08.3.07.01-0052</t>
        </is>
      </c>
      <c r="C52" s="378" t="inlineStr">
        <is>
          <t>Прокат полосовой, горячекатаный, марка стали Ст3сп, размер 50х5 мм</t>
        </is>
      </c>
      <c r="D52" s="379" t="inlineStr">
        <is>
          <t>т</t>
        </is>
      </c>
      <c r="E52" s="275" t="n">
        <v>0.016</v>
      </c>
      <c r="F52" s="247" t="n">
        <v>6726.18</v>
      </c>
      <c r="G52" s="251">
        <f>ROUND(E52*F52,2)</f>
        <v/>
      </c>
      <c r="H52" s="382">
        <f>G52/$G$66</f>
        <v/>
      </c>
      <c r="I52" s="469">
        <f>ROUND(F52*Прил.10!$D$13,2)</f>
        <v/>
      </c>
      <c r="J52" s="469">
        <f>ROUND(I52*E52,2)</f>
        <v/>
      </c>
    </row>
    <row r="53" hidden="1" outlineLevel="1" ht="25.5" customFormat="1" customHeight="1" s="313">
      <c r="A53" s="398" t="n">
        <v>25</v>
      </c>
      <c r="B53" s="379" t="inlineStr">
        <is>
          <t>20.1.01.11-0022</t>
        </is>
      </c>
      <c r="C53" s="378" t="inlineStr">
        <is>
          <t>Зажим соединительный: плашечный ПС-2-1</t>
        </is>
      </c>
      <c r="D53" s="379" t="inlineStr">
        <is>
          <t>шт</t>
        </is>
      </c>
      <c r="E53" s="275" t="n">
        <v>6</v>
      </c>
      <c r="F53" s="404" t="n">
        <v>12.53</v>
      </c>
      <c r="G53" s="251">
        <f>ROUND(E53*F53,2)</f>
        <v/>
      </c>
      <c r="H53" s="382">
        <f>G53/$G$66</f>
        <v/>
      </c>
      <c r="I53" s="469">
        <f>ROUND(F53*Прил.10!$D$13,2)</f>
        <v/>
      </c>
      <c r="J53" s="469">
        <f>ROUND(I53*E53,2)</f>
        <v/>
      </c>
    </row>
    <row r="54" hidden="1" outlineLevel="1" ht="38.25" customFormat="1" customHeight="1" s="313">
      <c r="A54" s="398" t="n">
        <v>26</v>
      </c>
      <c r="B54" s="379" t="inlineStr">
        <is>
          <t>24.1.02.01-0018</t>
        </is>
      </c>
      <c r="C54" s="378" t="inlineStr">
        <is>
          <t>Хомуты двухболтовые с быстродействующим замком для крепления труб размером 54-58 мм</t>
        </is>
      </c>
      <c r="D54" s="275" t="inlineStr">
        <is>
          <t>шт</t>
        </is>
      </c>
      <c r="E54" s="275" t="n">
        <v>4</v>
      </c>
      <c r="F54" s="404" t="n">
        <v>18.64</v>
      </c>
      <c r="G54" s="251">
        <f>ROUND(E54*F54,2)</f>
        <v/>
      </c>
      <c r="H54" s="382">
        <f>G54/$G$66</f>
        <v/>
      </c>
      <c r="I54" s="469">
        <f>ROUND(F54*Прил.10!$D$13,2)</f>
        <v/>
      </c>
      <c r="J54" s="469">
        <f>ROUND(I54*E54,2)</f>
        <v/>
      </c>
    </row>
    <row r="55" hidden="1" outlineLevel="1" ht="25.5" customFormat="1" customHeight="1" s="313">
      <c r="A55" s="398" t="n">
        <v>27</v>
      </c>
      <c r="B55" s="379" t="inlineStr">
        <is>
          <t>01.7.15.03-0045</t>
        </is>
      </c>
      <c r="C55" s="378" t="inlineStr">
        <is>
          <t>Болты строительные с гайками оцинкованные размером 10x100 мм</t>
        </is>
      </c>
      <c r="D55" s="275" t="inlineStr">
        <is>
          <t>т</t>
        </is>
      </c>
      <c r="E55" s="275" t="n">
        <v>0.003</v>
      </c>
      <c r="F55" s="247" t="n">
        <v>13722.4</v>
      </c>
      <c r="G55" s="251">
        <f>ROUND(E55*F55,2)</f>
        <v/>
      </c>
      <c r="H55" s="382">
        <f>G55/$G$66</f>
        <v/>
      </c>
      <c r="I55" s="469">
        <f>ROUND(F55*Прил.10!$D$13,2)</f>
        <v/>
      </c>
      <c r="J55" s="469">
        <f>ROUND(I55*E55,2)</f>
        <v/>
      </c>
    </row>
    <row r="56" hidden="1" outlineLevel="1" ht="25.5" customFormat="1" customHeight="1" s="313">
      <c r="A56" s="398" t="n">
        <v>28</v>
      </c>
      <c r="B56" s="379" t="inlineStr">
        <is>
          <t>20.1.01.11-0021</t>
        </is>
      </c>
      <c r="C56" s="378" t="inlineStr">
        <is>
          <t>Зажим соединительный: плашечный ПС-1-1</t>
        </is>
      </c>
      <c r="D56" s="275" t="inlineStr">
        <is>
          <t>шт</t>
        </is>
      </c>
      <c r="E56" s="275" t="n">
        <v>3</v>
      </c>
      <c r="F56" s="404" t="n">
        <v>8.6</v>
      </c>
      <c r="G56" s="251">
        <f>ROUND(E56*F56,2)</f>
        <v/>
      </c>
      <c r="H56" s="382">
        <f>G56/$G$66</f>
        <v/>
      </c>
      <c r="I56" s="469">
        <f>ROUND(F56*Прил.10!$D$13,2)</f>
        <v/>
      </c>
      <c r="J56" s="469">
        <f>ROUND(I56*E56,2)</f>
        <v/>
      </c>
    </row>
    <row r="57" hidden="1" outlineLevel="1" ht="14.25" customFormat="1" customHeight="1" s="313">
      <c r="A57" s="398" t="n">
        <v>29</v>
      </c>
      <c r="B57" s="276" t="inlineStr">
        <is>
          <t>01.7.11.07-0032</t>
        </is>
      </c>
      <c r="C57" s="378" t="inlineStr">
        <is>
          <t>Электроды диаметром: 4 мм Э42</t>
        </is>
      </c>
      <c r="D57" s="275" t="inlineStr">
        <is>
          <t>т</t>
        </is>
      </c>
      <c r="E57" s="275" t="n">
        <v>0.0013</v>
      </c>
      <c r="F57" s="290" t="n">
        <v>10315.01</v>
      </c>
      <c r="G57" s="251">
        <f>ROUND(E57*F57,2)</f>
        <v/>
      </c>
      <c r="H57" s="382">
        <f>G57/$G$66</f>
        <v/>
      </c>
      <c r="I57" s="469">
        <f>ROUND(F57*Прил.10!$D$13,2)</f>
        <v/>
      </c>
      <c r="J57" s="469">
        <f>ROUND(I57*E57,2)</f>
        <v/>
      </c>
    </row>
    <row r="58" hidden="1" outlineLevel="1" ht="38.25" customFormat="1" customHeight="1" s="313">
      <c r="A58" s="398" t="n">
        <v>30</v>
      </c>
      <c r="B58" s="276" t="inlineStr">
        <is>
          <t>20.1.02.15-0011</t>
        </is>
      </c>
      <c r="C58" s="378" t="inlineStr">
        <is>
          <t>Соединитель алюминиевых и сталеалюминиевых проводов (СОАС) 062-3</t>
        </is>
      </c>
      <c r="D58" s="275" t="inlineStr">
        <is>
          <t>шт</t>
        </is>
      </c>
      <c r="E58" s="275" t="n">
        <v>0.1394</v>
      </c>
      <c r="F58" s="290" t="n">
        <v>88.14</v>
      </c>
      <c r="G58" s="251">
        <f>ROUND(E58*F58,2)</f>
        <v/>
      </c>
      <c r="H58" s="382">
        <f>G58/$G$66</f>
        <v/>
      </c>
      <c r="I58" s="469">
        <f>ROUND(F58*Прил.10!$D$13,2)</f>
        <v/>
      </c>
      <c r="J58" s="469">
        <f>ROUND(I58*E58,2)</f>
        <v/>
      </c>
    </row>
    <row r="59" hidden="1" outlineLevel="1" ht="14.25" customFormat="1" customHeight="1" s="313">
      <c r="A59" s="398" t="n">
        <v>31</v>
      </c>
      <c r="B59" s="276" t="inlineStr">
        <is>
          <t>01.3.01.06-0038</t>
        </is>
      </c>
      <c r="C59" s="378" t="inlineStr">
        <is>
          <t>Смазка ЗЭС</t>
        </is>
      </c>
      <c r="D59" s="275" t="inlineStr">
        <is>
          <t>кг</t>
        </is>
      </c>
      <c r="E59" s="275" t="n">
        <v>0.6341</v>
      </c>
      <c r="F59" s="274" t="n">
        <v>14.4</v>
      </c>
      <c r="G59" s="251">
        <f>ROUND(E59*F59,2)</f>
        <v/>
      </c>
      <c r="H59" s="382">
        <f>G59/$G$66</f>
        <v/>
      </c>
      <c r="I59" s="469">
        <f>ROUND(F59*Прил.10!$D$13,2)</f>
        <v/>
      </c>
      <c r="J59" s="469">
        <f>ROUND(I59*E59,2)</f>
        <v/>
      </c>
    </row>
    <row r="60" hidden="1" outlineLevel="1" ht="14.25" customFormat="1" customHeight="1" s="313">
      <c r="A60" s="398" t="n">
        <v>32</v>
      </c>
      <c r="B60" s="276" t="inlineStr">
        <is>
          <t>14.4.03.03-0102</t>
        </is>
      </c>
      <c r="C60" s="378" t="inlineStr">
        <is>
          <t>Лак БТ-577</t>
        </is>
      </c>
      <c r="D60" s="275" t="inlineStr">
        <is>
          <t>т</t>
        </is>
      </c>
      <c r="E60" s="275" t="n">
        <v>0.0009</v>
      </c>
      <c r="F60" s="290" t="n">
        <v>9550.01</v>
      </c>
      <c r="G60" s="251">
        <f>ROUND(E60*F60,2)</f>
        <v/>
      </c>
      <c r="H60" s="382">
        <f>G60/$G$66</f>
        <v/>
      </c>
      <c r="I60" s="469">
        <f>ROUND(F60*Прил.10!$D$13,2)</f>
        <v/>
      </c>
      <c r="J60" s="469">
        <f>ROUND(I60*E60,2)</f>
        <v/>
      </c>
    </row>
    <row r="61" hidden="1" outlineLevel="1" ht="14.25" customFormat="1" customHeight="1" s="313">
      <c r="A61" s="398" t="n">
        <v>33</v>
      </c>
      <c r="B61" s="276" t="inlineStr">
        <is>
          <t>14.5.09.11-0101</t>
        </is>
      </c>
      <c r="C61" s="378" t="inlineStr">
        <is>
          <t>Уайт-спирит</t>
        </is>
      </c>
      <c r="D61" s="275" t="inlineStr">
        <is>
          <t>т</t>
        </is>
      </c>
      <c r="E61" s="275" t="n">
        <v>0.0005999999999999999</v>
      </c>
      <c r="F61" s="290" t="n">
        <v>6667</v>
      </c>
      <c r="G61" s="251">
        <f>ROUND(E61*F61,2)</f>
        <v/>
      </c>
      <c r="H61" s="382">
        <f>G61/$G$66</f>
        <v/>
      </c>
      <c r="I61" s="469">
        <f>ROUND(F61*Прил.10!$D$13,2)</f>
        <v/>
      </c>
      <c r="J61" s="469">
        <f>ROUND(I61*E61,2)</f>
        <v/>
      </c>
    </row>
    <row r="62" hidden="1" outlineLevel="1" ht="14.25" customFormat="1" customHeight="1" s="313">
      <c r="A62" s="398" t="n">
        <v>34</v>
      </c>
      <c r="B62" s="276" t="inlineStr">
        <is>
          <t>01.3.01.06-0046</t>
        </is>
      </c>
      <c r="C62" s="378" t="inlineStr">
        <is>
          <t>Смазка солидол жировой марки «Ж»</t>
        </is>
      </c>
      <c r="D62" s="275" t="inlineStr">
        <is>
          <t>т</t>
        </is>
      </c>
      <c r="E62" s="275" t="n">
        <v>0.0003</v>
      </c>
      <c r="F62" s="290" t="n">
        <v>9661.5</v>
      </c>
      <c r="G62" s="251">
        <f>ROUND(E62*F62,2)</f>
        <v/>
      </c>
      <c r="H62" s="382">
        <f>G62/$G$66</f>
        <v/>
      </c>
      <c r="I62" s="469">
        <f>ROUND(F62*Прил.10!$D$13,2)</f>
        <v/>
      </c>
      <c r="J62" s="469">
        <f>ROUND(I62*E62,2)</f>
        <v/>
      </c>
    </row>
    <row r="63" hidden="1" outlineLevel="1" ht="14.25" customFormat="1" customHeight="1" s="313">
      <c r="A63" s="398" t="n">
        <v>35</v>
      </c>
      <c r="B63" s="276" t="inlineStr">
        <is>
          <t>01.7.20.08-0051</t>
        </is>
      </c>
      <c r="C63" s="378" t="inlineStr">
        <is>
          <t>Ветошь</t>
        </is>
      </c>
      <c r="D63" s="275" t="inlineStr">
        <is>
          <t>кг</t>
        </is>
      </c>
      <c r="E63" s="275" t="n">
        <v>0.1821</v>
      </c>
      <c r="F63" s="290" t="n">
        <v>1.82</v>
      </c>
      <c r="G63" s="251">
        <f>ROUND(E63*F63,2)</f>
        <v/>
      </c>
      <c r="H63" s="382">
        <f>G63/$G$66</f>
        <v/>
      </c>
      <c r="I63" s="469">
        <f>ROUND(F63*Прил.10!$D$13,2)</f>
        <v/>
      </c>
      <c r="J63" s="469">
        <f>ROUND(I63*E63,2)</f>
        <v/>
      </c>
    </row>
    <row r="64" hidden="1" outlineLevel="1" ht="14.25" customFormat="1" customHeight="1" s="313">
      <c r="A64" s="398" t="n">
        <v>36</v>
      </c>
      <c r="B64" s="379" t="inlineStr">
        <is>
          <t>08.3.03.06-0001</t>
        </is>
      </c>
      <c r="C64" s="378" t="inlineStr">
        <is>
          <t>Проволока вязальная</t>
        </is>
      </c>
      <c r="D64" s="275" t="inlineStr">
        <is>
          <t>т</t>
        </is>
      </c>
      <c r="E64" s="275" t="n">
        <v>0.004</v>
      </c>
      <c r="F64" s="404" t="n">
        <v>9.5</v>
      </c>
      <c r="G64" s="251">
        <f>ROUND(E64*F64,2)</f>
        <v/>
      </c>
      <c r="H64" s="382">
        <f>G64/$G$66</f>
        <v/>
      </c>
      <c r="I64" s="469">
        <f>ROUND(F64*Прил.10!$D$13,2)</f>
        <v/>
      </c>
      <c r="J64" s="469">
        <f>ROUND(I64*E64,2)</f>
        <v/>
      </c>
    </row>
    <row r="65" collapsed="1" ht="14.25" customFormat="1" customHeight="1" s="313">
      <c r="A65" s="379" t="n"/>
      <c r="B65" s="379" t="n"/>
      <c r="C65" s="378" t="inlineStr">
        <is>
          <t>Итого прочие материалы</t>
        </is>
      </c>
      <c r="D65" s="379" t="n"/>
      <c r="E65" s="380" t="n"/>
      <c r="F65" s="381" t="n"/>
      <c r="G65" s="251">
        <f>SUM(G44:G64)</f>
        <v/>
      </c>
      <c r="H65" s="382">
        <f>G65/$G$66</f>
        <v/>
      </c>
      <c r="I65" s="465" t="n"/>
      <c r="J65" s="471">
        <f>SUM(J44:J64)</f>
        <v/>
      </c>
    </row>
    <row r="66" ht="14.25" customFormat="1" customHeight="1" s="313">
      <c r="A66" s="379" t="n"/>
      <c r="B66" s="379" t="n"/>
      <c r="C66" s="383" t="inlineStr">
        <is>
          <t>Итого по разделу «Материалы»</t>
        </is>
      </c>
      <c r="D66" s="379" t="n"/>
      <c r="E66" s="380" t="n"/>
      <c r="F66" s="381" t="n"/>
      <c r="G66" s="247">
        <f>G43+G65</f>
        <v/>
      </c>
      <c r="H66" s="382">
        <f>G66/$G$66</f>
        <v/>
      </c>
      <c r="I66" s="465" t="n"/>
      <c r="J66" s="465">
        <f>J43+J65</f>
        <v/>
      </c>
    </row>
    <row r="67" ht="14.25" customFormat="1" customHeight="1" s="313">
      <c r="A67" s="379" t="n"/>
      <c r="B67" s="379" t="n"/>
      <c r="C67" s="378" t="inlineStr">
        <is>
          <t>ИТОГО ПО РМ</t>
        </is>
      </c>
      <c r="D67" s="379" t="n"/>
      <c r="E67" s="380" t="n"/>
      <c r="F67" s="381" t="n"/>
      <c r="G67" s="247">
        <f>G14+G26+G66</f>
        <v/>
      </c>
      <c r="H67" s="384" t="n"/>
      <c r="I67" s="465" t="n"/>
      <c r="J67" s="465">
        <f>J14+J26+J66</f>
        <v/>
      </c>
    </row>
    <row r="68" ht="14.25" customFormat="1" customHeight="1" s="313">
      <c r="A68" s="379" t="n"/>
      <c r="B68" s="379" t="n"/>
      <c r="C68" s="378" t="inlineStr">
        <is>
          <t>Накладные расходы</t>
        </is>
      </c>
      <c r="D68" s="182">
        <f>ROUND(G68/(G$16+$G$14),2)</f>
        <v/>
      </c>
      <c r="E68" s="380" t="n"/>
      <c r="F68" s="381" t="n"/>
      <c r="G68" s="247" t="n">
        <v>2458</v>
      </c>
      <c r="H68" s="384" t="n"/>
      <c r="I68" s="465" t="n"/>
      <c r="J68" s="465">
        <f>ROUND(D68*(J14+J16),2)</f>
        <v/>
      </c>
    </row>
    <row r="69" ht="14.25" customFormat="1" customHeight="1" s="313">
      <c r="A69" s="379" t="n"/>
      <c r="B69" s="379" t="n"/>
      <c r="C69" s="378" t="inlineStr">
        <is>
          <t>Сметная прибыль</t>
        </is>
      </c>
      <c r="D69" s="182">
        <f>ROUND(G69/(G$14+G$16),2)</f>
        <v/>
      </c>
      <c r="E69" s="380" t="n"/>
      <c r="F69" s="381" t="n"/>
      <c r="G69" s="247" t="n">
        <v>1405</v>
      </c>
      <c r="H69" s="384" t="n"/>
      <c r="I69" s="465" t="n"/>
      <c r="J69" s="465">
        <f>ROUND(D69*(J14+J16),2)</f>
        <v/>
      </c>
    </row>
    <row r="70" ht="14.25" customFormat="1" customHeight="1" s="313">
      <c r="A70" s="379" t="n"/>
      <c r="B70" s="379" t="n"/>
      <c r="C70" s="378" t="inlineStr">
        <is>
          <t>Итого СМР (с НР и СП)</t>
        </is>
      </c>
      <c r="D70" s="379" t="n"/>
      <c r="E70" s="380" t="n"/>
      <c r="F70" s="381" t="n"/>
      <c r="G70" s="247">
        <f>ROUND((G14+G26+G66+G68+G69),2)</f>
        <v/>
      </c>
      <c r="H70" s="384" t="n"/>
      <c r="I70" s="465" t="n"/>
      <c r="J70" s="465">
        <f>ROUND((J14+J26+J66+J68+J69),2)</f>
        <v/>
      </c>
    </row>
    <row r="71" ht="14.25" customFormat="1" customHeight="1" s="313">
      <c r="A71" s="379" t="n"/>
      <c r="B71" s="379" t="n"/>
      <c r="C71" s="378" t="inlineStr">
        <is>
          <t>ВСЕГО СМР + ОБОРУДОВАНИЕ</t>
        </is>
      </c>
      <c r="D71" s="379" t="n"/>
      <c r="E71" s="380" t="n"/>
      <c r="F71" s="381" t="n"/>
      <c r="G71" s="247">
        <f>G70+G34</f>
        <v/>
      </c>
      <c r="H71" s="384" t="n"/>
      <c r="I71" s="465" t="n"/>
      <c r="J71" s="465">
        <f>J70+J34</f>
        <v/>
      </c>
    </row>
    <row r="72" ht="34.5" customFormat="1" customHeight="1" s="313">
      <c r="A72" s="379" t="n"/>
      <c r="B72" s="379" t="n"/>
      <c r="C72" s="378" t="inlineStr">
        <is>
          <t>ИТОГО ПОКАЗАТЕЛЬ НА ЕД. ИЗМ.</t>
        </is>
      </c>
      <c r="D72" s="379" t="inlineStr">
        <is>
          <t>ед.</t>
        </is>
      </c>
      <c r="E72" s="380" t="n">
        <v>3</v>
      </c>
      <c r="F72" s="381" t="n"/>
      <c r="G72" s="247">
        <f>G71/E72</f>
        <v/>
      </c>
      <c r="H72" s="384" t="n"/>
      <c r="I72" s="247" t="n"/>
      <c r="J72" s="247">
        <f>J71/E72</f>
        <v/>
      </c>
    </row>
    <row r="74" ht="14.25" customFormat="1" customHeight="1" s="313">
      <c r="A74" s="312" t="inlineStr">
        <is>
          <t>Составил ______________________     Д.А. Самуйленко</t>
        </is>
      </c>
    </row>
    <row r="75" ht="14.25" customFormat="1" customHeight="1" s="313">
      <c r="A75" s="315" t="inlineStr">
        <is>
          <t xml:space="preserve">                         (подпись, инициалы, фамилия)</t>
        </is>
      </c>
    </row>
    <row r="76" ht="14.25" customFormat="1" customHeight="1" s="313">
      <c r="A76" s="312" t="n"/>
    </row>
    <row r="77" ht="14.25" customFormat="1" customHeight="1" s="313">
      <c r="A77" s="312" t="inlineStr">
        <is>
          <t>Проверил ______________________        А.В. Костянецкая</t>
        </is>
      </c>
    </row>
    <row r="78" ht="14.25" customFormat="1" customHeight="1" s="313">
      <c r="A78" s="315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B15:H15"/>
    <mergeCell ref="H2:J2"/>
    <mergeCell ref="C9:C10"/>
    <mergeCell ref="B36:H36"/>
    <mergeCell ref="E9:E10"/>
    <mergeCell ref="A7:H7"/>
    <mergeCell ref="B9:B10"/>
    <mergeCell ref="D9:D10"/>
    <mergeCell ref="B18:H18"/>
    <mergeCell ref="B27:H27"/>
    <mergeCell ref="B12:H12"/>
    <mergeCell ref="D6:J6"/>
    <mergeCell ref="A8:H8"/>
    <mergeCell ref="F9:G9"/>
    <mergeCell ref="B17:H17"/>
    <mergeCell ref="A9:A10"/>
    <mergeCell ref="B37:H37"/>
    <mergeCell ref="I9:J9"/>
    <mergeCell ref="B28:H28"/>
  </mergeCells>
  <pageMargins left="0.7086614173228351" right="0.7086614173228351" top="0.748031496062992" bottom="0.748031496062992" header="0.31496062992126" footer="0.31496062992126"/>
  <pageSetup orientation="landscape" paperSize="9" scale="79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2"/>
  <sheetViews>
    <sheetView view="pageBreakPreview" topLeftCell="A16" workbookViewId="0">
      <selection activeCell="E23" sqref="E23:F23"/>
    </sheetView>
  </sheetViews>
  <sheetFormatPr baseColWidth="8" defaultRowHeight="15"/>
  <cols>
    <col width="5.7109375" customWidth="1" style="328" min="1" max="1"/>
    <col width="17.5703125" customWidth="1" style="328" min="2" max="2"/>
    <col width="39.140625" customWidth="1" style="328" min="3" max="3"/>
    <col width="10.7109375" customWidth="1" style="328" min="4" max="4"/>
    <col width="13.85546875" customWidth="1" style="328" min="5" max="5"/>
    <col width="13.28515625" customWidth="1" style="328" min="6" max="6"/>
    <col width="14.140625" customWidth="1" style="328" min="7" max="7"/>
  </cols>
  <sheetData>
    <row r="1">
      <c r="A1" s="399" t="inlineStr">
        <is>
          <t>Приложение №6</t>
        </is>
      </c>
    </row>
    <row r="2" ht="21.75" customHeight="1" s="328">
      <c r="A2" s="399" t="n"/>
      <c r="B2" s="399" t="n"/>
      <c r="C2" s="399" t="n"/>
      <c r="D2" s="399" t="n"/>
      <c r="E2" s="399" t="n"/>
      <c r="F2" s="399" t="n"/>
      <c r="G2" s="399" t="n"/>
    </row>
    <row r="3">
      <c r="A3" s="350" t="inlineStr">
        <is>
          <t>Расчет стоимости оборудования</t>
        </is>
      </c>
    </row>
    <row r="4">
      <c r="A4" s="400" t="inlineStr">
        <is>
          <t xml:space="preserve">Наименование разрабатываемого показателя УНЦ — Автоматический пункт секционирования (реклоузера) 20 кВ без ПКУ </t>
        </is>
      </c>
    </row>
    <row r="5">
      <c r="A5" s="312" t="n"/>
      <c r="B5" s="312" t="n"/>
      <c r="C5" s="312" t="n"/>
      <c r="D5" s="312" t="n"/>
      <c r="E5" s="312" t="n"/>
      <c r="F5" s="312" t="n"/>
      <c r="G5" s="312" t="n"/>
    </row>
    <row r="6" ht="30" customHeight="1" s="328">
      <c r="A6" s="379" t="inlineStr">
        <is>
          <t>№ пп.</t>
        </is>
      </c>
      <c r="B6" s="379" t="inlineStr">
        <is>
          <t>Код ресурса</t>
        </is>
      </c>
      <c r="C6" s="379" t="inlineStr">
        <is>
          <t>Наименование</t>
        </is>
      </c>
      <c r="D6" s="379" t="inlineStr">
        <is>
          <t>Ед. изм.</t>
        </is>
      </c>
      <c r="E6" s="379" t="inlineStr">
        <is>
          <t>Кол-во единиц по проектным данным</t>
        </is>
      </c>
      <c r="F6" s="405" t="inlineStr">
        <is>
          <t>Сметная стоимость в ценах на 01.01.2000 (руб.)</t>
        </is>
      </c>
      <c r="G6" s="453" t="n"/>
    </row>
    <row r="7">
      <c r="A7" s="455" t="n"/>
      <c r="B7" s="455" t="n"/>
      <c r="C7" s="455" t="n"/>
      <c r="D7" s="455" t="n"/>
      <c r="E7" s="455" t="n"/>
      <c r="F7" s="379" t="inlineStr">
        <is>
          <t>на ед. изм.</t>
        </is>
      </c>
      <c r="G7" s="379" t="inlineStr">
        <is>
          <t>общая</t>
        </is>
      </c>
    </row>
    <row r="8">
      <c r="A8" s="379" t="n">
        <v>1</v>
      </c>
      <c r="B8" s="379" t="n">
        <v>2</v>
      </c>
      <c r="C8" s="379" t="n">
        <v>3</v>
      </c>
      <c r="D8" s="379" t="n">
        <v>4</v>
      </c>
      <c r="E8" s="379" t="n">
        <v>5</v>
      </c>
      <c r="F8" s="379" t="n">
        <v>6</v>
      </c>
      <c r="G8" s="379" t="n">
        <v>7</v>
      </c>
    </row>
    <row r="9" ht="15" customHeight="1" s="328">
      <c r="A9" s="208" t="n"/>
      <c r="B9" s="378" t="inlineStr">
        <is>
          <t>ИНЖЕНЕРНОЕ ОБОРУДОВАНИЕ</t>
        </is>
      </c>
      <c r="C9" s="452" t="n"/>
      <c r="D9" s="452" t="n"/>
      <c r="E9" s="452" t="n"/>
      <c r="F9" s="452" t="n"/>
      <c r="G9" s="453" t="n"/>
    </row>
    <row r="10" ht="27" customHeight="1" s="328">
      <c r="A10" s="398" t="n"/>
      <c r="B10" s="262" t="n"/>
      <c r="C10" s="259" t="inlineStr">
        <is>
          <t>ИТОГО ИНЖЕНЕРНОЕ ОБОРУДОВАНИЕ</t>
        </is>
      </c>
      <c r="D10" s="262" t="n"/>
      <c r="E10" s="263" t="n"/>
      <c r="F10" s="264" t="n"/>
      <c r="G10" s="251" t="n">
        <v>0</v>
      </c>
    </row>
    <row r="11">
      <c r="A11" s="379" t="n"/>
      <c r="B11" s="378" t="inlineStr">
        <is>
          <t>ТЕХНОЛОГИЧЕСКОЕ ОБОРУДОВАНИЕ</t>
        </is>
      </c>
      <c r="C11" s="452" t="n"/>
      <c r="D11" s="452" t="n"/>
      <c r="E11" s="452" t="n"/>
      <c r="F11" s="452" t="n"/>
      <c r="G11" s="453" t="n"/>
    </row>
    <row r="12">
      <c r="A12" s="379" t="n">
        <v>1</v>
      </c>
      <c r="B12" s="276">
        <f>'Прил.5 Расчет СМР и ОБ'!B29</f>
        <v/>
      </c>
      <c r="C12" s="378">
        <f>'Прил.5 Расчет СМР и ОБ'!C29</f>
        <v/>
      </c>
      <c r="D12" s="379">
        <f>'Прил.5 Расчет СМР и ОБ'!D29</f>
        <v/>
      </c>
      <c r="E12" s="379">
        <f>'Прил.5 Расчет СМР и ОБ'!E29</f>
        <v/>
      </c>
      <c r="F12" s="247">
        <f>'Прил.5 Расчет СМР и ОБ'!F29</f>
        <v/>
      </c>
      <c r="G12" s="247">
        <f>'Прил.5 Расчет СМР и ОБ'!G29</f>
        <v/>
      </c>
    </row>
    <row r="13" ht="25.5" customHeight="1" s="328">
      <c r="A13" s="379" t="n">
        <v>2</v>
      </c>
      <c r="B13" s="276">
        <f>'Прил.5 Расчет СМР и ОБ'!B31</f>
        <v/>
      </c>
      <c r="C13" s="378">
        <f>'Прил.5 Расчет СМР и ОБ'!C31</f>
        <v/>
      </c>
      <c r="D13" s="379">
        <f>'Прил.5 Расчет СМР и ОБ'!D31</f>
        <v/>
      </c>
      <c r="E13" s="379">
        <f>'Прил.5 Расчет СМР и ОБ'!E31</f>
        <v/>
      </c>
      <c r="F13" s="247">
        <f>'Прил.5 Расчет СМР и ОБ'!F31</f>
        <v/>
      </c>
      <c r="G13" s="247">
        <f>'Прил.5 Расчет СМР и ОБ'!G31</f>
        <v/>
      </c>
    </row>
    <row r="14">
      <c r="A14" s="379" t="n">
        <v>3</v>
      </c>
      <c r="B14" s="276">
        <f>'Прил.5 Расчет СМР и ОБ'!B32</f>
        <v/>
      </c>
      <c r="C14" s="378">
        <f>'Прил.5 Расчет СМР и ОБ'!C32</f>
        <v/>
      </c>
      <c r="D14" s="379">
        <f>'Прил.5 Расчет СМР и ОБ'!D32</f>
        <v/>
      </c>
      <c r="E14" s="379">
        <f>'Прил.5 Расчет СМР и ОБ'!E32</f>
        <v/>
      </c>
      <c r="F14" s="247">
        <f>'Прил.5 Расчет СМР и ОБ'!F32</f>
        <v/>
      </c>
      <c r="G14" s="247">
        <f>'Прил.5 Расчет СМР и ОБ'!G32</f>
        <v/>
      </c>
    </row>
    <row r="15" ht="25.5" customHeight="1" s="328">
      <c r="A15" s="379" t="n"/>
      <c r="B15" s="378" t="n"/>
      <c r="C15" s="378" t="inlineStr">
        <is>
          <t>ИТОГО ТЕХНОЛОГИЧЕСКОЕ ОБОРУДОВАНИЕ</t>
        </is>
      </c>
      <c r="D15" s="378" t="n"/>
      <c r="E15" s="404" t="n"/>
      <c r="F15" s="247" t="n"/>
      <c r="G15" s="247">
        <f>SUM(G12:G14)</f>
        <v/>
      </c>
    </row>
    <row r="16" ht="19.5" customHeight="1" s="328">
      <c r="A16" s="379" t="n"/>
      <c r="B16" s="378" t="n"/>
      <c r="C16" s="378" t="inlineStr">
        <is>
          <t>Всего по разделу «Оборудование»</t>
        </is>
      </c>
      <c r="D16" s="378" t="n"/>
      <c r="E16" s="404" t="n"/>
      <c r="F16" s="247" t="n"/>
      <c r="G16" s="247">
        <f>G10+G15</f>
        <v/>
      </c>
    </row>
    <row r="17">
      <c r="A17" s="314" t="n"/>
      <c r="B17" s="142" t="n"/>
      <c r="C17" s="314" t="n"/>
      <c r="D17" s="314" t="n"/>
      <c r="E17" s="314" t="n"/>
      <c r="F17" s="314" t="n"/>
      <c r="G17" s="314" t="n"/>
    </row>
    <row r="18">
      <c r="A18" s="312" t="inlineStr">
        <is>
          <t>Составил ______________________    Д.А. Самуйленко</t>
        </is>
      </c>
      <c r="B18" s="313" t="n"/>
      <c r="C18" s="313" t="n"/>
      <c r="D18" s="314" t="n"/>
      <c r="E18" s="314" t="n"/>
      <c r="F18" s="314" t="n"/>
      <c r="G18" s="314" t="n"/>
    </row>
    <row r="19">
      <c r="A19" s="315" t="inlineStr">
        <is>
          <t xml:space="preserve">                         (подпись, инициалы, фамилия)</t>
        </is>
      </c>
      <c r="B19" s="313" t="n"/>
      <c r="C19" s="313" t="n"/>
      <c r="D19" s="314" t="n"/>
      <c r="E19" s="314" t="n"/>
      <c r="F19" s="314" t="n"/>
      <c r="G19" s="314" t="n"/>
    </row>
    <row r="20">
      <c r="A20" s="312" t="n"/>
      <c r="B20" s="313" t="n"/>
      <c r="C20" s="313" t="n"/>
      <c r="D20" s="314" t="n"/>
      <c r="E20" s="314" t="n"/>
      <c r="F20" s="314" t="n"/>
      <c r="G20" s="314" t="n"/>
    </row>
    <row r="21">
      <c r="A21" s="312" t="inlineStr">
        <is>
          <t>Проверил ______________________        А.В. Костянецкая</t>
        </is>
      </c>
      <c r="B21" s="313" t="n"/>
      <c r="C21" s="313" t="n"/>
      <c r="D21" s="314" t="n"/>
      <c r="E21" s="314" t="n"/>
      <c r="F21" s="314" t="n"/>
      <c r="G21" s="314" t="n"/>
    </row>
    <row r="22">
      <c r="A22" s="315" t="inlineStr">
        <is>
          <t xml:space="preserve">                        (подпись, инициалы, фамилия)</t>
        </is>
      </c>
      <c r="B22" s="313" t="n"/>
      <c r="C22" s="313" t="n"/>
      <c r="D22" s="314" t="n"/>
      <c r="E22" s="314" t="n"/>
      <c r="F22" s="314" t="n"/>
      <c r="G22" s="314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D13" sqref="D13"/>
    </sheetView>
  </sheetViews>
  <sheetFormatPr baseColWidth="8" defaultRowHeight="15"/>
  <cols>
    <col width="12.7109375" customWidth="1" style="328" min="1" max="1"/>
    <col width="34.85546875" customWidth="1" style="328" min="2" max="2"/>
    <col width="33.5703125" customWidth="1" style="328" min="3" max="3"/>
    <col width="47.28515625" customWidth="1" style="328" min="4" max="4"/>
    <col width="9.140625" customWidth="1" style="328" min="5" max="5"/>
  </cols>
  <sheetData>
    <row r="1" ht="15.75" customHeight="1" s="328">
      <c r="A1" s="330" t="n"/>
      <c r="B1" s="330" t="n"/>
      <c r="C1" s="330" t="n"/>
      <c r="D1" s="330" t="inlineStr">
        <is>
          <t>Приложение №7</t>
        </is>
      </c>
    </row>
    <row r="2" ht="15.75" customHeight="1" s="328">
      <c r="A2" s="330" t="n"/>
      <c r="B2" s="330" t="n"/>
      <c r="C2" s="330" t="n"/>
      <c r="D2" s="330" t="n"/>
    </row>
    <row r="3" ht="15.75" customHeight="1" s="328">
      <c r="A3" s="330" t="n"/>
      <c r="B3" s="307" t="inlineStr">
        <is>
          <t>Расчет показателя УНЦ</t>
        </is>
      </c>
      <c r="C3" s="330" t="n"/>
      <c r="D3" s="330" t="n"/>
    </row>
    <row r="4" ht="15.75" customHeight="1" s="328">
      <c r="A4" s="330" t="n"/>
      <c r="B4" s="330" t="n"/>
      <c r="C4" s="330" t="n"/>
      <c r="D4" s="330" t="n"/>
    </row>
    <row r="5" ht="31.5" customHeight="1" s="328">
      <c r="A5" s="406" t="inlineStr">
        <is>
          <t xml:space="preserve">Наименование разрабатываемого показателя УНЦ - </t>
        </is>
      </c>
      <c r="D5" s="406">
        <f>'Прил.5 Расчет СМР и ОБ'!D6:J6</f>
        <v/>
      </c>
    </row>
    <row r="6" ht="15.75" customHeight="1" s="328">
      <c r="A6" s="330" t="inlineStr">
        <is>
          <t>Единица измерения  — 1 ячейка</t>
        </is>
      </c>
      <c r="B6" s="330" t="n"/>
      <c r="C6" s="330" t="n"/>
      <c r="D6" s="330" t="n"/>
    </row>
    <row r="7" ht="15.75" customHeight="1" s="328">
      <c r="A7" s="330" t="n"/>
      <c r="B7" s="330" t="n"/>
      <c r="C7" s="330" t="n"/>
      <c r="D7" s="330" t="n"/>
    </row>
    <row r="8">
      <c r="A8" s="363" t="inlineStr">
        <is>
          <t>Код показателя</t>
        </is>
      </c>
      <c r="B8" s="363" t="inlineStr">
        <is>
          <t>Наименование показателя</t>
        </is>
      </c>
      <c r="C8" s="363" t="inlineStr">
        <is>
          <t>Наименование РМ, входящих в состав показателя</t>
        </is>
      </c>
      <c r="D8" s="363" t="inlineStr">
        <is>
          <t>Норматив цены на 01.01.2023, тыс.руб.</t>
        </is>
      </c>
    </row>
    <row r="9">
      <c r="A9" s="455" t="n"/>
      <c r="B9" s="455" t="n"/>
      <c r="C9" s="455" t="n"/>
      <c r="D9" s="455" t="n"/>
    </row>
    <row r="10" ht="15.75" customHeight="1" s="328">
      <c r="A10" s="363" t="n">
        <v>1</v>
      </c>
      <c r="B10" s="363" t="n">
        <v>2</v>
      </c>
      <c r="C10" s="363" t="n">
        <v>3</v>
      </c>
      <c r="D10" s="363" t="n">
        <v>4</v>
      </c>
    </row>
    <row r="11" ht="47.25" customHeight="1" s="328">
      <c r="A11" s="363" t="inlineStr">
        <is>
          <t>В6-02</t>
        </is>
      </c>
      <c r="B11" s="363" t="inlineStr">
        <is>
          <t>УНЦ автоматического пункта секционирования (реклоузера) 6 - 35 кВ без ПКУ</t>
        </is>
      </c>
      <c r="C11" s="325">
        <f>D5</f>
        <v/>
      </c>
      <c r="D11" s="336">
        <f>'Прил.4 РМ'!C41/1000</f>
        <v/>
      </c>
    </row>
    <row r="13">
      <c r="A13" s="312" t="inlineStr">
        <is>
          <t>Составил ______________________     Д.А. Самуйленко</t>
        </is>
      </c>
      <c r="B13" s="313" t="n"/>
      <c r="C13" s="313" t="n"/>
      <c r="D13" s="314" t="n"/>
    </row>
    <row r="14">
      <c r="A14" s="315" t="inlineStr">
        <is>
          <t xml:space="preserve">                         (подпись, инициалы, фамилия)</t>
        </is>
      </c>
      <c r="B14" s="313" t="n"/>
      <c r="C14" s="313" t="n"/>
      <c r="D14" s="314" t="n"/>
    </row>
    <row r="15">
      <c r="A15" s="312" t="n"/>
      <c r="B15" s="313" t="n"/>
      <c r="C15" s="313" t="n"/>
      <c r="D15" s="314" t="n"/>
    </row>
    <row r="16">
      <c r="A16" s="312" t="inlineStr">
        <is>
          <t>Проверил ______________________        А.В. Костянецкая</t>
        </is>
      </c>
      <c r="B16" s="313" t="n"/>
      <c r="C16" s="313" t="n"/>
      <c r="D16" s="314" t="n"/>
    </row>
    <row r="17" ht="20.25" customHeight="1" s="328">
      <c r="A17" s="315" t="inlineStr">
        <is>
          <t xml:space="preserve">                        (подпись, инициалы, фамилия)</t>
        </is>
      </c>
      <c r="B17" s="313" t="n"/>
      <c r="C17" s="313" t="n"/>
      <c r="D17" s="314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68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view="pageBreakPreview" zoomScale="60" zoomScaleNormal="85" workbookViewId="0">
      <selection activeCell="D25" sqref="D25"/>
    </sheetView>
  </sheetViews>
  <sheetFormatPr baseColWidth="8" defaultRowHeight="15"/>
  <cols>
    <col width="9.140625" customWidth="1" style="328" min="1" max="1"/>
    <col width="40.7109375" customWidth="1" style="328" min="2" max="2"/>
    <col width="38.5703125" customWidth="1" style="328" min="3" max="3"/>
    <col width="32" customWidth="1" style="328" min="4" max="4"/>
    <col width="9.140625" customWidth="1" style="328" min="5" max="5"/>
  </cols>
  <sheetData>
    <row r="4" ht="15.75" customHeight="1" s="328">
      <c r="B4" s="357" t="inlineStr">
        <is>
          <t>Приложение № 10</t>
        </is>
      </c>
    </row>
    <row r="5" ht="18.75" customHeight="1" s="328">
      <c r="B5" s="162" t="n"/>
    </row>
    <row r="6" ht="15.75" customHeight="1" s="328">
      <c r="B6" s="358" t="inlineStr">
        <is>
          <t>Используемые индексы изменений сметной стоимости и нормы сопутствующих затрат</t>
        </is>
      </c>
    </row>
    <row r="7">
      <c r="B7" s="407" t="n"/>
    </row>
    <row r="8">
      <c r="B8" s="407" t="n"/>
      <c r="C8" s="407" t="n"/>
      <c r="D8" s="407" t="n"/>
      <c r="E8" s="407" t="n"/>
    </row>
    <row r="9" ht="47.25" customHeight="1" s="328">
      <c r="B9" s="363" t="inlineStr">
        <is>
          <t>Наименование индекса / норм сопутствующих затрат</t>
        </is>
      </c>
      <c r="C9" s="363" t="inlineStr">
        <is>
          <t>Дата применения и обоснование индекса / норм сопутствующих затрат</t>
        </is>
      </c>
      <c r="D9" s="363" t="inlineStr">
        <is>
          <t>Размер индекса / норма сопутствующих затрат</t>
        </is>
      </c>
    </row>
    <row r="10" ht="15.75" customHeight="1" s="328">
      <c r="B10" s="363" t="n">
        <v>1</v>
      </c>
      <c r="C10" s="363" t="n">
        <v>2</v>
      </c>
      <c r="D10" s="363" t="n">
        <v>3</v>
      </c>
    </row>
    <row r="11" ht="31.5" customHeight="1" s="328">
      <c r="B11" s="363" t="inlineStr">
        <is>
          <t xml:space="preserve">Индекс изменения сметной стоимости на 1 квартал 2023 года. ОЗП </t>
        </is>
      </c>
      <c r="C11" s="363" t="inlineStr">
        <is>
          <t>Письмо Минстроя России от 30.03.2023г. №17106-ИФ/09  прил.1</t>
        </is>
      </c>
      <c r="D11" s="363" t="n">
        <v>44.29</v>
      </c>
    </row>
    <row r="12" ht="31.5" customHeight="1" s="328">
      <c r="B12" s="363" t="inlineStr">
        <is>
          <t>Индекс изменения сметной стоимости на 1 квартал 2023 года. ЭМ</t>
        </is>
      </c>
      <c r="C12" s="363" t="inlineStr">
        <is>
          <t>Письмо Минстроя России от 30.03.2023г. №17106-ИФ/09  прил.1</t>
        </is>
      </c>
      <c r="D12" s="363" t="n">
        <v>11.72</v>
      </c>
    </row>
    <row r="13" ht="31.5" customHeight="1" s="328">
      <c r="B13" s="363" t="inlineStr">
        <is>
          <t>Индекс изменения сметной стоимости на 1 квартал 2023 года. МАТ</t>
        </is>
      </c>
      <c r="C13" s="363" t="inlineStr">
        <is>
          <t>Письмо Минстроя России от 30.03.2023г. №17106-ИФ/09  прил.1</t>
        </is>
      </c>
      <c r="D13" s="363" t="n">
        <v>7.74</v>
      </c>
    </row>
    <row r="14" ht="31.5" customHeight="1" s="328">
      <c r="B14" s="363" t="inlineStr">
        <is>
          <t>Индекс изменения сметной стоимости на 1 квартал 2023 года. ОБ</t>
        </is>
      </c>
      <c r="C14" s="363" t="inlineStr">
        <is>
          <t>Письмо Минстроя России от 23.02.2023г. №9791-ИФ/09 прил.6</t>
        </is>
      </c>
      <c r="D14" s="363" t="n">
        <v>6.26</v>
      </c>
    </row>
    <row r="15" ht="89.25" customHeight="1" s="328">
      <c r="B15" s="363" t="inlineStr">
        <is>
          <t>Временные здания и сооружения</t>
        </is>
      </c>
      <c r="C15" s="363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65" t="n">
        <v>0.025</v>
      </c>
    </row>
    <row r="16" ht="78.75" customHeight="1" s="328">
      <c r="B16" s="363" t="inlineStr">
        <is>
          <t>Дополнительные затраты при производстве строительно-монтажных работ в зимнее время</t>
        </is>
      </c>
      <c r="C16" s="363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65" t="n">
        <v>0.019</v>
      </c>
    </row>
    <row r="17" ht="15.75" customHeight="1" s="328">
      <c r="B17" s="363" t="inlineStr">
        <is>
          <t>Пусконаладочные работы*</t>
        </is>
      </c>
      <c r="C17" s="363" t="n"/>
      <c r="D17" s="363" t="inlineStr">
        <is>
          <t>Расчет</t>
        </is>
      </c>
    </row>
    <row r="18" ht="31.5" customHeight="1" s="328">
      <c r="B18" s="363" t="inlineStr">
        <is>
          <t>Строительный контроль</t>
        </is>
      </c>
      <c r="C18" s="363" t="inlineStr">
        <is>
          <t>Постановление Правительства РФ от 21.06.10 г. № 468</t>
        </is>
      </c>
      <c r="D18" s="165" t="n">
        <v>0.0214</v>
      </c>
    </row>
    <row r="19" ht="31.5" customHeight="1" s="328">
      <c r="B19" s="363" t="inlineStr">
        <is>
          <t>Авторский надзор - 0,2%</t>
        </is>
      </c>
      <c r="C19" s="363" t="inlineStr">
        <is>
          <t>Приказ от 4.08.2020 № 421/пр п.173</t>
        </is>
      </c>
      <c r="D19" s="165" t="n">
        <v>0.002</v>
      </c>
    </row>
    <row r="20" ht="24" customHeight="1" s="328">
      <c r="B20" s="363" t="inlineStr">
        <is>
          <t>Непредвиденные расходы</t>
        </is>
      </c>
      <c r="C20" s="363" t="inlineStr">
        <is>
          <t>Приказ от 4.08.2020 № 421/пр п.179</t>
        </is>
      </c>
      <c r="D20" s="165" t="n">
        <v>0.03</v>
      </c>
    </row>
    <row r="21" ht="18.75" customHeight="1" s="328">
      <c r="B21" s="220" t="n"/>
    </row>
    <row r="22" ht="18.75" customHeight="1" s="328">
      <c r="B22" s="220" t="n"/>
    </row>
    <row r="23" ht="18.75" customHeight="1" s="328">
      <c r="B23" s="220" t="n"/>
    </row>
    <row r="24" ht="18.75" customHeight="1" s="328">
      <c r="B24" s="220" t="n"/>
    </row>
    <row r="27">
      <c r="B27" s="312" t="inlineStr">
        <is>
          <t>Составил ______________________        Е.А. Князева</t>
        </is>
      </c>
      <c r="C27" s="313" t="n"/>
    </row>
    <row r="28">
      <c r="B28" s="315" t="inlineStr">
        <is>
          <t xml:space="preserve">                         (подпись, инициалы, фамилия)</t>
        </is>
      </c>
      <c r="C28" s="313" t="n"/>
    </row>
    <row r="29">
      <c r="B29" s="312" t="n"/>
      <c r="C29" s="313" t="n"/>
    </row>
    <row r="30">
      <c r="B30" s="312" t="inlineStr">
        <is>
          <t>Проверил ______________________        А.В. Костянецкая</t>
        </is>
      </c>
      <c r="C30" s="313" t="n"/>
    </row>
    <row r="31">
      <c r="B31" s="315" t="inlineStr">
        <is>
          <t xml:space="preserve">                        (подпись, инициалы, фамилия)</t>
        </is>
      </c>
      <c r="C31" s="313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J28" sqref="J28"/>
    </sheetView>
  </sheetViews>
  <sheetFormatPr baseColWidth="8" defaultColWidth="9.140625" defaultRowHeight="15"/>
  <cols>
    <col width="44.85546875" customWidth="1" style="328" min="2" max="2"/>
    <col width="13" customWidth="1" style="328" min="3" max="3"/>
    <col width="22.85546875" customWidth="1" style="328" min="4" max="4"/>
    <col width="21.5703125" customWidth="1" style="328" min="5" max="5"/>
    <col width="43.85546875" customWidth="1" style="328" min="6" max="6"/>
  </cols>
  <sheetData>
    <row r="1" s="328"/>
    <row r="2" ht="17.25" customHeight="1" s="328">
      <c r="A2" s="358" t="inlineStr">
        <is>
          <t>Расчет размера средств на оплату труда рабочих-строителей в текущем уровне цен (ФОТр.тек.)</t>
        </is>
      </c>
    </row>
    <row r="3" s="328"/>
    <row r="4" ht="18" customHeight="1" s="328">
      <c r="A4" s="329" t="inlineStr">
        <is>
          <t>Составлен в уровне цен на 01.01.2023 г.</t>
        </is>
      </c>
      <c r="B4" s="330" t="n"/>
      <c r="C4" s="330" t="n"/>
      <c r="D4" s="330" t="n"/>
      <c r="E4" s="330" t="n"/>
      <c r="F4" s="330" t="n"/>
      <c r="G4" s="330" t="n"/>
    </row>
    <row r="5" ht="15.75" customHeight="1" s="328">
      <c r="A5" s="331" t="inlineStr">
        <is>
          <t>№ пп.</t>
        </is>
      </c>
      <c r="B5" s="331" t="inlineStr">
        <is>
          <t>Наименование элемента</t>
        </is>
      </c>
      <c r="C5" s="331" t="inlineStr">
        <is>
          <t>Обозначение</t>
        </is>
      </c>
      <c r="D5" s="331" t="inlineStr">
        <is>
          <t>Формула</t>
        </is>
      </c>
      <c r="E5" s="331" t="inlineStr">
        <is>
          <t>Величина элемента</t>
        </is>
      </c>
      <c r="F5" s="331" t="inlineStr">
        <is>
          <t>Наименования обосновывающих документов</t>
        </is>
      </c>
      <c r="G5" s="330" t="n"/>
    </row>
    <row r="6" ht="15.75" customHeight="1" s="328">
      <c r="A6" s="331" t="n">
        <v>1</v>
      </c>
      <c r="B6" s="331" t="n">
        <v>2</v>
      </c>
      <c r="C6" s="331" t="n">
        <v>3</v>
      </c>
      <c r="D6" s="331" t="n">
        <v>4</v>
      </c>
      <c r="E6" s="331" t="n">
        <v>5</v>
      </c>
      <c r="F6" s="331" t="n">
        <v>6</v>
      </c>
      <c r="G6" s="330" t="n"/>
    </row>
    <row r="7" ht="110.25" customHeight="1" s="328">
      <c r="A7" s="332" t="inlineStr">
        <is>
          <t>1.1</t>
        </is>
      </c>
      <c r="B7" s="337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63" t="inlineStr">
        <is>
          <t>С1ср</t>
        </is>
      </c>
      <c r="D7" s="363" t="inlineStr">
        <is>
          <t>-</t>
        </is>
      </c>
      <c r="E7" s="335" t="n">
        <v>47872.94</v>
      </c>
      <c r="F7" s="337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30" t="n"/>
    </row>
    <row r="8" ht="31.5" customHeight="1" s="328">
      <c r="A8" s="332" t="inlineStr">
        <is>
          <t>1.2</t>
        </is>
      </c>
      <c r="B8" s="337" t="inlineStr">
        <is>
          <t>Среднегодовое нормативное число часов работы одного рабочего в месяц, часы (ч.)</t>
        </is>
      </c>
      <c r="C8" s="363" t="inlineStr">
        <is>
          <t>tср</t>
        </is>
      </c>
      <c r="D8" s="363" t="inlineStr">
        <is>
          <t>1973ч/12мес.</t>
        </is>
      </c>
      <c r="E8" s="336">
        <f>1973/12</f>
        <v/>
      </c>
      <c r="F8" s="337" t="inlineStr">
        <is>
          <t>Производственный календарь 2023 год
(40-часов.неделя)</t>
        </is>
      </c>
      <c r="G8" s="339" t="n"/>
    </row>
    <row r="9" ht="15.75" customHeight="1" s="328">
      <c r="A9" s="332" t="inlineStr">
        <is>
          <t>1.3</t>
        </is>
      </c>
      <c r="B9" s="337" t="inlineStr">
        <is>
          <t>Коэффициент увеличения</t>
        </is>
      </c>
      <c r="C9" s="363" t="inlineStr">
        <is>
          <t>Кув</t>
        </is>
      </c>
      <c r="D9" s="363" t="inlineStr">
        <is>
          <t>-</t>
        </is>
      </c>
      <c r="E9" s="336" t="n">
        <v>1</v>
      </c>
      <c r="F9" s="337" t="n"/>
      <c r="G9" s="339" t="n"/>
    </row>
    <row r="10" ht="15.75" customHeight="1" s="328">
      <c r="A10" s="332" t="inlineStr">
        <is>
          <t>1.4</t>
        </is>
      </c>
      <c r="B10" s="337" t="inlineStr">
        <is>
          <t>Средний разряд работ</t>
        </is>
      </c>
      <c r="C10" s="363" t="n"/>
      <c r="D10" s="363" t="n"/>
      <c r="E10" s="472" t="n">
        <v>3.8</v>
      </c>
      <c r="F10" s="337" t="inlineStr">
        <is>
          <t>РТМ</t>
        </is>
      </c>
      <c r="G10" s="339" t="n"/>
    </row>
    <row r="11" ht="78.75" customHeight="1" s="328">
      <c r="A11" s="332" t="inlineStr">
        <is>
          <t>1.5</t>
        </is>
      </c>
      <c r="B11" s="337" t="inlineStr">
        <is>
          <t>Тарифный коэффициент среднего разряда работ</t>
        </is>
      </c>
      <c r="C11" s="363" t="inlineStr">
        <is>
          <t>КТ</t>
        </is>
      </c>
      <c r="D11" s="363" t="inlineStr">
        <is>
          <t>-</t>
        </is>
      </c>
      <c r="E11" s="473" t="n">
        <v>1.308</v>
      </c>
      <c r="F11" s="337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30" t="n"/>
    </row>
    <row r="12" ht="78.75" customHeight="1" s="328">
      <c r="A12" s="332" t="inlineStr">
        <is>
          <t>1.6</t>
        </is>
      </c>
      <c r="B12" s="342" t="inlineStr">
        <is>
          <t>Коэффициент инфляции, определяемый поквартально</t>
        </is>
      </c>
      <c r="C12" s="363" t="inlineStr">
        <is>
          <t>Кинф</t>
        </is>
      </c>
      <c r="D12" s="363" t="inlineStr">
        <is>
          <t>-</t>
        </is>
      </c>
      <c r="E12" s="474" t="n">
        <v>1.139</v>
      </c>
      <c r="F12" s="344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39" t="n"/>
    </row>
    <row r="13" ht="63" customHeight="1" s="328">
      <c r="A13" s="345" t="inlineStr">
        <is>
          <t>1.7</t>
        </is>
      </c>
      <c r="B13" s="346" t="inlineStr">
        <is>
          <t>Размер средств на оплату труда рабочих-строителей в текущем уровне цен (ФОТр.тек.), руб/чел.-ч</t>
        </is>
      </c>
      <c r="C13" s="347" t="inlineStr">
        <is>
          <t>ФОТр.тек.</t>
        </is>
      </c>
      <c r="D13" s="347" t="inlineStr">
        <is>
          <t>(С1ср/tср*КТ*Т*Кув)*Кинф</t>
        </is>
      </c>
      <c r="E13" s="348">
        <f>((E7*E9/E8)*E11)*E12</f>
        <v/>
      </c>
      <c r="F13" s="349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30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2025-01-24T11:55:22Z</dcterms:modified>
  <cp:lastModifiedBy>REDMIBOOK</cp:lastModifiedBy>
  <cp:lastPrinted>2023-12-01T13:03:46Z</cp:lastPrinted>
</cp:coreProperties>
</file>