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00"/>
    <numFmt numFmtId="168" formatCode="_-* #,##0.00\ _₽_-;\-* #,##0.00\ _₽_-;_-* &quot;-&quot;??\ _₽_-;_-@_-"/>
    <numFmt numFmtId="169" formatCode="#,##0.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FF0000"/>
      <sz val="10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167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10" fontId="1" fillId="0" borderId="4" applyAlignment="1" pivotButton="0" quotePrefix="0" xfId="0">
      <alignment horizontal="right" vertical="center" wrapText="1"/>
    </xf>
    <xf numFmtId="166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8" applyAlignment="1" pivotButton="0" quotePrefix="0" xfId="0">
      <alignment horizontal="right" vertical="center" wrapText="1"/>
    </xf>
    <xf numFmtId="4" fontId="1" fillId="0" borderId="7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165" fontId="1" fillId="0" borderId="7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4" pivotButton="0" quotePrefix="0" xfId="0"/>
    <xf numFmtId="0" fontId="2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/>
    </xf>
    <xf numFmtId="10" fontId="16" fillId="0" borderId="0" applyAlignment="1" pivotButton="0" quotePrefix="0" xfId="0">
      <alignment horizontal="right" vertical="center"/>
    </xf>
    <xf numFmtId="10" fontId="22" fillId="0" borderId="0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10" fontId="1" fillId="0" borderId="0" applyAlignment="1" pivotButton="0" quotePrefix="0" xfId="0">
      <alignment horizontal="right" vertical="center"/>
    </xf>
    <xf numFmtId="0" fontId="16" fillId="0" borderId="4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16" fillId="4" borderId="1" applyAlignment="1" pivotButton="0" quotePrefix="1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20" fillId="0" borderId="1" applyAlignment="1" pivotButton="0" quotePrefix="0" xfId="0">
      <alignment horizontal="center" vertical="top"/>
    </xf>
    <xf numFmtId="4" fontId="0" fillId="0" borderId="1" applyAlignment="1" pivotButton="0" quotePrefix="0" xfId="0">
      <alignment horizontal="right" vertical="center" wrapText="1"/>
    </xf>
    <xf numFmtId="0" fontId="0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horizontal="right" vertical="center" wrapText="1"/>
    </xf>
    <xf numFmtId="49" fontId="1" fillId="0" borderId="9" applyAlignment="1" pivotButton="0" quotePrefix="0" xfId="0">
      <alignment horizontal="center" vertical="center" wrapText="1"/>
    </xf>
    <xf numFmtId="49" fontId="1" fillId="0" borderId="10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10" fontId="1" fillId="0" borderId="5" applyAlignment="1" pivotButton="0" quotePrefix="0" xfId="0">
      <alignment horizontal="right" vertical="center" wrapText="1"/>
    </xf>
    <xf numFmtId="168" fontId="4" fillId="0" borderId="0" pivotButton="0" quotePrefix="0" xfId="0"/>
    <xf numFmtId="49" fontId="1" fillId="0" borderId="0" applyAlignment="1" pivotButton="0" quotePrefix="0" xfId="0">
      <alignment horizontal="right"/>
    </xf>
    <xf numFmtId="2" fontId="22" fillId="0" borderId="0" pivotButton="0" quotePrefix="0" xfId="0"/>
    <xf numFmtId="10" fontId="23" fillId="0" borderId="0" applyAlignment="1" pivotButton="0" quotePrefix="0" xfId="0">
      <alignment horizontal="right" vertical="center"/>
    </xf>
    <xf numFmtId="1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4" fillId="0" borderId="4" applyAlignment="1" pivotButton="0" quotePrefix="0" xfId="0">
      <alignment vertical="center" wrapText="1"/>
    </xf>
    <xf numFmtId="4" fontId="24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43" fontId="1" fillId="0" borderId="10" applyAlignment="1" pivotButton="0" quotePrefix="0" xfId="0">
      <alignment horizontal="right" vertical="center" wrapText="1"/>
    </xf>
    <xf numFmtId="0" fontId="2" fillId="0" borderId="5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4" fontId="1" fillId="0" borderId="4" applyAlignment="1" pivotButton="0" quotePrefix="0" xfId="0">
      <alignment horizontal="right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2" applyAlignment="1" pivotButton="0" quotePrefix="0" xfId="0">
      <alignment horizontal="left" vertical="center" wrapText="1"/>
    </xf>
    <xf numFmtId="0" fontId="20" fillId="0" borderId="11" applyAlignment="1" pivotButton="0" quotePrefix="0" xfId="0">
      <alignment horizontal="left" vertical="center" wrapText="1"/>
    </xf>
    <xf numFmtId="0" fontId="20" fillId="0" borderId="10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11" applyAlignment="1" pivotButton="0" quotePrefix="0" xfId="0">
      <alignment vertical="top"/>
    </xf>
    <xf numFmtId="0" fontId="20" fillId="0" borderId="1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0" pivotButton="0" quotePrefix="0" xfId="0"/>
    <xf numFmtId="0" fontId="0" fillId="0" borderId="7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0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9" pivotButton="0" quotePrefix="0" xfId="0"/>
    <xf numFmtId="166" fontId="1" fillId="0" borderId="6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168" fontId="4" fillId="0" borderId="0" pivotButton="0" quotePrefix="0" xfId="0"/>
    <xf numFmtId="165" fontId="1" fillId="0" borderId="7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" zoomScale="60" zoomScaleNormal="70" workbookViewId="0">
      <selection activeCell="D28" sqref="D28"/>
    </sheetView>
  </sheetViews>
  <sheetFormatPr baseColWidth="8" defaultColWidth="9.140625" defaultRowHeight="15.75"/>
  <cols>
    <col width="9.140625" customWidth="1" style="239" min="1" max="2"/>
    <col width="51.7109375" customWidth="1" style="239" min="3" max="3"/>
    <col width="47" customWidth="1" style="239" min="4" max="4"/>
    <col width="37.42578125" customWidth="1" style="239" min="5" max="5"/>
    <col width="9.140625" customWidth="1" style="239" min="6" max="6"/>
  </cols>
  <sheetData>
    <row r="3">
      <c r="B3" s="266" t="inlineStr">
        <is>
          <t>Приложение № 1</t>
        </is>
      </c>
    </row>
    <row r="4">
      <c r="B4" s="267" t="inlineStr">
        <is>
          <t>Сравнительная таблица отбора объекта-представителя</t>
        </is>
      </c>
    </row>
    <row r="5" ht="84" customHeight="1" s="237">
      <c r="B5" s="2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7">
      <c r="B6" s="156" t="n"/>
      <c r="C6" s="156" t="n"/>
      <c r="D6" s="156" t="n"/>
    </row>
    <row r="7" ht="36.75" customHeight="1" s="237">
      <c r="B7" s="268" t="inlineStr">
        <is>
          <t xml:space="preserve">Наименование разрабатываемого показателя УНЦ - Автоматический пункт секционирования (реклоузера) 35 кВ без ПКУ </t>
        </is>
      </c>
    </row>
    <row r="8">
      <c r="B8" s="268" t="inlineStr">
        <is>
          <t>Сопоставимый уровень цен: 3 квартал 2014 года</t>
        </is>
      </c>
    </row>
    <row r="9" ht="15.75" customHeight="1" s="237">
      <c r="B9" s="268" t="inlineStr">
        <is>
          <t>Единица измерения  — 1 ед.</t>
        </is>
      </c>
    </row>
    <row r="10">
      <c r="B10" s="268" t="n"/>
    </row>
    <row r="11">
      <c r="B11" s="272" t="inlineStr">
        <is>
          <t>№ п/п</t>
        </is>
      </c>
      <c r="C11" s="272" t="inlineStr">
        <is>
          <t>Параметр</t>
        </is>
      </c>
      <c r="D11" s="272" t="inlineStr">
        <is>
          <t xml:space="preserve">Объект-представитель </t>
        </is>
      </c>
      <c r="E11" s="140" t="n"/>
    </row>
    <row r="12" ht="47.25" customHeight="1" s="237">
      <c r="B12" s="272" t="n">
        <v>1</v>
      </c>
      <c r="C12" s="251" t="inlineStr">
        <is>
          <t>Наименование объекта-представителя</t>
        </is>
      </c>
      <c r="D12" s="193" t="inlineStr">
        <is>
          <t xml:space="preserve">Установка вакуумного реклоузера Smart35
производства «Таврида Электрик»
на ВЛ-35 кВ «Пономаревская» </t>
        </is>
      </c>
    </row>
    <row r="13">
      <c r="B13" s="272" t="n">
        <v>2</v>
      </c>
      <c r="C13" s="251" t="inlineStr">
        <is>
          <t>Наименование субъекта Российской Федерации</t>
        </is>
      </c>
      <c r="D13" s="193" t="inlineStr">
        <is>
          <t>Архенгальская область</t>
        </is>
      </c>
    </row>
    <row r="14">
      <c r="B14" s="272" t="n">
        <v>3</v>
      </c>
      <c r="C14" s="251" t="inlineStr">
        <is>
          <t>Климатический район и подрайон</t>
        </is>
      </c>
      <c r="D14" s="194" t="inlineStr">
        <is>
          <t>IIА</t>
        </is>
      </c>
    </row>
    <row r="15">
      <c r="B15" s="272" t="n">
        <v>4</v>
      </c>
      <c r="C15" s="251" t="inlineStr">
        <is>
          <t>Мощность объекта</t>
        </is>
      </c>
      <c r="D15" s="193" t="n">
        <v>2</v>
      </c>
    </row>
    <row r="16" ht="63" customHeight="1" s="237">
      <c r="B16" s="272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Разъединитель 35 кВ, ОПН 35 кВ, Реклоузер напряжением 35 кВ</t>
        </is>
      </c>
    </row>
    <row r="17" ht="63" customHeight="1" s="237">
      <c r="B17" s="272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0">
        <f>D18+D19+D20+D21</f>
        <v/>
      </c>
      <c r="E17" s="155" t="n"/>
    </row>
    <row r="18">
      <c r="B18" s="226" t="inlineStr">
        <is>
          <t>6.1</t>
        </is>
      </c>
      <c r="C18" s="251" t="inlineStr">
        <is>
          <t>строительно-монтажные работы</t>
        </is>
      </c>
      <c r="D18" s="230" t="n">
        <v>137.26</v>
      </c>
    </row>
    <row r="19" ht="15.75" customHeight="1" s="237">
      <c r="B19" s="226" t="inlineStr">
        <is>
          <t>6.2</t>
        </is>
      </c>
      <c r="C19" s="251" t="inlineStr">
        <is>
          <t>оборудование и инвентарь</t>
        </is>
      </c>
      <c r="D19" s="230" t="n">
        <v>5074.12</v>
      </c>
    </row>
    <row r="20" ht="16.5" customHeight="1" s="237">
      <c r="B20" s="226" t="inlineStr">
        <is>
          <t>6.3</t>
        </is>
      </c>
      <c r="C20" s="251" t="inlineStr">
        <is>
          <t>пусконаладочные работы</t>
        </is>
      </c>
      <c r="D20" s="230" t="n"/>
    </row>
    <row r="21">
      <c r="B21" s="226" t="inlineStr">
        <is>
          <t>6.4</t>
        </is>
      </c>
      <c r="C21" s="138" t="inlineStr">
        <is>
          <t>прочие и лимитированные затраты</t>
        </is>
      </c>
      <c r="D21" s="230" t="n">
        <v>1125.61</v>
      </c>
    </row>
    <row r="22">
      <c r="B22" s="272" t="n">
        <v>7</v>
      </c>
      <c r="C22" s="138" t="inlineStr">
        <is>
          <t>Сопоставимый уровень цен</t>
        </is>
      </c>
      <c r="D22" s="231" t="inlineStr">
        <is>
          <t>3 квартал 2014 года</t>
        </is>
      </c>
      <c r="E22" s="136" t="n"/>
    </row>
    <row r="23" ht="78.75" customHeight="1" s="237">
      <c r="B23" s="272" t="n">
        <v>8</v>
      </c>
      <c r="C23" s="13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0">
        <f>D17</f>
        <v/>
      </c>
      <c r="E23" s="155" t="n"/>
    </row>
    <row r="24" ht="31.5" customHeight="1" s="237">
      <c r="B24" s="272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230">
        <f>D23/D15</f>
        <v/>
      </c>
      <c r="E24" s="136" t="n"/>
    </row>
    <row r="25">
      <c r="B25" s="272" t="n">
        <v>10</v>
      </c>
      <c r="C25" s="251" t="inlineStr">
        <is>
          <t>Примечание</t>
        </is>
      </c>
      <c r="D25" s="272" t="n"/>
    </row>
    <row r="26">
      <c r="B26" s="134" t="n"/>
      <c r="C26" s="133" t="n"/>
      <c r="D26" s="133" t="n"/>
    </row>
    <row r="27" ht="37.5" customHeight="1" s="237">
      <c r="B27" s="132" t="n"/>
    </row>
    <row r="28">
      <c r="B28" s="239" t="inlineStr">
        <is>
          <t>Составил ______________________    Д.А. Самуйленко</t>
        </is>
      </c>
    </row>
    <row r="29">
      <c r="B29" s="132" t="inlineStr">
        <is>
          <t xml:space="preserve">                         (подпись, инициалы, фамилия)</t>
        </is>
      </c>
    </row>
    <row r="31">
      <c r="B31" s="239" t="inlineStr">
        <is>
          <t>Проверил ______________________        А.В. Костянецкая</t>
        </is>
      </c>
    </row>
    <row r="32">
      <c r="B32" s="13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239" min="1" max="1"/>
    <col width="9.140625" customWidth="1" style="239" min="2" max="2"/>
    <col width="35.28515625" customWidth="1" style="239" min="3" max="3"/>
    <col width="13.85546875" customWidth="1" style="239" min="4" max="4"/>
    <col width="24.85546875" customWidth="1" style="239" min="5" max="5"/>
    <col width="15.5703125" customWidth="1" style="239" min="6" max="6"/>
    <col width="14.85546875" customWidth="1" style="239" min="7" max="7"/>
    <col width="16.7109375" customWidth="1" style="239" min="8" max="8"/>
    <col width="13" customWidth="1" style="239" min="9" max="10"/>
    <col width="18" customWidth="1" style="239" min="11" max="11"/>
    <col width="9.140625" customWidth="1" style="239" min="12" max="12"/>
  </cols>
  <sheetData>
    <row r="3">
      <c r="B3" s="266" t="inlineStr">
        <is>
          <t>Приложение № 2</t>
        </is>
      </c>
      <c r="K3" s="132" t="n"/>
    </row>
    <row r="4">
      <c r="B4" s="267" t="inlineStr">
        <is>
          <t>Расчет стоимости основных видов работ для выбора объекта-представителя</t>
        </is>
      </c>
    </row>
    <row r="5">
      <c r="B5" s="282" t="n"/>
      <c r="C5" s="282" t="n"/>
      <c r="D5" s="282" t="n"/>
      <c r="E5" s="282" t="n"/>
      <c r="F5" s="282" t="n"/>
      <c r="G5" s="282" t="n"/>
      <c r="H5" s="282" t="n"/>
      <c r="I5" s="282" t="n"/>
      <c r="J5" s="282" t="n"/>
      <c r="K5" s="282" t="n"/>
    </row>
    <row r="6">
      <c r="B6" s="268">
        <f>'Прил.1 Сравнит табл'!B7:D7</f>
        <v/>
      </c>
    </row>
    <row r="7">
      <c r="B7" s="268">
        <f>'Прил.1 Сравнит табл'!B9:D9</f>
        <v/>
      </c>
    </row>
    <row r="8" ht="18.75" customHeight="1" s="237">
      <c r="B8" s="110" t="n"/>
    </row>
    <row r="9" ht="15.75" customHeight="1" s="237">
      <c r="B9" s="272" t="inlineStr">
        <is>
          <t>№ п/п</t>
        </is>
      </c>
      <c r="C9" s="27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2" t="inlineStr">
        <is>
          <t>Объект-представитель 1</t>
        </is>
      </c>
      <c r="E9" s="361" t="n"/>
      <c r="F9" s="361" t="n"/>
      <c r="G9" s="361" t="n"/>
      <c r="H9" s="361" t="n"/>
      <c r="I9" s="361" t="n"/>
      <c r="J9" s="362" t="n"/>
    </row>
    <row r="10" ht="15.75" customHeight="1" s="237">
      <c r="B10" s="363" t="n"/>
      <c r="C10" s="363" t="n"/>
      <c r="D10" s="272" t="inlineStr">
        <is>
          <t>Номер сметы</t>
        </is>
      </c>
      <c r="E10" s="272" t="inlineStr">
        <is>
          <t>Наименование сметы</t>
        </is>
      </c>
      <c r="F10" s="272" t="inlineStr">
        <is>
          <t>Сметная стоимость в уровне цен 3 кв. 2014 г., тыс. руб.</t>
        </is>
      </c>
      <c r="G10" s="361" t="n"/>
      <c r="H10" s="361" t="n"/>
      <c r="I10" s="361" t="n"/>
      <c r="J10" s="362" t="n"/>
    </row>
    <row r="11" ht="31.5" customHeight="1" s="237">
      <c r="B11" s="364" t="n"/>
      <c r="C11" s="364" t="n"/>
      <c r="D11" s="364" t="n"/>
      <c r="E11" s="364" t="n"/>
      <c r="F11" s="272" t="inlineStr">
        <is>
          <t>Строительные работы</t>
        </is>
      </c>
      <c r="G11" s="272" t="inlineStr">
        <is>
          <t>Монтажные работы</t>
        </is>
      </c>
      <c r="H11" s="272" t="inlineStr">
        <is>
          <t>Оборудование</t>
        </is>
      </c>
      <c r="I11" s="272" t="inlineStr">
        <is>
          <t>Прочее</t>
        </is>
      </c>
      <c r="J11" s="272" t="inlineStr">
        <is>
          <t>Всего</t>
        </is>
      </c>
    </row>
    <row r="12" ht="31.5" customHeight="1" s="237">
      <c r="B12" s="272" t="n">
        <v>1</v>
      </c>
      <c r="C12" s="195" t="inlineStr">
        <is>
          <t>Разъединитель 35 кВ, ОПН 35 кВ, Реклоузер напряжением 35 кВ</t>
        </is>
      </c>
      <c r="D12" s="226" t="inlineStr">
        <is>
          <t>2-1</t>
        </is>
      </c>
      <c r="E12" s="272" t="inlineStr">
        <is>
          <t>Монтаж реклоузеров</t>
        </is>
      </c>
      <c r="F12" s="230">
        <f>20185*6.8/1000</f>
        <v/>
      </c>
      <c r="G12" s="230" t="n"/>
      <c r="H12" s="230">
        <f>1255971*4.04/1000</f>
        <v/>
      </c>
      <c r="I12" s="230">
        <f>141943*7.93/1000</f>
        <v/>
      </c>
      <c r="J12" s="230">
        <f>SUM(F12:I12)</f>
        <v/>
      </c>
    </row>
    <row r="13" ht="15" customHeight="1" s="237">
      <c r="B13" s="270" t="inlineStr">
        <is>
          <t>Всего по объекту:</t>
        </is>
      </c>
      <c r="C13" s="365" t="n"/>
      <c r="D13" s="365" t="n"/>
      <c r="E13" s="366" t="n"/>
      <c r="F13" s="228">
        <f>SUM(F12)</f>
        <v/>
      </c>
      <c r="G13" s="228" t="n"/>
      <c r="H13" s="228">
        <f>SUM(H12)</f>
        <v/>
      </c>
      <c r="I13" s="228">
        <f>SUM(I12)</f>
        <v/>
      </c>
      <c r="J13" s="228">
        <f>SUM(J12)</f>
        <v/>
      </c>
    </row>
    <row r="14" ht="15.75" customHeight="1" s="237">
      <c r="B14" s="271" t="inlineStr">
        <is>
          <t>Всего по объекту в сопоставимом уровне цен 3 кв. 2014 г:</t>
        </is>
      </c>
      <c r="C14" s="361" t="n"/>
      <c r="D14" s="361" t="n"/>
      <c r="E14" s="362" t="n"/>
      <c r="F14" s="229">
        <f>F13</f>
        <v/>
      </c>
      <c r="G14" s="229" t="n"/>
      <c r="H14" s="229">
        <f>H13</f>
        <v/>
      </c>
      <c r="I14" s="229">
        <f>I13</f>
        <v/>
      </c>
      <c r="J14" s="229">
        <f>J13</f>
        <v/>
      </c>
    </row>
    <row r="15" ht="15" customHeight="1" s="237"/>
    <row r="16" ht="15" customHeight="1" s="237"/>
    <row r="17" ht="15" customHeight="1" s="237"/>
    <row r="18" ht="15" customHeight="1" s="237">
      <c r="C18" s="220" t="inlineStr">
        <is>
          <t>Составил ______________________     Д.А. Самуйленко</t>
        </is>
      </c>
      <c r="D18" s="221" t="n"/>
      <c r="E18" s="221" t="n"/>
    </row>
    <row r="19" ht="15" customHeight="1" s="237">
      <c r="C19" s="223" t="inlineStr">
        <is>
          <t xml:space="preserve">                         (подпись, инициалы, фамилия)</t>
        </is>
      </c>
      <c r="D19" s="221" t="n"/>
      <c r="E19" s="221" t="n"/>
    </row>
    <row r="20" ht="15" customHeight="1" s="237">
      <c r="C20" s="220" t="n"/>
      <c r="D20" s="221" t="n"/>
      <c r="E20" s="221" t="n"/>
    </row>
    <row r="21" ht="15" customHeight="1" s="237">
      <c r="C21" s="220" t="inlineStr">
        <is>
          <t>Проверил ______________________        А.В. Костянецкая</t>
        </is>
      </c>
      <c r="D21" s="221" t="n"/>
      <c r="E21" s="221" t="n"/>
    </row>
    <row r="22" ht="15" customHeight="1" s="237">
      <c r="C22" s="223" t="inlineStr">
        <is>
          <t xml:space="preserve">                        (подпись, инициалы, фамилия)</t>
        </is>
      </c>
      <c r="D22" s="221" t="n"/>
      <c r="E22" s="221" t="n"/>
    </row>
    <row r="23" ht="15" customHeight="1" s="237"/>
    <row r="24" ht="15" customHeight="1" s="237"/>
    <row r="25" ht="15" customHeight="1" s="237"/>
    <row r="26" ht="15" customHeight="1" s="237"/>
    <row r="27" ht="15" customHeight="1" s="237"/>
    <row r="28" ht="15" customHeight="1" s="23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9"/>
  <sheetViews>
    <sheetView view="pageBreakPreview" topLeftCell="A58" zoomScaleSheetLayoutView="100" workbookViewId="0">
      <selection activeCell="G68" sqref="G67:G68"/>
    </sheetView>
  </sheetViews>
  <sheetFormatPr baseColWidth="8" defaultColWidth="9.140625" defaultRowHeight="15.75"/>
  <cols>
    <col width="9.140625" customWidth="1" style="239" min="1" max="1"/>
    <col width="12.5703125" customWidth="1" style="239" min="2" max="2"/>
    <col width="22.42578125" customWidth="1" style="239" min="3" max="3"/>
    <col width="49.7109375" customWidth="1" style="239" min="4" max="4"/>
    <col width="10.140625" customWidth="1" style="239" min="5" max="5"/>
    <col width="20.7109375" customWidth="1" style="239" min="6" max="6"/>
    <col width="20" customWidth="1" style="239" min="7" max="7"/>
    <col width="16.7109375" customWidth="1" style="239" min="8" max="8"/>
    <col width="9.140625" customWidth="1" style="239" min="9" max="9"/>
    <col width="11.28515625" customWidth="1" style="239" min="10" max="10"/>
    <col width="15" customWidth="1" style="239" min="11" max="11"/>
    <col width="9.140625" customWidth="1" style="239" min="12" max="12"/>
  </cols>
  <sheetData>
    <row r="2" s="237">
      <c r="A2" s="239" t="n"/>
      <c r="B2" s="239" t="n"/>
      <c r="C2" s="239" t="n"/>
      <c r="D2" s="239" t="n"/>
      <c r="E2" s="239" t="n"/>
      <c r="F2" s="239" t="n"/>
      <c r="G2" s="239" t="n"/>
      <c r="H2" s="239" t="n"/>
      <c r="I2" s="239" t="n"/>
      <c r="J2" s="239" t="n"/>
      <c r="K2" s="239" t="n"/>
      <c r="L2" s="239" t="n"/>
    </row>
    <row r="3">
      <c r="A3" s="266" t="inlineStr">
        <is>
          <t xml:space="preserve">Приложение № 3 </t>
        </is>
      </c>
    </row>
    <row r="4">
      <c r="A4" s="267" t="inlineStr">
        <is>
          <t>Объектная ресурсная ведомость</t>
        </is>
      </c>
    </row>
    <row r="5" ht="18.75" customHeight="1" s="237">
      <c r="A5" s="158" t="n"/>
      <c r="B5" s="158" t="n"/>
      <c r="C5" s="284" t="n"/>
    </row>
    <row r="6">
      <c r="A6" s="268" t="n"/>
    </row>
    <row r="7">
      <c r="A7" s="282" t="inlineStr">
        <is>
          <t xml:space="preserve">Наименование разрабатываемого показателя УНЦ -  Автоматический пункт секционирования (реклоузера) 35 кВ без ПКУ </t>
        </is>
      </c>
    </row>
    <row r="8">
      <c r="A8" s="142" t="n"/>
      <c r="B8" s="142" t="n"/>
      <c r="C8" s="142" t="n"/>
      <c r="D8" s="142" t="n"/>
      <c r="E8" s="142" t="n"/>
      <c r="F8" s="142" t="n"/>
      <c r="G8" s="142" t="n"/>
      <c r="H8" s="142" t="n"/>
    </row>
    <row r="9" ht="38.25" customHeight="1" s="237">
      <c r="A9" s="272" t="inlineStr">
        <is>
          <t>п/п</t>
        </is>
      </c>
      <c r="B9" s="272" t="inlineStr">
        <is>
          <t>№ЛСР</t>
        </is>
      </c>
      <c r="C9" s="272" t="inlineStr">
        <is>
          <t>Код ресурса</t>
        </is>
      </c>
      <c r="D9" s="272" t="inlineStr">
        <is>
          <t>Наименование ресурса</t>
        </is>
      </c>
      <c r="E9" s="272" t="inlineStr">
        <is>
          <t>Ед. изм.</t>
        </is>
      </c>
      <c r="F9" s="272" t="inlineStr">
        <is>
          <t>Кол-во единиц по данным объекта-представителя</t>
        </is>
      </c>
      <c r="G9" s="272" t="inlineStr">
        <is>
          <t>Сметная стоимость в ценах на 01.01.2000 (руб.)</t>
        </is>
      </c>
      <c r="H9" s="362" t="n"/>
    </row>
    <row r="10" ht="40.5" customHeight="1" s="237">
      <c r="A10" s="364" t="n"/>
      <c r="B10" s="364" t="n"/>
      <c r="C10" s="364" t="n"/>
      <c r="D10" s="364" t="n"/>
      <c r="E10" s="364" t="n"/>
      <c r="F10" s="364" t="n"/>
      <c r="G10" s="272" t="inlineStr">
        <is>
          <t>на ед.изм.</t>
        </is>
      </c>
      <c r="H10" s="272" t="inlineStr">
        <is>
          <t>общая</t>
        </is>
      </c>
    </row>
    <row r="11">
      <c r="A11" s="256" t="n">
        <v>1</v>
      </c>
      <c r="B11" s="256" t="n"/>
      <c r="C11" s="256" t="n">
        <v>2</v>
      </c>
      <c r="D11" s="256" t="inlineStr">
        <is>
          <t>З</t>
        </is>
      </c>
      <c r="E11" s="256" t="n">
        <v>4</v>
      </c>
      <c r="F11" s="256" t="n">
        <v>5</v>
      </c>
      <c r="G11" s="256" t="n">
        <v>6</v>
      </c>
      <c r="H11" s="256" t="n">
        <v>7</v>
      </c>
      <c r="J11" s="220" t="n"/>
      <c r="K11" s="209" t="n"/>
    </row>
    <row r="12" customFormat="1" s="216">
      <c r="A12" s="276" t="inlineStr">
        <is>
          <t>Затраты труда рабочих</t>
        </is>
      </c>
      <c r="B12" s="361" t="n"/>
      <c r="C12" s="361" t="n"/>
      <c r="D12" s="361" t="n"/>
      <c r="E12" s="362" t="n"/>
      <c r="F12" s="367">
        <f>SUM(F13:F15)</f>
        <v/>
      </c>
      <c r="G12" s="10" t="n"/>
      <c r="H12" s="367">
        <f>SUM(H13:H15)</f>
        <v/>
      </c>
      <c r="J12" s="210" t="n"/>
      <c r="K12" s="220" t="n"/>
    </row>
    <row r="13" customFormat="1" s="216">
      <c r="A13" s="7" t="n">
        <v>1</v>
      </c>
      <c r="B13" s="159" t="n"/>
      <c r="C13" s="197" t="inlineStr">
        <is>
          <t>1-4-0</t>
        </is>
      </c>
      <c r="D13" s="189" t="inlineStr">
        <is>
          <t>Затраты труда рабочих (средний разряд работы 4)</t>
        </is>
      </c>
      <c r="E13" s="314" t="inlineStr">
        <is>
          <t>чел.час</t>
        </is>
      </c>
      <c r="F13" s="197" t="n">
        <v>460.47</v>
      </c>
      <c r="G13" s="190" t="n">
        <v>9.619999999999999</v>
      </c>
      <c r="H13" s="26">
        <f>ROUND(F13*G13,2)</f>
        <v/>
      </c>
      <c r="J13" s="220" t="n"/>
      <c r="K13" s="209" t="n"/>
    </row>
    <row r="14" customFormat="1" s="216">
      <c r="A14" s="7" t="n">
        <v>2</v>
      </c>
      <c r="B14" s="159" t="n"/>
      <c r="C14" s="197" t="inlineStr">
        <is>
          <t>1-3-9</t>
        </is>
      </c>
      <c r="D14" s="189" t="inlineStr">
        <is>
          <t>Затраты труда рабочих (средний разряд работы 3.9)</t>
        </is>
      </c>
      <c r="E14" s="314" t="inlineStr">
        <is>
          <t>чел.час</t>
        </is>
      </c>
      <c r="F14" s="197" t="n">
        <v>10.66</v>
      </c>
      <c r="G14" s="190" t="n">
        <v>9.51</v>
      </c>
      <c r="H14" s="26">
        <f>ROUND(F14*G14,2)</f>
        <v/>
      </c>
      <c r="J14" s="220" t="n"/>
      <c r="K14" s="209" t="n"/>
    </row>
    <row r="15" customFormat="1" s="216">
      <c r="A15" s="7" t="n">
        <v>3</v>
      </c>
      <c r="B15" s="159" t="n"/>
      <c r="C15" s="197" t="inlineStr">
        <is>
          <t>1-4-2</t>
        </is>
      </c>
      <c r="D15" s="189" t="inlineStr">
        <is>
          <t>Затраты труда рабочих (средний разряд работы 4.2)</t>
        </is>
      </c>
      <c r="E15" s="314" t="inlineStr">
        <is>
          <t>чел.час</t>
        </is>
      </c>
      <c r="F15" s="197" t="n">
        <v>8.15</v>
      </c>
      <c r="G15" s="190" t="n">
        <v>9.92</v>
      </c>
      <c r="H15" s="26">
        <f>ROUND(F15*G15,2)</f>
        <v/>
      </c>
      <c r="J15" s="220" t="n"/>
      <c r="K15" s="209" t="n"/>
    </row>
    <row r="16" ht="15.75" customHeight="1" s="237">
      <c r="A16" s="283" t="inlineStr">
        <is>
          <t>Затраты труда машинистов</t>
        </is>
      </c>
      <c r="B16" s="361" t="n"/>
      <c r="C16" s="361" t="n"/>
      <c r="D16" s="361" t="n"/>
      <c r="E16" s="362" t="n"/>
      <c r="F16" s="276" t="n"/>
      <c r="G16" s="144" t="n"/>
      <c r="H16" s="367">
        <f>H17</f>
        <v/>
      </c>
    </row>
    <row r="17">
      <c r="A17" s="290" t="n">
        <v>4</v>
      </c>
      <c r="B17" s="159" t="n"/>
      <c r="C17" s="166" t="n">
        <v>2</v>
      </c>
      <c r="D17" s="293" t="inlineStr">
        <is>
          <t>Затраты труда машинистов</t>
        </is>
      </c>
      <c r="E17" s="290" t="inlineStr">
        <is>
          <t>чел.-ч</t>
        </is>
      </c>
      <c r="F17" s="290" t="n">
        <v>39.79</v>
      </c>
      <c r="G17" s="26" t="n"/>
      <c r="H17" s="26" t="n">
        <v>532.2786</v>
      </c>
    </row>
    <row r="18" customFormat="1" s="216">
      <c r="A18" s="276" t="inlineStr">
        <is>
          <t>Машины и механизмы</t>
        </is>
      </c>
      <c r="B18" s="361" t="n"/>
      <c r="C18" s="361" t="n"/>
      <c r="D18" s="361" t="n"/>
      <c r="E18" s="362" t="n"/>
      <c r="F18" s="276" t="n"/>
      <c r="G18" s="144" t="n"/>
      <c r="H18" s="367">
        <f>SUM(H19:H27)</f>
        <v/>
      </c>
    </row>
    <row r="19" ht="25.5" customFormat="1" customHeight="1" s="216">
      <c r="A19" s="7" t="n">
        <v>5</v>
      </c>
      <c r="B19" s="276" t="n"/>
      <c r="C19" s="166" t="inlineStr">
        <is>
          <t>91.05.05-014</t>
        </is>
      </c>
      <c r="D19" s="293" t="inlineStr">
        <is>
          <t>Краны на автомобильном ходу, грузоподъемность 10 т</t>
        </is>
      </c>
      <c r="E19" s="290" t="inlineStr">
        <is>
          <t>маш.-ч</t>
        </is>
      </c>
      <c r="F19" s="290" t="n">
        <v>35.7</v>
      </c>
      <c r="G19" s="313" t="n">
        <v>111.99</v>
      </c>
      <c r="H19" s="26">
        <f>ROUND(F19*G19,2)</f>
        <v/>
      </c>
      <c r="J19" s="191" t="n"/>
      <c r="K19" s="211" t="n"/>
    </row>
    <row r="20" customFormat="1" s="216">
      <c r="A20" s="7" t="n">
        <v>6</v>
      </c>
      <c r="B20" s="276" t="n"/>
      <c r="C20" s="166" t="inlineStr">
        <is>
          <t>91.14.02-001</t>
        </is>
      </c>
      <c r="D20" s="293" t="inlineStr">
        <is>
          <t>Автомобили бортовые, грузоподъемность до 5 т</t>
        </is>
      </c>
      <c r="E20" s="290" t="inlineStr">
        <is>
          <t>маш.-ч</t>
        </is>
      </c>
      <c r="F20" s="290" t="n">
        <v>7.74</v>
      </c>
      <c r="G20" s="313" t="n">
        <v>65.70999999999999</v>
      </c>
      <c r="H20" s="26">
        <f>ROUND(F20*G20,2)</f>
        <v/>
      </c>
      <c r="J20" s="191" t="n"/>
    </row>
    <row r="21" customFormat="1" s="216">
      <c r="A21" s="7" t="n">
        <v>7</v>
      </c>
      <c r="B21" s="276" t="n"/>
      <c r="C21" s="166" t="inlineStr">
        <is>
          <t>91.06.06-014</t>
        </is>
      </c>
      <c r="D21" s="293" t="inlineStr">
        <is>
          <t>Автогидроподъемники, высота подъема 28 м</t>
        </is>
      </c>
      <c r="E21" s="290" t="inlineStr">
        <is>
          <t>маш.-ч</t>
        </is>
      </c>
      <c r="F21" s="166" t="n">
        <v>1.11</v>
      </c>
      <c r="G21" s="313" t="n">
        <v>243.49</v>
      </c>
      <c r="H21" s="26">
        <f>ROUND(F21*G21,2)</f>
        <v/>
      </c>
      <c r="J21" s="191" t="n"/>
    </row>
    <row r="22" ht="25.5" customFormat="1" customHeight="1" s="216">
      <c r="A22" s="7" t="n">
        <v>8</v>
      </c>
      <c r="B22" s="276" t="n"/>
      <c r="C22" s="166" t="inlineStr">
        <is>
          <t>91.06.03-058</t>
        </is>
      </c>
      <c r="D22" s="293" t="inlineStr">
        <is>
          <t>Лебедки электрические тяговым усилием 156,96 кН (16 т)</t>
        </is>
      </c>
      <c r="E22" s="290" t="inlineStr">
        <is>
          <t>маш.час</t>
        </is>
      </c>
      <c r="F22" s="290" t="n">
        <v>1.68</v>
      </c>
      <c r="G22" s="313" t="n">
        <v>131.44</v>
      </c>
      <c r="H22" s="26">
        <f>ROUND(F22*G22,2)</f>
        <v/>
      </c>
      <c r="J22" s="191" t="n"/>
    </row>
    <row r="23" ht="25.5" customFormat="1" customHeight="1" s="216">
      <c r="A23" s="7" t="n">
        <v>9</v>
      </c>
      <c r="B23" s="276" t="n"/>
      <c r="C23" s="166" t="inlineStr">
        <is>
          <t>040502</t>
        </is>
      </c>
      <c r="D23" s="293" t="inlineStr">
        <is>
          <t>Установки для сварки ручной дуговой (постоянного тока)</t>
        </is>
      </c>
      <c r="E23" s="290" t="inlineStr">
        <is>
          <t>маш.час</t>
        </is>
      </c>
      <c r="F23" s="290" t="n">
        <v>26.26</v>
      </c>
      <c r="G23" s="313" t="n">
        <v>8.1</v>
      </c>
      <c r="H23" s="26">
        <f>ROUND(F23*G23,2)</f>
        <v/>
      </c>
      <c r="J23" s="191" t="n"/>
    </row>
    <row r="24" ht="38.25" customFormat="1" customHeight="1" s="216">
      <c r="A24" s="7" t="n">
        <v>10</v>
      </c>
      <c r="B24" s="276" t="n"/>
      <c r="C24" s="166" t="inlineStr">
        <is>
          <t>050101</t>
        </is>
      </c>
      <c r="D24" s="293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24" s="290" t="inlineStr">
        <is>
          <t>маш.час</t>
        </is>
      </c>
      <c r="F24" s="290" t="n">
        <v>0.66</v>
      </c>
      <c r="G24" s="313" t="n">
        <v>90</v>
      </c>
      <c r="H24" s="26">
        <f>ROUND(F24*G24,2)</f>
        <v/>
      </c>
      <c r="J24" s="191" t="n"/>
    </row>
    <row r="25" ht="25.5" customFormat="1" customHeight="1" s="216">
      <c r="A25" s="7" t="n">
        <v>11</v>
      </c>
      <c r="B25" s="276" t="n"/>
      <c r="C25" s="166" t="inlineStr">
        <is>
          <t>010312</t>
        </is>
      </c>
      <c r="D25" s="293" t="inlineStr">
        <is>
          <t>Тракторы на гусеничном ходу при работе на других видах строительства 79 кВт (108 л.с.)</t>
        </is>
      </c>
      <c r="E25" s="290" t="inlineStr">
        <is>
          <t>маш.час</t>
        </is>
      </c>
      <c r="F25" s="290" t="n">
        <v>0.64</v>
      </c>
      <c r="G25" s="313" t="n">
        <v>83.09999999999999</v>
      </c>
      <c r="H25" s="26">
        <f>ROUND(F25*G25,2)</f>
        <v/>
      </c>
      <c r="J25" s="191" t="n"/>
    </row>
    <row r="26" customFormat="1" s="216">
      <c r="A26" s="7" t="n">
        <v>12</v>
      </c>
      <c r="B26" s="276" t="n"/>
      <c r="C26" s="166" t="n">
        <v>161300</v>
      </c>
      <c r="D26" s="293" t="inlineStr">
        <is>
          <t>Тележки раскаточные на гусеничном ходу</t>
        </is>
      </c>
      <c r="E26" s="290" t="inlineStr">
        <is>
          <t>маш.час</t>
        </is>
      </c>
      <c r="F26" s="290" t="n">
        <v>0.16</v>
      </c>
      <c r="G26" s="313" t="n">
        <v>17.14</v>
      </c>
      <c r="H26" s="26">
        <f>ROUND(F26*G26,2)</f>
        <v/>
      </c>
      <c r="J26" s="191" t="n"/>
    </row>
    <row r="27" ht="25.5" customFormat="1" customHeight="1" s="216">
      <c r="A27" s="7" t="n">
        <v>13</v>
      </c>
      <c r="B27" s="276" t="n"/>
      <c r="C27" s="166" t="n">
        <v>100602</v>
      </c>
      <c r="D27" s="293" t="inlineStr">
        <is>
          <t>Молотки бурильные: легкие при работе от передвижных компрессорных станций</t>
        </is>
      </c>
      <c r="E27" s="290" t="inlineStr">
        <is>
          <t>маш.час</t>
        </is>
      </c>
      <c r="F27" s="166" t="n">
        <v>0.66</v>
      </c>
      <c r="G27" s="313" t="n">
        <v>2.99</v>
      </c>
      <c r="H27" s="26">
        <f>ROUND(F27*G27,2)</f>
        <v/>
      </c>
      <c r="J27" s="191" t="n"/>
    </row>
    <row r="28" ht="15" customHeight="1" s="237">
      <c r="A28" s="283" t="inlineStr">
        <is>
          <t>Оборудование</t>
        </is>
      </c>
      <c r="B28" s="361" t="n"/>
      <c r="C28" s="361" t="n"/>
      <c r="D28" s="361" t="n"/>
      <c r="E28" s="362" t="n"/>
      <c r="F28" s="10" t="n"/>
      <c r="G28" s="234" t="n"/>
      <c r="H28" s="367">
        <f>SUM(H29:H36)</f>
        <v/>
      </c>
      <c r="J28" s="220" t="n"/>
      <c r="K28" s="220" t="n"/>
    </row>
    <row r="29" ht="15" customHeight="1" s="237">
      <c r="A29" s="290" t="n">
        <v>14</v>
      </c>
      <c r="B29" s="283" t="n"/>
      <c r="C29" s="166" t="inlineStr">
        <is>
          <t>Прайс из СД ОП</t>
        </is>
      </c>
      <c r="D29" s="293" t="inlineStr">
        <is>
          <t>Реклоузер SMART35 (TER_Rec35_Smart1_Sub7)</t>
        </is>
      </c>
      <c r="E29" s="7" t="inlineStr">
        <is>
          <t>шт</t>
        </is>
      </c>
      <c r="F29" s="232" t="n">
        <v>2</v>
      </c>
      <c r="G29" s="235" t="n">
        <v>327102.8</v>
      </c>
      <c r="H29" s="368" t="n">
        <v>654205.6</v>
      </c>
      <c r="J29" s="212" t="n"/>
      <c r="K29" s="212" t="n"/>
    </row>
    <row r="30" ht="15" customHeight="1" s="237">
      <c r="A30" s="290" t="n">
        <v>15</v>
      </c>
      <c r="B30" s="283" t="n"/>
      <c r="C30" s="166" t="inlineStr">
        <is>
          <t>Прайс из СД ОП</t>
        </is>
      </c>
      <c r="D30" s="293" t="inlineStr">
        <is>
          <t>Разъединитель РГП-2-35/2000 УХЛ1</t>
        </is>
      </c>
      <c r="E30" s="7" t="inlineStr">
        <is>
          <t>шт</t>
        </is>
      </c>
      <c r="F30" s="232" t="n">
        <v>3</v>
      </c>
      <c r="G30" s="235" t="n">
        <v>24338.28</v>
      </c>
      <c r="H30" s="368" t="n">
        <v>73014.84</v>
      </c>
      <c r="J30" s="212" t="n"/>
      <c r="K30" s="220" t="n"/>
    </row>
    <row r="31" ht="15" customHeight="1" s="237">
      <c r="A31" s="290" t="n">
        <v>16</v>
      </c>
      <c r="B31" s="283" t="n"/>
      <c r="C31" s="166" t="inlineStr">
        <is>
          <t>Прайс из СД ОП</t>
        </is>
      </c>
      <c r="D31" s="293" t="inlineStr">
        <is>
          <t>Трансформатор напряжения ЗНОМ-35-07 У1</t>
        </is>
      </c>
      <c r="E31" s="7" t="inlineStr">
        <is>
          <t>шт</t>
        </is>
      </c>
      <c r="F31" s="232" t="n">
        <v>3</v>
      </c>
      <c r="G31" s="235" t="n">
        <v>52119.49</v>
      </c>
      <c r="H31" s="368" t="n">
        <v>156358.47</v>
      </c>
      <c r="J31" s="212" t="n"/>
      <c r="K31" s="220" t="n"/>
    </row>
    <row r="32" ht="25.5" customHeight="1" s="237">
      <c r="A32" s="290" t="n">
        <v>17</v>
      </c>
      <c r="B32" s="283" t="n"/>
      <c r="C32" s="166" t="inlineStr">
        <is>
          <t>Прайс из СД ОП</t>
        </is>
      </c>
      <c r="D32" s="293" t="inlineStr">
        <is>
          <t>Трансформатор тока ТОЛ35-III-II-0.5S/10P/10P-100/5/5/5</t>
        </is>
      </c>
      <c r="E32" s="7" t="inlineStr">
        <is>
          <t>шт</t>
        </is>
      </c>
      <c r="F32" s="7" t="n">
        <v>6</v>
      </c>
      <c r="G32" s="236" t="n">
        <v>35046.73</v>
      </c>
      <c r="H32" s="369" t="n">
        <v>210280.38</v>
      </c>
      <c r="J32" s="212" t="n"/>
      <c r="K32" s="220" t="n"/>
    </row>
    <row r="33" ht="15" customHeight="1" s="237">
      <c r="A33" s="290" t="n">
        <v>18</v>
      </c>
      <c r="B33" s="283" t="n"/>
      <c r="C33" s="166" t="inlineStr">
        <is>
          <t>Прайс из СД ОП</t>
        </is>
      </c>
      <c r="D33" s="293" t="inlineStr">
        <is>
          <t>Разъединитель РГП-1а-35/2000 УХЛ1</t>
        </is>
      </c>
      <c r="E33" s="7" t="inlineStr">
        <is>
          <t>шт</t>
        </is>
      </c>
      <c r="F33" s="7" t="n">
        <v>2</v>
      </c>
      <c r="G33" s="235" t="n">
        <v>22175.84</v>
      </c>
      <c r="H33" s="369" t="n">
        <v>44351.68</v>
      </c>
      <c r="J33" s="212" t="n"/>
      <c r="K33" s="220" t="n"/>
    </row>
    <row r="34" ht="25.5" customHeight="1" s="237">
      <c r="A34" s="290" t="n">
        <v>19</v>
      </c>
      <c r="B34" s="283" t="n"/>
      <c r="C34" s="166" t="inlineStr">
        <is>
          <t>Прайс из СД ОП</t>
        </is>
      </c>
      <c r="D34" s="293" t="inlineStr">
        <is>
          <t>Ограничитель перенапряжений ОПН-РК-35/42/10/680 УХЛ1 01</t>
        </is>
      </c>
      <c r="E34" s="7" t="inlineStr">
        <is>
          <t>шт</t>
        </is>
      </c>
      <c r="F34" s="7" t="n">
        <v>6</v>
      </c>
      <c r="G34" s="235" t="n">
        <v>4085.28</v>
      </c>
      <c r="H34" s="369" t="n">
        <v>24511.68</v>
      </c>
      <c r="J34" s="212" t="n"/>
      <c r="K34" s="220" t="n"/>
    </row>
    <row r="35" ht="15" customHeight="1" s="237">
      <c r="A35" s="290" t="n">
        <v>20</v>
      </c>
      <c r="B35" s="283" t="n"/>
      <c r="C35" s="166" t="inlineStr">
        <is>
          <t>Прайс из СД ОП</t>
        </is>
      </c>
      <c r="D35" s="293" t="inlineStr">
        <is>
          <t>Шкаф зажимов трансформатора напряжения ШЗН</t>
        </is>
      </c>
      <c r="E35" s="7" t="inlineStr">
        <is>
          <t>шт</t>
        </is>
      </c>
      <c r="F35" s="7" t="n">
        <v>1</v>
      </c>
      <c r="G35" s="235" t="n">
        <v>10280.37</v>
      </c>
      <c r="H35" s="369" t="n">
        <v>10280.37</v>
      </c>
      <c r="J35" s="212" t="n"/>
      <c r="K35" s="220" t="n"/>
    </row>
    <row r="36" ht="15" customHeight="1" s="237">
      <c r="A36" s="290" t="n">
        <v>21</v>
      </c>
      <c r="B36" s="283" t="n"/>
      <c r="C36" s="166" t="inlineStr">
        <is>
          <t>Прайс из СД ОП</t>
        </is>
      </c>
      <c r="D36" s="293" t="inlineStr">
        <is>
          <t>Шкаф промежуточных зажимов ШЗВ-60</t>
        </is>
      </c>
      <c r="E36" s="7" t="inlineStr">
        <is>
          <t>шт</t>
        </is>
      </c>
      <c r="F36" s="7" t="n">
        <v>2</v>
      </c>
      <c r="G36" s="235" t="n">
        <v>3855.14</v>
      </c>
      <c r="H36" s="369" t="n">
        <v>7710.28</v>
      </c>
      <c r="J36" s="212" t="n"/>
      <c r="K36" s="220" t="n"/>
    </row>
    <row r="37">
      <c r="A37" s="276" t="inlineStr">
        <is>
          <t>Материалы</t>
        </is>
      </c>
      <c r="B37" s="361" t="n"/>
      <c r="C37" s="361" t="n"/>
      <c r="D37" s="361" t="n"/>
      <c r="E37" s="362" t="n"/>
      <c r="F37" s="199" t="n"/>
      <c r="G37" s="144" t="n"/>
      <c r="H37" s="367" t="n">
        <v>22005.79</v>
      </c>
      <c r="J37" s="213" t="n"/>
      <c r="K37" s="220" t="n"/>
    </row>
    <row r="38">
      <c r="A38" s="7" t="n">
        <v>22</v>
      </c>
      <c r="B38" s="159" t="n"/>
      <c r="C38" s="166" t="inlineStr">
        <is>
          <t>Прайс из СД ОП</t>
        </is>
      </c>
      <c r="D38" s="293" t="inlineStr">
        <is>
          <t>Провод АС-120</t>
        </is>
      </c>
      <c r="E38" s="7" t="inlineStr">
        <is>
          <t>м</t>
        </is>
      </c>
      <c r="F38" s="7" t="n">
        <v>600</v>
      </c>
      <c r="G38" s="168" t="n">
        <v>16.12</v>
      </c>
      <c r="H38" s="295" t="n">
        <v>9672</v>
      </c>
      <c r="J38" s="191" t="n"/>
      <c r="K38" s="188" t="n"/>
    </row>
    <row r="39" ht="30" customHeight="1" s="237">
      <c r="A39" s="7" t="n">
        <v>23</v>
      </c>
      <c r="B39" s="159" t="n"/>
      <c r="C39" s="340" t="inlineStr">
        <is>
          <t>22.2.01.08-0001</t>
        </is>
      </c>
      <c r="D39" s="57" t="inlineStr">
        <is>
          <t>Изолятор линейный подвесной полимерный ЛК 70/220-БIV</t>
        </is>
      </c>
      <c r="E39" s="340" t="inlineStr">
        <is>
          <t>шт</t>
        </is>
      </c>
      <c r="F39" s="7" t="n">
        <v>6</v>
      </c>
      <c r="G39" s="201" t="n">
        <v>475.31</v>
      </c>
      <c r="H39" s="295" t="n">
        <v>2851.86</v>
      </c>
      <c r="J39" s="191" t="n"/>
      <c r="K39" s="220" t="n"/>
    </row>
    <row r="40">
      <c r="A40" s="7" t="n">
        <v>24</v>
      </c>
      <c r="B40" s="159" t="n"/>
      <c r="C40" s="340" t="inlineStr">
        <is>
          <t>21.1.08.01-0105</t>
        </is>
      </c>
      <c r="D40" s="57" t="inlineStr">
        <is>
          <t>Кабель пожарной сигнализации КПСВЭВ 2х2х0,75</t>
        </is>
      </c>
      <c r="E40" s="7" t="inlineStr">
        <is>
          <t>1000 м</t>
        </is>
      </c>
      <c r="F40" s="7" t="n">
        <v>0.3</v>
      </c>
      <c r="G40" s="200" t="n">
        <v>6792.85</v>
      </c>
      <c r="H40" s="295" t="n">
        <v>2037.86</v>
      </c>
      <c r="J40" s="191" t="n"/>
      <c r="K40" s="220" t="n"/>
    </row>
    <row r="41">
      <c r="A41" s="7" t="n">
        <v>25</v>
      </c>
      <c r="B41" s="159" t="n"/>
      <c r="C41" s="166" t="inlineStr">
        <is>
          <t>01.7.17.11-0001</t>
        </is>
      </c>
      <c r="D41" s="293" t="inlineStr">
        <is>
          <t>Бумага шлифовальная</t>
        </is>
      </c>
      <c r="E41" s="7" t="inlineStr">
        <is>
          <t>кг</t>
        </is>
      </c>
      <c r="F41" s="7" t="n">
        <v>28</v>
      </c>
      <c r="G41" s="168" t="n">
        <v>50</v>
      </c>
      <c r="H41" s="295" t="n">
        <v>1400</v>
      </c>
      <c r="J41" s="191" t="n"/>
      <c r="K41" s="220" t="n"/>
    </row>
    <row r="42">
      <c r="A42" s="7" t="n">
        <v>26</v>
      </c>
      <c r="B42" s="159" t="n"/>
      <c r="C42" s="166" t="inlineStr">
        <is>
          <t>20.5.04.03-0011</t>
        </is>
      </c>
      <c r="D42" s="293" t="inlineStr">
        <is>
          <t>Зажимы наборные</t>
        </is>
      </c>
      <c r="E42" s="7" t="inlineStr">
        <is>
          <t>шт.</t>
        </is>
      </c>
      <c r="F42" s="7" t="n">
        <v>224.4</v>
      </c>
      <c r="G42" s="168" t="n">
        <v>3.5</v>
      </c>
      <c r="H42" s="295" t="n">
        <v>785.4</v>
      </c>
      <c r="J42" s="191" t="n"/>
      <c r="K42" s="220" t="n"/>
    </row>
    <row r="43" ht="25.5" customHeight="1" s="237">
      <c r="A43" s="7" t="n">
        <v>27</v>
      </c>
      <c r="B43" s="159" t="n"/>
      <c r="C43" s="166" t="inlineStr">
        <is>
          <t>08.3.07.01-0076</t>
        </is>
      </c>
      <c r="D43" s="293" t="inlineStr">
        <is>
          <t>Сталь полосовая, марка стали: Ст3сп шириной 50-200 мм толщиной 4-5 мм</t>
        </is>
      </c>
      <c r="E43" s="7" t="inlineStr">
        <is>
          <t>т</t>
        </is>
      </c>
      <c r="F43" s="7" t="n">
        <v>0.1466</v>
      </c>
      <c r="G43" s="168" t="n">
        <v>5000</v>
      </c>
      <c r="H43" s="295" t="n">
        <v>733</v>
      </c>
      <c r="J43" s="191" t="n"/>
      <c r="K43" s="220" t="n"/>
    </row>
    <row r="44">
      <c r="A44" s="7" t="n">
        <v>28</v>
      </c>
      <c r="B44" s="192" t="n"/>
      <c r="C44" s="166" t="inlineStr">
        <is>
          <t>01.7.15.03-0042</t>
        </is>
      </c>
      <c r="D44" s="293" t="inlineStr">
        <is>
          <t>Болты с гайками и шайбами строительные</t>
        </is>
      </c>
      <c r="E44" s="7" t="inlineStr">
        <is>
          <t>кг</t>
        </is>
      </c>
      <c r="F44" s="7" t="n">
        <v>76.91</v>
      </c>
      <c r="G44" s="168" t="n">
        <v>9.039999999999999</v>
      </c>
      <c r="H44" s="295" t="n">
        <v>695.27</v>
      </c>
      <c r="J44" s="191" t="n"/>
      <c r="K44" s="188" t="n"/>
    </row>
    <row r="45">
      <c r="A45" s="7" t="n">
        <v>29</v>
      </c>
      <c r="B45" s="159" t="n"/>
      <c r="C45" s="340" t="inlineStr">
        <is>
          <t>20.1.01.10-0001</t>
        </is>
      </c>
      <c r="D45" s="57" t="inlineStr">
        <is>
          <t>Зажим плашечный ПА-2-1</t>
        </is>
      </c>
      <c r="E45" s="340" t="inlineStr">
        <is>
          <t>шт</t>
        </is>
      </c>
      <c r="F45" s="7" t="n">
        <v>12</v>
      </c>
      <c r="G45" s="201" t="n">
        <v>38.42</v>
      </c>
      <c r="H45" s="295" t="n">
        <v>461.04</v>
      </c>
      <c r="J45" s="191" t="n"/>
      <c r="K45" s="220" t="n"/>
    </row>
    <row r="46">
      <c r="A46" s="7" t="n">
        <v>30</v>
      </c>
      <c r="B46" s="159" t="n"/>
      <c r="C46" s="340" t="inlineStr">
        <is>
          <t>20.5.04.05-0013</t>
        </is>
      </c>
      <c r="D46" s="57" t="inlineStr">
        <is>
          <t>Зажим ответвительный ОА 120-2</t>
        </is>
      </c>
      <c r="E46" s="340" t="inlineStr">
        <is>
          <t>100 шт</t>
        </is>
      </c>
      <c r="F46" s="7" t="n">
        <v>0.12</v>
      </c>
      <c r="G46" s="200" t="n">
        <v>3782</v>
      </c>
      <c r="H46" s="295" t="n">
        <v>453.84</v>
      </c>
      <c r="J46" s="191" t="n"/>
      <c r="K46" s="220" t="n"/>
    </row>
    <row r="47">
      <c r="A47" s="7" t="n">
        <v>31</v>
      </c>
      <c r="B47" s="159" t="n"/>
      <c r="C47" s="340" t="inlineStr">
        <is>
          <t>20.5.04.04-0002</t>
        </is>
      </c>
      <c r="D47" s="57" t="inlineStr">
        <is>
          <t>Зажим натяжной болтовый НБ-2-6А</t>
        </is>
      </c>
      <c r="E47" s="7" t="inlineStr">
        <is>
          <t>шт</t>
        </is>
      </c>
      <c r="F47" s="7" t="n">
        <v>6</v>
      </c>
      <c r="G47" s="201" t="n">
        <v>73.40000000000001</v>
      </c>
      <c r="H47" s="295" t="n">
        <v>440.4</v>
      </c>
      <c r="J47" s="191" t="n"/>
      <c r="K47" s="220" t="n"/>
    </row>
    <row r="48">
      <c r="A48" s="7" t="n">
        <v>32</v>
      </c>
      <c r="B48" s="159" t="n"/>
      <c r="C48" s="340" t="inlineStr">
        <is>
          <t>20.1.01.02-0049</t>
        </is>
      </c>
      <c r="D48" s="57" t="inlineStr">
        <is>
          <t>Зажим аппаратный прессуемый: А2А-120-2</t>
        </is>
      </c>
      <c r="E48" s="340" t="inlineStr">
        <is>
          <t>100 шт</t>
        </is>
      </c>
      <c r="F48" s="7" t="n">
        <v>0.18</v>
      </c>
      <c r="G48" s="200" t="n">
        <v>2306</v>
      </c>
      <c r="H48" s="295" t="n">
        <v>415.08</v>
      </c>
      <c r="J48" s="191" t="n"/>
      <c r="K48" s="220" t="n"/>
    </row>
    <row r="49" ht="30" customHeight="1" s="237">
      <c r="A49" s="7" t="n">
        <v>33</v>
      </c>
      <c r="B49" s="159" t="n"/>
      <c r="C49" s="340" t="inlineStr">
        <is>
          <t>21.2.03.05-0065</t>
        </is>
      </c>
      <c r="D49" s="57" t="inlineStr">
        <is>
          <t>Провод силовой установочный с медными жилами ПВ3 2-450</t>
        </is>
      </c>
      <c r="E49" s="7" t="inlineStr">
        <is>
          <t>1000 м</t>
        </is>
      </c>
      <c r="F49" s="7" t="n">
        <v>0.2</v>
      </c>
      <c r="G49" s="200" t="n">
        <v>1988.98</v>
      </c>
      <c r="H49" s="295" t="n">
        <v>397.8</v>
      </c>
      <c r="J49" s="191" t="n"/>
      <c r="K49" s="220" t="n"/>
    </row>
    <row r="50">
      <c r="A50" s="7" t="n">
        <v>34</v>
      </c>
      <c r="B50" s="159" t="n"/>
      <c r="C50" s="166" t="inlineStr">
        <is>
          <t>14.4.02.09-0001</t>
        </is>
      </c>
      <c r="D50" s="293" t="inlineStr">
        <is>
          <t>Краска</t>
        </is>
      </c>
      <c r="E50" s="7" t="inlineStr">
        <is>
          <t>кг</t>
        </is>
      </c>
      <c r="F50" s="7" t="n">
        <v>13.17</v>
      </c>
      <c r="G50" s="168" t="n">
        <v>28.6</v>
      </c>
      <c r="H50" s="295" t="n">
        <v>376.66</v>
      </c>
      <c r="J50" s="191" t="n"/>
      <c r="K50" s="220" t="n"/>
    </row>
    <row r="51">
      <c r="A51" s="7" t="n">
        <v>35</v>
      </c>
      <c r="B51" s="159" t="n"/>
      <c r="C51" s="340" t="inlineStr">
        <is>
          <t>20.1.01.02-0060</t>
        </is>
      </c>
      <c r="D51" s="57" t="inlineStr">
        <is>
          <t>Зажим аппаратный прессуемый: А4А-120-2</t>
        </is>
      </c>
      <c r="E51" s="340" t="inlineStr">
        <is>
          <t>100 шт</t>
        </is>
      </c>
      <c r="F51" s="7" t="n">
        <v>0.12</v>
      </c>
      <c r="G51" s="200" t="n">
        <v>2551</v>
      </c>
      <c r="H51" s="295" t="n">
        <v>306.12</v>
      </c>
      <c r="J51" s="191" t="n"/>
      <c r="K51" s="220" t="n"/>
    </row>
    <row r="52">
      <c r="A52" s="7" t="n">
        <v>36</v>
      </c>
      <c r="B52" s="159" t="n"/>
      <c r="C52" s="166" t="inlineStr">
        <is>
          <t>01.7.11.07-0034</t>
        </is>
      </c>
      <c r="D52" s="293" t="inlineStr">
        <is>
          <t>Электроды диаметром: 4 мм Э42А</t>
        </is>
      </c>
      <c r="E52" s="7" t="inlineStr">
        <is>
          <t>кг</t>
        </is>
      </c>
      <c r="F52" s="7" t="n">
        <v>25.12</v>
      </c>
      <c r="G52" s="168" t="n">
        <v>10.57</v>
      </c>
      <c r="H52" s="295" t="n">
        <v>265.52</v>
      </c>
      <c r="J52" s="191" t="n"/>
      <c r="K52" s="220" t="n"/>
    </row>
    <row r="53">
      <c r="A53" s="7" t="n">
        <v>37</v>
      </c>
      <c r="B53" s="159" t="n"/>
      <c r="C53" s="340" t="inlineStr">
        <is>
          <t>20.1.02.22-0001</t>
        </is>
      </c>
      <c r="D53" s="57" t="inlineStr">
        <is>
          <t>Ушко: двухлапчатое укороченное У2К-7-16</t>
        </is>
      </c>
      <c r="E53" s="7" t="inlineStr">
        <is>
          <t>шт</t>
        </is>
      </c>
      <c r="F53" s="7" t="n">
        <v>6</v>
      </c>
      <c r="G53" s="201" t="n">
        <v>34.73</v>
      </c>
      <c r="H53" s="295" t="n">
        <v>208.38</v>
      </c>
      <c r="J53" s="191" t="n"/>
      <c r="K53" s="220" t="n"/>
    </row>
    <row r="54" ht="30" customHeight="1" s="237">
      <c r="A54" s="7" t="n">
        <v>38</v>
      </c>
      <c r="B54" s="159" t="n"/>
      <c r="C54" s="340" t="inlineStr">
        <is>
          <t>21.2.03.05-0067</t>
        </is>
      </c>
      <c r="D54" s="57" t="inlineStr">
        <is>
          <t>Провод силовой установочный с медными жилами ПВ3 3-450</t>
        </is>
      </c>
      <c r="E54" s="340" t="inlineStr">
        <is>
          <t>1000 м</t>
        </is>
      </c>
      <c r="F54" s="7" t="n">
        <v>0.05</v>
      </c>
      <c r="G54" s="200" t="n">
        <v>2812.15</v>
      </c>
      <c r="H54" s="295" t="n">
        <v>140.61</v>
      </c>
      <c r="J54" s="191" t="n"/>
      <c r="K54" s="220" t="n"/>
    </row>
    <row r="55" ht="25.5" customHeight="1" s="237">
      <c r="A55" s="7" t="n">
        <v>39</v>
      </c>
      <c r="B55" s="159" t="n"/>
      <c r="C55" s="166" t="inlineStr">
        <is>
          <t>01.3.01.06-0050</t>
        </is>
      </c>
      <c r="D55" s="293" t="inlineStr">
        <is>
          <t>Смазка универсальная тугоплавкая УТ (консталин жировой)</t>
        </is>
      </c>
      <c r="E55" s="7" t="inlineStr">
        <is>
          <t>т</t>
        </is>
      </c>
      <c r="F55" s="7" t="n">
        <v>0.0069</v>
      </c>
      <c r="G55" s="168" t="n">
        <v>17500</v>
      </c>
      <c r="H55" s="295" t="n">
        <v>120.75</v>
      </c>
      <c r="J55" s="191" t="n"/>
      <c r="K55" s="220" t="n"/>
    </row>
    <row r="56" ht="25.5" customHeight="1" s="237">
      <c r="A56" s="7" t="n">
        <v>40</v>
      </c>
      <c r="B56" s="159" t="n"/>
      <c r="C56" s="166" t="inlineStr">
        <is>
          <t>999-9950</t>
        </is>
      </c>
      <c r="D56" s="293" t="inlineStr">
        <is>
          <t>Вспомогательные ненормируемые ресурсы (2% от Фонда оплаты труда)</t>
        </is>
      </c>
      <c r="E56" s="7" t="inlineStr">
        <is>
          <t>руб</t>
        </is>
      </c>
      <c r="F56" s="7" t="n">
        <v>89.8644</v>
      </c>
      <c r="G56" s="168" t="n">
        <v>1</v>
      </c>
      <c r="H56" s="295" t="n">
        <v>89.86</v>
      </c>
      <c r="J56" s="191" t="n"/>
      <c r="K56" s="220" t="n"/>
    </row>
    <row r="57">
      <c r="A57" s="7" t="n">
        <v>41</v>
      </c>
      <c r="B57" s="159" t="n"/>
      <c r="C57" s="166" t="inlineStr">
        <is>
          <t>01.7.20.08-0031</t>
        </is>
      </c>
      <c r="D57" s="293" t="inlineStr">
        <is>
          <t>Бязь суровая арт. 6804</t>
        </is>
      </c>
      <c r="E57" s="7" t="inlineStr">
        <is>
          <t>10 м2</t>
        </is>
      </c>
      <c r="F57" s="7" t="n">
        <v>0.875</v>
      </c>
      <c r="G57" s="168" t="n">
        <v>79.09999999999999</v>
      </c>
      <c r="H57" s="295" t="n">
        <v>69.20999999999999</v>
      </c>
      <c r="J57" s="191" t="n"/>
      <c r="K57" s="220" t="n"/>
    </row>
    <row r="58">
      <c r="A58" s="7" t="n">
        <v>42</v>
      </c>
      <c r="B58" s="159" t="n"/>
      <c r="C58" s="340" t="inlineStr">
        <is>
          <t>20.1.01.02-0041</t>
        </is>
      </c>
      <c r="D58" s="57" t="inlineStr">
        <is>
          <t>Зажим аппаратный прессуемый: А1А-120-2</t>
        </is>
      </c>
      <c r="E58" s="340" t="inlineStr">
        <is>
          <t>100 шт</t>
        </is>
      </c>
      <c r="F58" s="7" t="n">
        <v>0.03</v>
      </c>
      <c r="G58" s="200" t="n">
        <v>1931</v>
      </c>
      <c r="H58" s="295" t="n">
        <v>57.93</v>
      </c>
      <c r="J58" s="191" t="n"/>
      <c r="K58" s="220" t="n"/>
    </row>
    <row r="59" ht="25.5" customHeight="1" s="237">
      <c r="A59" s="7" t="n">
        <v>43</v>
      </c>
      <c r="B59" s="159" t="n"/>
      <c r="C59" s="166" t="inlineStr">
        <is>
          <t>20.1.02.15-0011</t>
        </is>
      </c>
      <c r="D59" s="293" t="inlineStr">
        <is>
          <t>Соединитель алюминиевых и сталеалюминиевых проводов (СОАС) 062-3</t>
        </is>
      </c>
      <c r="E59" s="7" t="inlineStr">
        <is>
          <t>шт.</t>
        </is>
      </c>
      <c r="F59" s="7" t="n">
        <v>0.272</v>
      </c>
      <c r="G59" s="168" t="n">
        <v>88.14</v>
      </c>
      <c r="H59" s="295" t="n">
        <v>23.97</v>
      </c>
      <c r="J59" s="191" t="n"/>
      <c r="K59" s="220" t="n"/>
    </row>
    <row r="60" ht="25.5" customHeight="1" s="237">
      <c r="A60" s="7" t="n">
        <v>44</v>
      </c>
      <c r="B60" s="159" t="n"/>
      <c r="C60" s="166" t="inlineStr">
        <is>
          <t>01.7.15.03-0031</t>
        </is>
      </c>
      <c r="D60" s="293" t="inlineStr">
        <is>
          <t>Болты с гайками и шайбами оцинкованные, диаметр: 6 мм</t>
        </is>
      </c>
      <c r="E60" s="7" t="inlineStr">
        <is>
          <t>кг</t>
        </is>
      </c>
      <c r="F60" s="7" t="n">
        <v>0.07000000000000001</v>
      </c>
      <c r="G60" s="168" t="n">
        <v>28.22</v>
      </c>
      <c r="H60" s="295" t="n">
        <v>1.98</v>
      </c>
      <c r="J60" s="191" t="n"/>
      <c r="K60" s="220" t="n"/>
    </row>
    <row r="61">
      <c r="A61" s="7" t="n">
        <v>45</v>
      </c>
      <c r="B61" s="159" t="n"/>
      <c r="C61" s="166" t="inlineStr">
        <is>
          <t>101-1292</t>
        </is>
      </c>
      <c r="D61" s="293" t="inlineStr">
        <is>
          <t>Уайт-спирит</t>
        </is>
      </c>
      <c r="E61" s="7" t="inlineStr">
        <is>
          <t>т</t>
        </is>
      </c>
      <c r="F61" s="7" t="n">
        <v>0.0001</v>
      </c>
      <c r="G61" s="168" t="n">
        <v>6667</v>
      </c>
      <c r="H61" s="295" t="n">
        <v>0.67</v>
      </c>
      <c r="J61" s="191" t="n"/>
      <c r="K61" s="220" t="n"/>
    </row>
    <row r="62">
      <c r="A62" s="7" t="n">
        <v>46</v>
      </c>
      <c r="B62" s="159" t="n"/>
      <c r="C62" s="166" t="inlineStr">
        <is>
          <t>101-2349</t>
        </is>
      </c>
      <c r="D62" s="293" t="inlineStr">
        <is>
          <t>Смазка ЗЭС</t>
        </is>
      </c>
      <c r="E62" s="7" t="inlineStr">
        <is>
          <t>кг</t>
        </is>
      </c>
      <c r="F62" s="7" t="n">
        <v>0.04</v>
      </c>
      <c r="G62" s="168" t="n">
        <v>14.4</v>
      </c>
      <c r="H62" s="295" t="n">
        <v>0.58</v>
      </c>
      <c r="J62" s="191" t="n"/>
      <c r="K62" s="220" t="n"/>
    </row>
    <row r="63">
      <c r="J63" s="187" t="n"/>
    </row>
    <row r="65">
      <c r="B65" s="239" t="inlineStr">
        <is>
          <t>Составил ______________________    Д.А. Самуйленко</t>
        </is>
      </c>
    </row>
    <row r="66">
      <c r="B66" s="132" t="inlineStr">
        <is>
          <t xml:space="preserve">                         (подпись, инициалы, фамилия)</t>
        </is>
      </c>
    </row>
    <row r="68">
      <c r="B68" s="239" t="inlineStr">
        <is>
          <t>Проверил ______________________        А.В. Костянецкая</t>
        </is>
      </c>
    </row>
    <row r="69">
      <c r="B69" s="132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8:E28"/>
    <mergeCell ref="C5:H5"/>
    <mergeCell ref="A37:E37"/>
    <mergeCell ref="G9:H9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F45" sqref="F45"/>
    </sheetView>
  </sheetViews>
  <sheetFormatPr baseColWidth="8" defaultRowHeight="15"/>
  <cols>
    <col width="4.140625" customWidth="1" style="237" min="1" max="1"/>
    <col width="36.28515625" customWidth="1" style="237" min="2" max="2"/>
    <col width="18.85546875" customWidth="1" style="237" min="3" max="3"/>
    <col width="18.28515625" customWidth="1" style="237" min="4" max="4"/>
    <col width="18.85546875" customWidth="1" style="237" min="5" max="5"/>
    <col width="9.140625" customWidth="1" style="237" min="6" max="6"/>
    <col width="13.42578125" customWidth="1" style="237" min="7" max="7"/>
    <col width="9.140625" customWidth="1" style="237" min="8" max="11"/>
    <col width="13.5703125" customWidth="1" style="237" min="12" max="12"/>
    <col width="9.140625" customWidth="1" style="237" min="13" max="13"/>
  </cols>
  <sheetData>
    <row r="1">
      <c r="B1" s="220" t="n"/>
      <c r="C1" s="220" t="n"/>
      <c r="D1" s="220" t="n"/>
      <c r="E1" s="220" t="n"/>
    </row>
    <row r="2">
      <c r="B2" s="220" t="n"/>
      <c r="C2" s="220" t="n"/>
      <c r="D2" s="220" t="n"/>
      <c r="E2" s="308" t="inlineStr">
        <is>
          <t>Приложение № 4</t>
        </is>
      </c>
    </row>
    <row r="3">
      <c r="B3" s="220" t="n"/>
      <c r="C3" s="220" t="n"/>
      <c r="D3" s="220" t="n"/>
      <c r="E3" s="220" t="n"/>
    </row>
    <row r="4">
      <c r="B4" s="220" t="n"/>
      <c r="C4" s="220" t="n"/>
      <c r="D4" s="220" t="n"/>
      <c r="E4" s="220" t="n"/>
    </row>
    <row r="5">
      <c r="B5" s="259" t="inlineStr">
        <is>
          <t>Ресурсная модель</t>
        </is>
      </c>
    </row>
    <row r="6">
      <c r="B6" s="154" t="n"/>
      <c r="C6" s="220" t="n"/>
      <c r="D6" s="220" t="n"/>
      <c r="E6" s="220" t="n"/>
    </row>
    <row r="7" ht="25.5" customHeight="1" s="237">
      <c r="B7" s="285" t="inlineStr">
        <is>
          <t xml:space="preserve">Наименование разрабатываемого показателя УНЦ — Автоматический пункт секционирования (реклоузера) 35 кВ без ПКУ </t>
        </is>
      </c>
    </row>
    <row r="8">
      <c r="B8" s="286" t="inlineStr">
        <is>
          <t>Единица измерения  — 1 ед.</t>
        </is>
      </c>
    </row>
    <row r="9">
      <c r="B9" s="154" t="n"/>
      <c r="C9" s="220" t="n"/>
      <c r="D9" s="220" t="n"/>
      <c r="E9" s="220" t="n"/>
    </row>
    <row r="10" ht="51" customHeight="1" s="237">
      <c r="B10" s="290" t="inlineStr">
        <is>
          <t>Наименование</t>
        </is>
      </c>
      <c r="C10" s="290" t="inlineStr">
        <is>
          <t>Сметная стоимость в ценах на 01.01.2023
 (руб.)</t>
        </is>
      </c>
      <c r="D10" s="290" t="inlineStr">
        <is>
          <t>Удельный вес, 
(в СМР)</t>
        </is>
      </c>
      <c r="E10" s="290" t="inlineStr">
        <is>
          <t>Удельный вес, % 
(от всего по РМ)</t>
        </is>
      </c>
    </row>
    <row r="11">
      <c r="B11" s="97" t="inlineStr">
        <is>
          <t>Оплата труда рабочих</t>
        </is>
      </c>
      <c r="C11" s="148">
        <f>'Прил.5 Расчет СМР и ОБ'!J14</f>
        <v/>
      </c>
      <c r="D11" s="149">
        <f>C11/$C$24</f>
        <v/>
      </c>
      <c r="E11" s="149">
        <f>C11/$C$40</f>
        <v/>
      </c>
    </row>
    <row r="12">
      <c r="B12" s="97" t="inlineStr">
        <is>
          <t>Эксплуатация машин основных</t>
        </is>
      </c>
      <c r="C12" s="148">
        <f>'Прил.5 Расчет СМР и ОБ'!J22</f>
        <v/>
      </c>
      <c r="D12" s="149">
        <f>C12/$C$24</f>
        <v/>
      </c>
      <c r="E12" s="149">
        <f>C12/$C$40</f>
        <v/>
      </c>
    </row>
    <row r="13">
      <c r="B13" s="97" t="inlineStr">
        <is>
          <t>Эксплуатация машин прочих</t>
        </is>
      </c>
      <c r="C13" s="148">
        <f>'Прил.5 Расчет СМР и ОБ'!J29</f>
        <v/>
      </c>
      <c r="D13" s="149">
        <f>C13/$C$24</f>
        <v/>
      </c>
      <c r="E13" s="149">
        <f>C13/$C$40</f>
        <v/>
      </c>
    </row>
    <row r="14">
      <c r="B14" s="97" t="inlineStr">
        <is>
          <t>ЭКСПЛУАТАЦИЯ МАШИН, ВСЕГО:</t>
        </is>
      </c>
      <c r="C14" s="148">
        <f>C13+C12</f>
        <v/>
      </c>
      <c r="D14" s="149">
        <f>C14/$C$24</f>
        <v/>
      </c>
      <c r="E14" s="149">
        <f>C14/$C$40</f>
        <v/>
      </c>
    </row>
    <row r="15">
      <c r="B15" s="97" t="inlineStr">
        <is>
          <t>в том числе зарплата машинистов</t>
        </is>
      </c>
      <c r="C15" s="148">
        <f>'Прил.5 Расчет СМР и ОБ'!J16</f>
        <v/>
      </c>
      <c r="D15" s="149">
        <f>C15/$C$24</f>
        <v/>
      </c>
      <c r="E15" s="149">
        <f>C15/$C$40</f>
        <v/>
      </c>
    </row>
    <row r="16">
      <c r="B16" s="97" t="inlineStr">
        <is>
          <t>Материалы основные</t>
        </is>
      </c>
      <c r="C16" s="148">
        <f>'Прил.5 Расчет СМР и ОБ'!J56</f>
        <v/>
      </c>
      <c r="D16" s="149">
        <f>C16/$C$24</f>
        <v/>
      </c>
      <c r="E16" s="149">
        <f>C16/$C$40</f>
        <v/>
      </c>
    </row>
    <row r="17">
      <c r="B17" s="97" t="inlineStr">
        <is>
          <t>Материалы прочие</t>
        </is>
      </c>
      <c r="C17" s="148">
        <f>'Прил.5 Расчет СМР и ОБ'!J73</f>
        <v/>
      </c>
      <c r="D17" s="149">
        <f>C17/$C$24</f>
        <v/>
      </c>
      <c r="E17" s="149">
        <f>C17/$C$40</f>
        <v/>
      </c>
      <c r="G17" s="370" t="n"/>
    </row>
    <row r="18">
      <c r="B18" s="97" t="inlineStr">
        <is>
          <t>МАТЕРИАЛЫ, ВСЕГО:</t>
        </is>
      </c>
      <c r="C18" s="148">
        <f>C17+C16</f>
        <v/>
      </c>
      <c r="D18" s="149">
        <f>C18/$C$24</f>
        <v/>
      </c>
      <c r="E18" s="149">
        <f>C18/$C$40</f>
        <v/>
      </c>
    </row>
    <row r="19">
      <c r="B19" s="97" t="inlineStr">
        <is>
          <t>ИТОГО</t>
        </is>
      </c>
      <c r="C19" s="148">
        <f>C18+C14+C11</f>
        <v/>
      </c>
      <c r="D19" s="149" t="n"/>
      <c r="E19" s="97" t="n"/>
    </row>
    <row r="20">
      <c r="B20" s="97" t="inlineStr">
        <is>
          <t>Сметная прибыль, руб.</t>
        </is>
      </c>
      <c r="C20" s="148">
        <f>ROUND(C21*(C11+C15),2)</f>
        <v/>
      </c>
      <c r="D20" s="149">
        <f>C20/$C$24</f>
        <v/>
      </c>
      <c r="E20" s="149">
        <f>C20/$C$40</f>
        <v/>
      </c>
    </row>
    <row r="21">
      <c r="B21" s="97" t="inlineStr">
        <is>
          <t>Сметная прибыль, %</t>
        </is>
      </c>
      <c r="C21" s="152">
        <f>'Прил.5 Расчет СМР и ОБ'!D77</f>
        <v/>
      </c>
      <c r="D21" s="149" t="n"/>
      <c r="E21" s="97" t="n"/>
    </row>
    <row r="22">
      <c r="B22" s="97" t="inlineStr">
        <is>
          <t>Накладные расходы, руб.</t>
        </is>
      </c>
      <c r="C22" s="148">
        <f>ROUND(C23*(C11+C15),2)</f>
        <v/>
      </c>
      <c r="D22" s="149">
        <f>C22/$C$24</f>
        <v/>
      </c>
      <c r="E22" s="149">
        <f>C22/$C$40</f>
        <v/>
      </c>
    </row>
    <row r="23">
      <c r="B23" s="97" t="inlineStr">
        <is>
          <t>Накладные расходы, %</t>
        </is>
      </c>
      <c r="C23" s="152">
        <f>'Прил.5 Расчет СМР и ОБ'!D76</f>
        <v/>
      </c>
      <c r="D23" s="149" t="n"/>
      <c r="E23" s="97" t="n"/>
    </row>
    <row r="24">
      <c r="B24" s="97" t="inlineStr">
        <is>
          <t>ВСЕГО СМР с НР и СП</t>
        </is>
      </c>
      <c r="C24" s="148">
        <f>C19+C20+C22</f>
        <v/>
      </c>
      <c r="D24" s="149">
        <f>C24/$C$24</f>
        <v/>
      </c>
      <c r="E24" s="149">
        <f>C24/$C$40</f>
        <v/>
      </c>
    </row>
    <row r="25" ht="25.5" customHeight="1" s="237">
      <c r="B25" s="97" t="inlineStr">
        <is>
          <t>ВСЕГО стоимость оборудования, в том числе</t>
        </is>
      </c>
      <c r="C25" s="148">
        <f>'Прил.5 Расчет СМР и ОБ'!J43</f>
        <v/>
      </c>
      <c r="D25" s="149" t="n"/>
      <c r="E25" s="149">
        <f>C25/$C$40</f>
        <v/>
      </c>
    </row>
    <row r="26" ht="25.5" customHeight="1" s="237">
      <c r="B26" s="97" t="inlineStr">
        <is>
          <t>стоимость оборудования технологического</t>
        </is>
      </c>
      <c r="C26" s="148">
        <f>'Прил.5 Расчет СМР и ОБ'!J44</f>
        <v/>
      </c>
      <c r="D26" s="149" t="n"/>
      <c r="E26" s="149">
        <f>C26/$C$40</f>
        <v/>
      </c>
    </row>
    <row r="27">
      <c r="B27" s="97" t="inlineStr">
        <is>
          <t>ИТОГО (СМР + ОБОРУДОВАНИЕ)</t>
        </is>
      </c>
      <c r="C27" s="235">
        <f>C24+C25</f>
        <v/>
      </c>
      <c r="D27" s="149" t="n"/>
      <c r="E27" s="149">
        <f>C27/$C$40</f>
        <v/>
      </c>
      <c r="G27" s="150" t="n"/>
    </row>
    <row r="28" ht="33" customHeight="1" s="237">
      <c r="B28" s="97" t="inlineStr">
        <is>
          <t>ПРОЧ. ЗАТР., УЧТЕННЫЕ ПОКАЗАТЕЛЕМ,  в том числе</t>
        </is>
      </c>
      <c r="C28" s="97" t="n"/>
      <c r="D28" s="97" t="n"/>
      <c r="E28" s="97" t="n"/>
    </row>
    <row r="29" ht="25.5" customHeight="1" s="237">
      <c r="B29" s="97" t="inlineStr">
        <is>
          <t>Временные здания и сооружения - 3,3%</t>
        </is>
      </c>
      <c r="C29" s="235">
        <f>ROUND(C24*3.3%,2)</f>
        <v/>
      </c>
      <c r="D29" s="97" t="n"/>
      <c r="E29" s="149">
        <f>C29/$C$40</f>
        <v/>
      </c>
    </row>
    <row r="30" ht="38.25" customHeight="1" s="237">
      <c r="B30" s="97" t="inlineStr">
        <is>
          <t>Дополнительные затраты при производстве строительно-монтажных работ в зимнее время - 1,0%</t>
        </is>
      </c>
      <c r="C30" s="235">
        <f>ROUND((C24+C29)*1%,2)</f>
        <v/>
      </c>
      <c r="D30" s="97" t="n"/>
      <c r="E30" s="149">
        <f>C30/$C$40</f>
        <v/>
      </c>
    </row>
    <row r="31">
      <c r="B31" s="97" t="inlineStr">
        <is>
          <t>Пусконаладочные работы</t>
        </is>
      </c>
      <c r="C31" s="235" t="n">
        <v>275376.42</v>
      </c>
      <c r="D31" s="97" t="n"/>
      <c r="E31" s="149">
        <f>C31/$C$40</f>
        <v/>
      </c>
    </row>
    <row r="32" ht="25.5" customHeight="1" s="237">
      <c r="B32" s="97" t="inlineStr">
        <is>
          <t>Затраты по перевозке работников к месту работы и обратно</t>
        </is>
      </c>
      <c r="C32" s="235" t="n">
        <v>0</v>
      </c>
      <c r="D32" s="97" t="n"/>
      <c r="E32" s="149">
        <f>C32/$C$40</f>
        <v/>
      </c>
    </row>
    <row r="33" ht="25.5" customHeight="1" s="237">
      <c r="B33" s="97" t="inlineStr">
        <is>
          <t>Затраты, связанные с осуществлением работ вахтовым методом</t>
        </is>
      </c>
      <c r="C33" s="235">
        <f>ROUND(C27*0%,2)</f>
        <v/>
      </c>
      <c r="D33" s="97" t="n"/>
      <c r="E33" s="149">
        <f>C33/$C$40</f>
        <v/>
      </c>
    </row>
    <row r="34" ht="51" customHeight="1" s="237">
      <c r="B34" s="9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5" t="n">
        <v>0</v>
      </c>
      <c r="D34" s="97" t="n"/>
      <c r="E34" s="149">
        <f>C34/$C$40</f>
        <v/>
      </c>
    </row>
    <row r="35" ht="76.5" customHeight="1" s="237">
      <c r="B35" s="9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5">
        <f>ROUND(C27*0%,2)</f>
        <v/>
      </c>
      <c r="D35" s="97" t="n"/>
      <c r="E35" s="149">
        <f>C35/$C$40</f>
        <v/>
      </c>
    </row>
    <row r="36" ht="25.5" customHeight="1" s="237">
      <c r="B36" s="97" t="inlineStr">
        <is>
          <t>Строительный контроль и содержание службы заказчика - 2,14%</t>
        </is>
      </c>
      <c r="C36" s="235">
        <f>ROUND((C27+C32+C33+C34+C35+C29+C31+C30)*2.14%,2)</f>
        <v/>
      </c>
      <c r="D36" s="97" t="n"/>
      <c r="E36" s="149">
        <f>C36/$C$40</f>
        <v/>
      </c>
      <c r="L36" s="150" t="n"/>
    </row>
    <row r="37">
      <c r="B37" s="97" t="inlineStr">
        <is>
          <t>Авторский надзор - 0,2%</t>
        </is>
      </c>
      <c r="C37" s="235">
        <f>ROUND((C27+C32+C33+C34+C35+C29+C31+C30)*0.2%,2)</f>
        <v/>
      </c>
      <c r="D37" s="97" t="n"/>
      <c r="E37" s="149">
        <f>C37/$C$40</f>
        <v/>
      </c>
      <c r="L37" s="150" t="n"/>
    </row>
    <row r="38" ht="38.25" customHeight="1" s="237">
      <c r="B38" s="97" t="inlineStr">
        <is>
          <t>ИТОГО (СМР+ОБОРУДОВАНИЕ+ПРОЧ. ЗАТР., УЧТЕННЫЕ ПОКАЗАТЕЛЕМ)</t>
        </is>
      </c>
      <c r="C38" s="148">
        <f>C27+C32+C33+C34+C35+C29+C31+C30+C36+C37</f>
        <v/>
      </c>
      <c r="D38" s="97" t="n"/>
      <c r="E38" s="149">
        <f>C38/$C$40</f>
        <v/>
      </c>
    </row>
    <row r="39" ht="13.5" customHeight="1" s="237">
      <c r="B39" s="97" t="inlineStr">
        <is>
          <t>Непредвиденные расходы</t>
        </is>
      </c>
      <c r="C39" s="148">
        <f>ROUND(C38*3%,2)</f>
        <v/>
      </c>
      <c r="D39" s="97" t="n"/>
      <c r="E39" s="149">
        <f>C39/$C$38</f>
        <v/>
      </c>
    </row>
    <row r="40">
      <c r="B40" s="97" t="inlineStr">
        <is>
          <t>ВСЕГО:</t>
        </is>
      </c>
      <c r="C40" s="148">
        <f>C39+C38</f>
        <v/>
      </c>
      <c r="D40" s="97" t="n"/>
      <c r="E40" s="149">
        <f>C40/$C$40</f>
        <v/>
      </c>
    </row>
    <row r="41">
      <c r="B41" s="97" t="inlineStr">
        <is>
          <t>ИТОГО ПОКАЗАТЕЛЬ НА ЕД. ИЗМ.</t>
        </is>
      </c>
      <c r="C41" s="148">
        <f>C40/'Прил.5 Расчет СМР и ОБ'!E80</f>
        <v/>
      </c>
      <c r="D41" s="97" t="n"/>
      <c r="E41" s="97" t="n"/>
    </row>
    <row r="42">
      <c r="B42" s="147" t="n"/>
      <c r="C42" s="220" t="n"/>
      <c r="D42" s="220" t="n"/>
      <c r="E42" s="220" t="n"/>
    </row>
    <row r="43">
      <c r="B43" s="147" t="inlineStr">
        <is>
          <t>Составил ____________________________  Д.А. Самуйленко</t>
        </is>
      </c>
      <c r="C43" s="220" t="n"/>
      <c r="D43" s="220" t="n"/>
      <c r="E43" s="220" t="n"/>
    </row>
    <row r="44">
      <c r="B44" s="147" t="inlineStr">
        <is>
          <t xml:space="preserve">(должность, подпись, инициалы, фамилия) </t>
        </is>
      </c>
      <c r="C44" s="220" t="n"/>
      <c r="D44" s="220" t="n"/>
      <c r="E44" s="220" t="n"/>
    </row>
    <row r="45">
      <c r="B45" s="147" t="n"/>
      <c r="C45" s="220" t="n"/>
      <c r="D45" s="220" t="n"/>
      <c r="E45" s="220" t="n"/>
    </row>
    <row r="46">
      <c r="B46" s="147" t="inlineStr">
        <is>
          <t>Проверил ____________________________ А.В. Костянецкая</t>
        </is>
      </c>
      <c r="C46" s="220" t="n"/>
      <c r="D46" s="220" t="n"/>
      <c r="E46" s="220" t="n"/>
    </row>
    <row r="47">
      <c r="B47" s="286" t="inlineStr">
        <is>
          <t>(должность, подпись, инициалы, фамилия)</t>
        </is>
      </c>
      <c r="D47" s="220" t="n"/>
      <c r="E47" s="220" t="n"/>
    </row>
    <row r="49">
      <c r="B49" s="220" t="n"/>
      <c r="C49" s="220" t="n"/>
      <c r="D49" s="220" t="n"/>
      <c r="E49" s="220" t="n"/>
    </row>
    <row r="50">
      <c r="B50" s="220" t="n"/>
      <c r="C50" s="220" t="n"/>
      <c r="D50" s="220" t="n"/>
      <c r="E50" s="2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6"/>
  <sheetViews>
    <sheetView tabSelected="1" view="pageBreakPreview" topLeftCell="A44" zoomScaleSheetLayoutView="100" workbookViewId="0">
      <selection activeCell="L84" sqref="L84"/>
    </sheetView>
  </sheetViews>
  <sheetFormatPr baseColWidth="8" defaultColWidth="9.140625" defaultRowHeight="15" outlineLevelRow="1"/>
  <cols>
    <col width="5.7109375" customWidth="1" style="221" min="1" max="1"/>
    <col width="22.5703125" customWidth="1" style="221" min="2" max="2"/>
    <col width="39.140625" customWidth="1" style="221" min="3" max="3"/>
    <col width="13.5703125" customWidth="1" style="221" min="4" max="4"/>
    <col width="12.7109375" customWidth="1" style="221" min="5" max="5"/>
    <col width="14.5703125" customWidth="1" style="221" min="6" max="6"/>
    <col width="13.42578125" customWidth="1" style="221" min="7" max="7"/>
    <col width="12.7109375" customWidth="1" style="221" min="8" max="8"/>
    <col width="13.85546875" customWidth="1" style="221" min="9" max="9"/>
    <col width="17.5703125" customWidth="1" style="221" min="10" max="10"/>
    <col width="10.85546875" customWidth="1" style="221" min="11" max="11"/>
    <col width="16.42578125" customWidth="1" style="221" min="12" max="12"/>
  </cols>
  <sheetData>
    <row r="1">
      <c r="M1" s="221" t="n"/>
      <c r="N1" s="221" t="n"/>
    </row>
    <row r="2" ht="15.75" customHeight="1" s="237">
      <c r="H2" s="287" t="inlineStr">
        <is>
          <t>Приложение №5</t>
        </is>
      </c>
      <c r="M2" s="221" t="n"/>
      <c r="N2" s="221" t="n"/>
    </row>
    <row r="3">
      <c r="M3" s="221" t="n"/>
      <c r="N3" s="221" t="n"/>
    </row>
    <row r="4" ht="12.75" customFormat="1" customHeight="1" s="220">
      <c r="A4" s="259" t="inlineStr">
        <is>
          <t>Расчет стоимости СМР и оборудования</t>
        </is>
      </c>
    </row>
    <row r="5" ht="12.75" customFormat="1" customHeight="1" s="220">
      <c r="A5" s="259" t="n"/>
      <c r="B5" s="259" t="n"/>
      <c r="C5" s="317" t="n"/>
      <c r="D5" s="259" t="n"/>
      <c r="E5" s="259" t="n"/>
      <c r="F5" s="259" t="n"/>
      <c r="G5" s="259" t="n"/>
      <c r="H5" s="259" t="n"/>
      <c r="I5" s="259" t="n"/>
      <c r="J5" s="259" t="n"/>
    </row>
    <row r="6" ht="12.75" customFormat="1" customHeight="1" s="220">
      <c r="A6" s="128" t="inlineStr">
        <is>
          <t>Наименование разрабатываемого показателя УНЦ</t>
        </is>
      </c>
      <c r="B6" s="127" t="n"/>
      <c r="C6" s="127" t="n"/>
      <c r="D6" s="262" t="inlineStr">
        <is>
          <t xml:space="preserve">Автоматический пункт секционирования (реклоузера) 35 кВ без ПКУ </t>
        </is>
      </c>
    </row>
    <row r="7" ht="12.75" customFormat="1" customHeight="1" s="220">
      <c r="A7" s="262" t="inlineStr">
        <is>
          <t>Единица измерения  — 1 ед.</t>
        </is>
      </c>
      <c r="I7" s="285" t="n"/>
      <c r="J7" s="285" t="n"/>
    </row>
    <row r="8" ht="13.5" customFormat="1" customHeight="1" s="220">
      <c r="A8" s="262" t="n"/>
    </row>
    <row r="9" ht="27" customHeight="1" s="237">
      <c r="A9" s="290" t="inlineStr">
        <is>
          <t>№ пп.</t>
        </is>
      </c>
      <c r="B9" s="290" t="inlineStr">
        <is>
          <t>Код ресурса</t>
        </is>
      </c>
      <c r="C9" s="290" t="inlineStr">
        <is>
          <t>Наименование</t>
        </is>
      </c>
      <c r="D9" s="290" t="inlineStr">
        <is>
          <t>Ед. изм.</t>
        </is>
      </c>
      <c r="E9" s="290" t="inlineStr">
        <is>
          <t>Кол-во единиц по проектным данным</t>
        </is>
      </c>
      <c r="F9" s="290" t="inlineStr">
        <is>
          <t>Сметная стоимость в ценах на 01.01.2000 (руб.)</t>
        </is>
      </c>
      <c r="G9" s="362" t="n"/>
      <c r="H9" s="290" t="inlineStr">
        <is>
          <t>Удельный вес, %</t>
        </is>
      </c>
      <c r="I9" s="290" t="inlineStr">
        <is>
          <t>Сметная стоимость в ценах на 01.01.2023 (руб.)</t>
        </is>
      </c>
      <c r="J9" s="362" t="n"/>
      <c r="M9" s="221" t="n"/>
      <c r="N9" s="221" t="n"/>
    </row>
    <row r="10" ht="28.5" customHeight="1" s="237">
      <c r="A10" s="364" t="n"/>
      <c r="B10" s="364" t="n"/>
      <c r="C10" s="364" t="n"/>
      <c r="D10" s="364" t="n"/>
      <c r="E10" s="364" t="n"/>
      <c r="F10" s="290" t="inlineStr">
        <is>
          <t>на ед. изм.</t>
        </is>
      </c>
      <c r="G10" s="290" t="inlineStr">
        <is>
          <t>общая</t>
        </is>
      </c>
      <c r="H10" s="364" t="n"/>
      <c r="I10" s="290" t="inlineStr">
        <is>
          <t>на ед. изм.</t>
        </is>
      </c>
      <c r="J10" s="290" t="inlineStr">
        <is>
          <t>общая</t>
        </is>
      </c>
      <c r="M10" s="221" t="n"/>
      <c r="N10" s="221" t="n"/>
    </row>
    <row r="11">
      <c r="A11" s="290" t="n">
        <v>1</v>
      </c>
      <c r="B11" s="290" t="n">
        <v>2</v>
      </c>
      <c r="C11" s="290" t="n">
        <v>3</v>
      </c>
      <c r="D11" s="290" t="n">
        <v>4</v>
      </c>
      <c r="E11" s="290" t="n">
        <v>5</v>
      </c>
      <c r="F11" s="290" t="n">
        <v>6</v>
      </c>
      <c r="G11" s="290" t="n">
        <v>7</v>
      </c>
      <c r="H11" s="290" t="n">
        <v>8</v>
      </c>
      <c r="I11" s="291" t="n">
        <v>9</v>
      </c>
      <c r="J11" s="291" t="n">
        <v>10</v>
      </c>
      <c r="M11" s="221" t="n"/>
      <c r="N11" s="221" t="n"/>
    </row>
    <row r="12">
      <c r="A12" s="290" t="n"/>
      <c r="B12" s="297" t="inlineStr">
        <is>
          <t>Затраты труда рабочих-строителей</t>
        </is>
      </c>
      <c r="C12" s="361" t="n"/>
      <c r="D12" s="361" t="n"/>
      <c r="E12" s="361" t="n"/>
      <c r="F12" s="361" t="n"/>
      <c r="G12" s="361" t="n"/>
      <c r="H12" s="362" t="n"/>
      <c r="I12" s="119" t="n"/>
      <c r="J12" s="119" t="n"/>
    </row>
    <row r="13" ht="25.5" customHeight="1" s="237">
      <c r="A13" s="290" t="n">
        <v>1</v>
      </c>
      <c r="B13" s="166" t="inlineStr">
        <is>
          <t>1-4-0</t>
        </is>
      </c>
      <c r="C13" s="293" t="inlineStr">
        <is>
          <t>Затраты труда рабочих (средний разряд работы 4,0)</t>
        </is>
      </c>
      <c r="D13" s="290" t="inlineStr">
        <is>
          <t>чел.-ч.</t>
        </is>
      </c>
      <c r="E13" s="371" t="n">
        <v>479.28</v>
      </c>
      <c r="F13" s="313" t="n">
        <v>9.619999999999999</v>
      </c>
      <c r="G13" s="26" t="n">
        <v>4611.95</v>
      </c>
      <c r="H13" s="296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21">
      <c r="A14" s="290" t="n"/>
      <c r="B14" s="290" t="n"/>
      <c r="C14" s="297" t="inlineStr">
        <is>
          <t>Итого по разделу "Затраты труда рабочих-строителей"</t>
        </is>
      </c>
      <c r="D14" s="290" t="inlineStr">
        <is>
          <t>чел.-ч.</t>
        </is>
      </c>
      <c r="E14" s="372">
        <f>SUM(E13:E13)</f>
        <v/>
      </c>
      <c r="F14" s="26" t="n"/>
      <c r="G14" s="26">
        <f>SUM(G13:G13)</f>
        <v/>
      </c>
      <c r="H14" s="298">
        <f>H13</f>
        <v/>
      </c>
      <c r="I14" s="186" t="n"/>
      <c r="J14" s="26">
        <f>SUM(J13:J13)</f>
        <v/>
      </c>
    </row>
    <row r="15" ht="14.25" customFormat="1" customHeight="1" s="221">
      <c r="A15" s="290" t="n"/>
      <c r="B15" s="293" t="inlineStr">
        <is>
          <t>Затраты труда машинистов</t>
        </is>
      </c>
      <c r="C15" s="361" t="n"/>
      <c r="D15" s="361" t="n"/>
      <c r="E15" s="361" t="n"/>
      <c r="F15" s="361" t="n"/>
      <c r="G15" s="361" t="n"/>
      <c r="H15" s="362" t="n"/>
      <c r="I15" s="119" t="n"/>
      <c r="J15" s="119" t="n"/>
    </row>
    <row r="16" ht="14.25" customFormat="1" customHeight="1" s="221">
      <c r="A16" s="290" t="n">
        <v>2</v>
      </c>
      <c r="B16" s="290" t="n">
        <v>2</v>
      </c>
      <c r="C16" s="293" t="inlineStr">
        <is>
          <t>Затраты труда машинистов</t>
        </is>
      </c>
      <c r="D16" s="290" t="inlineStr">
        <is>
          <t>чел.-ч.</t>
        </is>
      </c>
      <c r="E16" s="290" t="n">
        <v>39.79</v>
      </c>
      <c r="F16" s="26">
        <f>G16/E16</f>
        <v/>
      </c>
      <c r="G16" s="26" t="n">
        <v>532.2786</v>
      </c>
      <c r="H16" s="298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21">
      <c r="A17" s="290" t="n"/>
      <c r="B17" s="297" t="inlineStr">
        <is>
          <t>Машины и механизмы</t>
        </is>
      </c>
      <c r="C17" s="361" t="n"/>
      <c r="D17" s="361" t="n"/>
      <c r="E17" s="361" t="n"/>
      <c r="F17" s="361" t="n"/>
      <c r="G17" s="361" t="n"/>
      <c r="H17" s="362" t="n"/>
      <c r="I17" s="119" t="n"/>
      <c r="J17" s="119" t="n"/>
    </row>
    <row r="18" ht="14.25" customFormat="1" customHeight="1" s="221">
      <c r="A18" s="291" t="n"/>
      <c r="B18" s="299" t="inlineStr">
        <is>
          <t>Основные машины и механизмы</t>
        </is>
      </c>
      <c r="C18" s="373" t="n"/>
      <c r="D18" s="373" t="n"/>
      <c r="E18" s="373" t="n"/>
      <c r="F18" s="373" t="n"/>
      <c r="G18" s="373" t="n"/>
      <c r="H18" s="374" t="n"/>
      <c r="I18" s="170" t="n"/>
      <c r="J18" s="170" t="n"/>
    </row>
    <row r="19" ht="25.5" customFormat="1" customHeight="1" s="221">
      <c r="A19" s="290" t="n">
        <v>3</v>
      </c>
      <c r="B19" s="166" t="inlineStr">
        <is>
          <t>91.05.05-014</t>
        </is>
      </c>
      <c r="C19" s="293" t="inlineStr">
        <is>
          <t>Краны на автомобильном ходу, грузоподъемность 10 т</t>
        </is>
      </c>
      <c r="D19" s="290" t="inlineStr">
        <is>
          <t>маш.-ч</t>
        </is>
      </c>
      <c r="E19" s="290" t="n">
        <v>35.7</v>
      </c>
      <c r="F19" s="313" t="n">
        <v>111.99</v>
      </c>
      <c r="G19" s="26">
        <f>ROUND(E19*F19,2)</f>
        <v/>
      </c>
      <c r="H19" s="296">
        <f>G19/$G$30</f>
        <v/>
      </c>
      <c r="I19" s="26">
        <f>ROUND(F19*Прил.10!$D$12,2)</f>
        <v/>
      </c>
      <c r="J19" s="26">
        <f>ROUND(I19*E19,2)</f>
        <v/>
      </c>
    </row>
    <row r="20" ht="25.5" customFormat="1" customHeight="1" s="221">
      <c r="A20" s="290" t="n">
        <v>4</v>
      </c>
      <c r="B20" s="166" t="inlineStr">
        <is>
          <t>91.14.02-001</t>
        </is>
      </c>
      <c r="C20" s="293" t="inlineStr">
        <is>
          <t>Автомобили бортовые, грузоподъемность до 5 т</t>
        </is>
      </c>
      <c r="D20" s="290" t="inlineStr">
        <is>
          <t>маш.-ч</t>
        </is>
      </c>
      <c r="E20" s="290" t="n">
        <v>7.74</v>
      </c>
      <c r="F20" s="313" t="n">
        <v>65.70999999999999</v>
      </c>
      <c r="G20" s="26">
        <f>ROUND(E20*F20,2)</f>
        <v/>
      </c>
      <c r="H20" s="171">
        <f>G20/$G$30</f>
        <v/>
      </c>
      <c r="I20" s="129">
        <f>ROUND(F20*Прил.10!$D$12,2)</f>
        <v/>
      </c>
      <c r="J20" s="129">
        <f>ROUND(I20*E20,2)</f>
        <v/>
      </c>
    </row>
    <row r="21" ht="25.5" customFormat="1" customHeight="1" s="221">
      <c r="A21" s="290" t="n">
        <v>5</v>
      </c>
      <c r="B21" s="166" t="inlineStr">
        <is>
          <t>91.06.06-014</t>
        </is>
      </c>
      <c r="C21" s="293" t="inlineStr">
        <is>
          <t>Автогидроподъемники, высота подъема 28 м</t>
        </is>
      </c>
      <c r="D21" s="290" t="inlineStr">
        <is>
          <t>маш.-ч</t>
        </is>
      </c>
      <c r="E21" s="166" t="n">
        <v>1.11</v>
      </c>
      <c r="F21" s="313" t="n">
        <v>243.49</v>
      </c>
      <c r="G21" s="26">
        <f>ROUND(E21*F21,2)</f>
        <v/>
      </c>
      <c r="H21" s="171">
        <f>G21/$G$30</f>
        <v/>
      </c>
      <c r="I21" s="129">
        <f>ROUND(F21*Прил.10!$D$12,2)</f>
        <v/>
      </c>
      <c r="J21" s="129">
        <f>ROUND(I21*E21,2)</f>
        <v/>
      </c>
    </row>
    <row r="22" ht="14.25" customFormat="1" customHeight="1" s="221">
      <c r="A22" s="290" t="n"/>
      <c r="B22" s="204" t="n"/>
      <c r="C22" s="299" t="inlineStr">
        <is>
          <t>Итого основные машины и механизмы</t>
        </is>
      </c>
      <c r="D22" s="291" t="n"/>
      <c r="E22" s="375" t="n"/>
      <c r="F22" s="313" t="n"/>
      <c r="G22" s="26">
        <f>SUM(G19:G21)</f>
        <v/>
      </c>
      <c r="H22" s="296">
        <f>G22/G30</f>
        <v/>
      </c>
      <c r="I22" s="26" t="n"/>
      <c r="J22" s="26">
        <f>SUM(J19:J21)</f>
        <v/>
      </c>
    </row>
    <row r="23" hidden="1" outlineLevel="1" ht="25.5" customFormat="1" customHeight="1" s="221">
      <c r="A23" s="290" t="n">
        <v>6</v>
      </c>
      <c r="B23" s="205" t="inlineStr">
        <is>
          <t>91.06.03-058</t>
        </is>
      </c>
      <c r="C23" s="293" t="inlineStr">
        <is>
          <t>Лебедки электрические тяговым усилием 156,96 кН (16 т)</t>
        </is>
      </c>
      <c r="D23" s="290" t="inlineStr">
        <is>
          <t>маш.час</t>
        </is>
      </c>
      <c r="E23" s="290" t="n">
        <v>1.68</v>
      </c>
      <c r="F23" s="313" t="n">
        <v>131.44</v>
      </c>
      <c r="G23" s="26">
        <f>ROUND(E23*F23,2)</f>
        <v/>
      </c>
      <c r="H23" s="296">
        <f>G23/$G$30</f>
        <v/>
      </c>
      <c r="I23" s="26">
        <f>ROUND(F23*Прил.10!$D$12,2)</f>
        <v/>
      </c>
      <c r="J23" s="26">
        <f>ROUND(I23*E23,2)</f>
        <v/>
      </c>
    </row>
    <row r="24" hidden="1" outlineLevel="1" ht="25.5" customFormat="1" customHeight="1" s="221">
      <c r="A24" s="290" t="n">
        <v>7</v>
      </c>
      <c r="B24" s="205" t="inlineStr">
        <is>
          <t>040502</t>
        </is>
      </c>
      <c r="C24" s="293" t="inlineStr">
        <is>
          <t>Установки для сварки ручной дуговой (постоянного тока)</t>
        </is>
      </c>
      <c r="D24" s="290" t="inlineStr">
        <is>
          <t>маш.час</t>
        </is>
      </c>
      <c r="E24" s="290" t="n">
        <v>26.26</v>
      </c>
      <c r="F24" s="313" t="n">
        <v>8.1</v>
      </c>
      <c r="G24" s="26">
        <f>ROUND(E24*F24,2)</f>
        <v/>
      </c>
      <c r="H24" s="296">
        <f>G24/$G$30</f>
        <v/>
      </c>
      <c r="I24" s="26">
        <f>ROUND(F24*Прил.10!$D$12,2)</f>
        <v/>
      </c>
      <c r="J24" s="26">
        <f>ROUND(I24*E24,2)</f>
        <v/>
      </c>
    </row>
    <row r="25" hidden="1" outlineLevel="1" ht="51" customFormat="1" customHeight="1" s="221">
      <c r="A25" s="290" t="n">
        <v>8</v>
      </c>
      <c r="B25" s="205" t="inlineStr">
        <is>
          <t>050101</t>
        </is>
      </c>
      <c r="C25" s="293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25" s="290" t="inlineStr">
        <is>
          <t>маш.час</t>
        </is>
      </c>
      <c r="E25" s="290" t="n">
        <v>0.66</v>
      </c>
      <c r="F25" s="313" t="n">
        <v>90</v>
      </c>
      <c r="G25" s="26">
        <f>ROUND(E25*F25,2)</f>
        <v/>
      </c>
      <c r="H25" s="296">
        <f>G25/$G$30</f>
        <v/>
      </c>
      <c r="I25" s="26">
        <f>ROUND(F25*Прил.10!$D$12,2)</f>
        <v/>
      </c>
      <c r="J25" s="26">
        <f>ROUND(I25*E25,2)</f>
        <v/>
      </c>
    </row>
    <row r="26" hidden="1" outlineLevel="1" ht="38.25" customFormat="1" customHeight="1" s="221">
      <c r="A26" s="290" t="n">
        <v>9</v>
      </c>
      <c r="B26" s="205" t="inlineStr">
        <is>
          <t>010312</t>
        </is>
      </c>
      <c r="C26" s="293" t="inlineStr">
        <is>
          <t>Тракторы на гусеничном ходу при работе на других видах строительства 79 кВт (108 л.с.)</t>
        </is>
      </c>
      <c r="D26" s="290" t="inlineStr">
        <is>
          <t>маш.час</t>
        </is>
      </c>
      <c r="E26" s="290" t="n">
        <v>0.64</v>
      </c>
      <c r="F26" s="313" t="n">
        <v>83.09999999999999</v>
      </c>
      <c r="G26" s="26">
        <f>ROUND(E26*F26,2)</f>
        <v/>
      </c>
      <c r="H26" s="296">
        <f>G26/$G$30</f>
        <v/>
      </c>
      <c r="I26" s="26">
        <f>ROUND(F26*Прил.10!$D$12,2)</f>
        <v/>
      </c>
      <c r="J26" s="26">
        <f>ROUND(I26*E26,2)</f>
        <v/>
      </c>
    </row>
    <row r="27" hidden="1" outlineLevel="1" ht="14.25" customFormat="1" customHeight="1" s="221">
      <c r="A27" s="290" t="n">
        <v>10</v>
      </c>
      <c r="B27" s="205" t="n">
        <v>161300</v>
      </c>
      <c r="C27" s="293" t="inlineStr">
        <is>
          <t>Тележки раскаточные на гусеничном ходу</t>
        </is>
      </c>
      <c r="D27" s="290" t="inlineStr">
        <is>
          <t>маш.час</t>
        </is>
      </c>
      <c r="E27" s="290" t="n">
        <v>0.16</v>
      </c>
      <c r="F27" s="313" t="n">
        <v>17.14</v>
      </c>
      <c r="G27" s="26">
        <f>ROUND(E27*F27,2)</f>
        <v/>
      </c>
      <c r="H27" s="296">
        <f>G27/$G$30</f>
        <v/>
      </c>
      <c r="I27" s="26">
        <f>ROUND(F27*Прил.10!$D$12,2)</f>
        <v/>
      </c>
      <c r="J27" s="26">
        <f>ROUND(I27*E27,2)</f>
        <v/>
      </c>
    </row>
    <row r="28" hidden="1" outlineLevel="1" ht="25.5" customFormat="1" customHeight="1" s="221">
      <c r="A28" s="290" t="n">
        <v>11</v>
      </c>
      <c r="B28" s="205" t="n">
        <v>100602</v>
      </c>
      <c r="C28" s="293" t="inlineStr">
        <is>
          <t>Молотки бурильные: легкие при работе от передвижных компрессорных станций</t>
        </is>
      </c>
      <c r="D28" s="290" t="inlineStr">
        <is>
          <t>маш.час</t>
        </is>
      </c>
      <c r="E28" s="166" t="n">
        <v>0.66</v>
      </c>
      <c r="F28" s="313" t="n">
        <v>2.99</v>
      </c>
      <c r="G28" s="26">
        <f>ROUND(E28*F28,2)</f>
        <v/>
      </c>
      <c r="H28" s="296">
        <f>G28/$G$30</f>
        <v/>
      </c>
      <c r="I28" s="26">
        <f>ROUND(F28*Прил.10!$D$12,2)</f>
        <v/>
      </c>
      <c r="J28" s="26">
        <f>ROUND(I28*E28,2)</f>
        <v/>
      </c>
    </row>
    <row r="29" collapsed="1" ht="14.25" customFormat="1" customHeight="1" s="221">
      <c r="A29" s="290" t="n"/>
      <c r="B29" s="289" t="n"/>
      <c r="C29" s="293" t="inlineStr">
        <is>
          <t>Итого прочие машины и механизмы</t>
        </is>
      </c>
      <c r="D29" s="290" t="n"/>
      <c r="E29" s="294" t="n"/>
      <c r="F29" s="26" t="n"/>
      <c r="G29" s="121">
        <f>SUM(G23:G28)</f>
        <v/>
      </c>
      <c r="H29" s="296">
        <f>G29/G30</f>
        <v/>
      </c>
      <c r="I29" s="26" t="n"/>
      <c r="J29" s="121">
        <f>SUM(J23:J28)</f>
        <v/>
      </c>
    </row>
    <row r="30" ht="25.5" customFormat="1" customHeight="1" s="221">
      <c r="A30" s="292" t="n"/>
      <c r="B30" s="290" t="n"/>
      <c r="C30" s="297" t="inlineStr">
        <is>
          <t>Итого по разделу «Машины и механизмы»</t>
        </is>
      </c>
      <c r="D30" s="290" t="n"/>
      <c r="E30" s="294" t="n"/>
      <c r="F30" s="26" t="n"/>
      <c r="G30" s="26">
        <f>G29+G22</f>
        <v/>
      </c>
      <c r="H30" s="123" t="n">
        <v>1</v>
      </c>
      <c r="I30" s="124" t="n"/>
      <c r="J30" s="26">
        <f>J29+J22</f>
        <v/>
      </c>
    </row>
    <row r="31" ht="14.25" customFormat="1" customHeight="1" s="221">
      <c r="A31" s="290" t="n"/>
      <c r="B31" s="297" t="inlineStr">
        <is>
          <t>Оборудование</t>
        </is>
      </c>
      <c r="C31" s="361" t="n"/>
      <c r="D31" s="361" t="n"/>
      <c r="E31" s="361" t="n"/>
      <c r="F31" s="361" t="n"/>
      <c r="G31" s="361" t="n"/>
      <c r="H31" s="362" t="n"/>
      <c r="I31" s="119" t="n"/>
      <c r="J31" s="119" t="n"/>
    </row>
    <row r="32">
      <c r="A32" s="291" t="n"/>
      <c r="B32" s="299" t="inlineStr">
        <is>
          <t>Основное оборудование</t>
        </is>
      </c>
      <c r="C32" s="373" t="n"/>
      <c r="D32" s="373" t="n"/>
      <c r="E32" s="373" t="n"/>
      <c r="F32" s="373" t="n"/>
      <c r="G32" s="373" t="n"/>
      <c r="H32" s="374" t="n"/>
      <c r="I32" s="170" t="n"/>
      <c r="J32" s="170" t="n"/>
    </row>
    <row r="33" ht="25.5" customHeight="1" s="237">
      <c r="A33" s="290" t="n">
        <v>12</v>
      </c>
      <c r="B33" s="166" t="inlineStr">
        <is>
          <t>БЦ.115.20</t>
        </is>
      </c>
      <c r="C33" s="293" t="inlineStr">
        <is>
          <t>Реклоузер 35 кВ бе ПКУ</t>
        </is>
      </c>
      <c r="D33" s="7" t="inlineStr">
        <is>
          <t>шт</t>
        </is>
      </c>
      <c r="E33" s="7" t="n">
        <v>2</v>
      </c>
      <c r="F33" s="376">
        <f>ROUND(I33/Прил.10!$D$14,2)</f>
        <v/>
      </c>
      <c r="G33" s="26">
        <f>ROUND(E33*F33,2)</f>
        <v/>
      </c>
      <c r="H33" s="296">
        <f>G33/$G$43</f>
        <v/>
      </c>
      <c r="I33" s="26" t="n">
        <v>2622641.51</v>
      </c>
      <c r="J33" s="26">
        <f>ROUND(I33*E33,2)</f>
        <v/>
      </c>
      <c r="L33" s="377" t="n"/>
    </row>
    <row r="34" ht="25.5" customHeight="1" s="237">
      <c r="A34" s="290" t="n">
        <v>13</v>
      </c>
      <c r="B34" s="166" t="inlineStr">
        <is>
          <t>БЦ.61.66</t>
        </is>
      </c>
      <c r="C34" s="293" t="inlineStr">
        <is>
          <t>Разъединитель с одним комплектом заземляющих ножей 35 кВ</t>
        </is>
      </c>
      <c r="D34" s="7" t="inlineStr">
        <is>
          <t>шт</t>
        </is>
      </c>
      <c r="E34" s="7" t="n">
        <v>3</v>
      </c>
      <c r="F34" s="376">
        <f>ROUND(I34/Прил.10!$D$14,2)</f>
        <v/>
      </c>
      <c r="G34" s="26">
        <f>ROUND(E34*F34,2)</f>
        <v/>
      </c>
      <c r="H34" s="296">
        <f>G34/$G$43</f>
        <v/>
      </c>
      <c r="I34" s="26" t="n">
        <v>159704</v>
      </c>
      <c r="J34" s="26">
        <f>ROUND(I34*E34,2)</f>
        <v/>
      </c>
      <c r="L34" s="377" t="n"/>
    </row>
    <row r="35" ht="25.5" customHeight="1" s="237">
      <c r="A35" s="290" t="n">
        <v>14</v>
      </c>
      <c r="B35" s="166" t="inlineStr">
        <is>
          <t>БЦ.16.114</t>
        </is>
      </c>
      <c r="C35" s="293" t="inlineStr">
        <is>
          <t>Трансформатор напряжения 35 кВ 960 ВА</t>
        </is>
      </c>
      <c r="D35" s="7" t="inlineStr">
        <is>
          <t>шт</t>
        </is>
      </c>
      <c r="E35" s="7" t="n">
        <v>3</v>
      </c>
      <c r="F35" s="376">
        <f>ROUND(I35/Прил.10!$D$14,2)</f>
        <v/>
      </c>
      <c r="G35" s="26">
        <f>ROUND(E35*F35,2)</f>
        <v/>
      </c>
      <c r="H35" s="296">
        <f>G35/$G$43</f>
        <v/>
      </c>
      <c r="I35" s="26" t="n">
        <v>342000</v>
      </c>
      <c r="J35" s="26">
        <f>ROUND(I35*E35,2)</f>
        <v/>
      </c>
      <c r="L35" s="377" t="n"/>
    </row>
    <row r="36" ht="25.5" customHeight="1" s="237">
      <c r="A36" s="290" t="n">
        <v>15</v>
      </c>
      <c r="B36" s="166" t="inlineStr">
        <is>
          <t>БЦ.14.129</t>
        </is>
      </c>
      <c r="C36" s="293" t="inlineStr">
        <is>
          <t>Трансформатор тока 35 кВ, 800А, 40 кА</t>
        </is>
      </c>
      <c r="D36" s="7" t="inlineStr">
        <is>
          <t>шт</t>
        </is>
      </c>
      <c r="E36" s="7" t="n">
        <v>6</v>
      </c>
      <c r="F36" s="376">
        <f>ROUND(I36/Прил.10!$D$14,2)</f>
        <v/>
      </c>
      <c r="G36" s="26">
        <f>ROUND(E36*F36,2)</f>
        <v/>
      </c>
      <c r="H36" s="296">
        <f>G36/$G$43</f>
        <v/>
      </c>
      <c r="I36" s="26" t="n">
        <v>303600</v>
      </c>
      <c r="J36" s="26">
        <f>ROUND(I36*E36,2)</f>
        <v/>
      </c>
    </row>
    <row r="37">
      <c r="A37" s="175" t="n"/>
      <c r="B37" s="175" t="n"/>
      <c r="C37" s="178" t="inlineStr">
        <is>
          <t>Итого основное оборудование</t>
        </is>
      </c>
      <c r="D37" s="175" t="n"/>
      <c r="E37" s="378" t="n"/>
      <c r="F37" s="376" t="n"/>
      <c r="G37" s="177">
        <f>SUM(G33:G36)</f>
        <v/>
      </c>
      <c r="H37" s="207">
        <f>G37/$G$43</f>
        <v/>
      </c>
      <c r="I37" s="176" t="n"/>
      <c r="J37" s="177">
        <f>SUM(J33:J36)</f>
        <v/>
      </c>
    </row>
    <row r="38" hidden="1" outlineLevel="1" ht="25.5" customHeight="1" s="237">
      <c r="A38" s="290" t="n">
        <v>16</v>
      </c>
      <c r="B38" s="166" t="inlineStr">
        <is>
          <t>БЦ.63.66</t>
        </is>
      </c>
      <c r="C38" s="293" t="inlineStr">
        <is>
          <t>Разъединитель с одним комплектом заземляющих ножей 35 кВ</t>
        </is>
      </c>
      <c r="D38" s="7" t="inlineStr">
        <is>
          <t>шт</t>
        </is>
      </c>
      <c r="E38" s="7" t="n">
        <v>2</v>
      </c>
      <c r="F38" s="376">
        <f>ROUND(I38/Прил.10!$D$14,2)</f>
        <v/>
      </c>
      <c r="G38" s="26">
        <f>ROUND(E38*F38,2)</f>
        <v/>
      </c>
      <c r="H38" s="296">
        <f>G38/$G$43</f>
        <v/>
      </c>
      <c r="I38" s="26" t="n">
        <v>145514.4</v>
      </c>
      <c r="J38" s="26">
        <f>ROUND(I38*E38,2)</f>
        <v/>
      </c>
      <c r="L38" s="377" t="n"/>
    </row>
    <row r="39" hidden="1" outlineLevel="1" ht="25.5" customHeight="1" s="237">
      <c r="A39" s="290" t="n">
        <v>17</v>
      </c>
      <c r="B39" s="166" t="inlineStr">
        <is>
          <t>БЦ.60.41</t>
        </is>
      </c>
      <c r="C39" s="293" t="inlineStr">
        <is>
          <t>Ограничитель перенапряжений 35 кВ</t>
        </is>
      </c>
      <c r="D39" s="7" t="inlineStr">
        <is>
          <t>шт</t>
        </is>
      </c>
      <c r="E39" s="7" t="n">
        <v>6</v>
      </c>
      <c r="F39" s="376">
        <f>ROUND(I39/Прил.10!$D$14,2)</f>
        <v/>
      </c>
      <c r="G39" s="26">
        <f>ROUND(E39*F39,2)</f>
        <v/>
      </c>
      <c r="H39" s="296">
        <f>G39/$G$43</f>
        <v/>
      </c>
      <c r="I39" s="26" t="n">
        <v>34170</v>
      </c>
      <c r="J39" s="26">
        <f>ROUND(I39*E39,2)</f>
        <v/>
      </c>
    </row>
    <row r="40" hidden="1" outlineLevel="1" ht="25.5" customHeight="1" s="237">
      <c r="A40" s="290" t="n">
        <v>18</v>
      </c>
      <c r="B40" s="166" t="inlineStr">
        <is>
          <t>БЦ.30_1.151</t>
        </is>
      </c>
      <c r="C40" s="293" t="inlineStr">
        <is>
          <t>Шкаф зажимов трансформатора напряжения ШЗН</t>
        </is>
      </c>
      <c r="D40" s="7" t="inlineStr">
        <is>
          <t>шт</t>
        </is>
      </c>
      <c r="E40" s="7" t="n">
        <v>1</v>
      </c>
      <c r="F40" s="376">
        <f>ROUND(I40/Прил.10!$D$14,2)</f>
        <v/>
      </c>
      <c r="G40" s="26">
        <f>ROUND(E40*F40,2)</f>
        <v/>
      </c>
      <c r="H40" s="296">
        <f>G40/$G$43</f>
        <v/>
      </c>
      <c r="I40" s="26" t="n">
        <v>189750</v>
      </c>
      <c r="J40" s="26">
        <f>ROUND(I40*E40,2)</f>
        <v/>
      </c>
    </row>
    <row r="41" hidden="1" outlineLevel="1" s="237">
      <c r="A41" s="290" t="n">
        <v>19</v>
      </c>
      <c r="B41" s="166" t="inlineStr">
        <is>
          <t>БЦ.30_1.149</t>
        </is>
      </c>
      <c r="C41" s="293" t="inlineStr">
        <is>
          <t>Шкаф промежуточных зажимов ШЗВ-60</t>
        </is>
      </c>
      <c r="D41" s="7" t="inlineStr">
        <is>
          <t>шт</t>
        </is>
      </c>
      <c r="E41" s="7" t="n">
        <v>2</v>
      </c>
      <c r="F41" s="376">
        <f>ROUND(I41/Прил.10!$D$14,2)</f>
        <v/>
      </c>
      <c r="G41" s="26">
        <f>ROUND(E41*F41,2)</f>
        <v/>
      </c>
      <c r="H41" s="296">
        <f>G41/$G$43</f>
        <v/>
      </c>
      <c r="I41" s="26" t="n">
        <v>138000</v>
      </c>
      <c r="J41" s="26">
        <f>ROUND(I41*E41,2)</f>
        <v/>
      </c>
    </row>
    <row r="42" collapsed="1" s="237">
      <c r="A42" s="175" t="n"/>
      <c r="B42" s="292" t="n"/>
      <c r="C42" s="173" t="inlineStr">
        <is>
          <t>Итого прочее оборудование</t>
        </is>
      </c>
      <c r="D42" s="292" t="n"/>
      <c r="E42" s="379" t="n"/>
      <c r="F42" s="174" t="n"/>
      <c r="G42" s="129">
        <f>SUM(G38:G41)</f>
        <v/>
      </c>
      <c r="H42" s="296">
        <f>G42/$G$43</f>
        <v/>
      </c>
      <c r="I42" s="176" t="n"/>
      <c r="J42" s="177">
        <f>SUM(J38:J41)</f>
        <v/>
      </c>
    </row>
    <row r="43">
      <c r="A43" s="291" t="n"/>
      <c r="B43" s="291" t="n"/>
      <c r="C43" s="160" t="inlineStr">
        <is>
          <t>Итого по разделу «Оборудование»</t>
        </is>
      </c>
      <c r="D43" s="291" t="n"/>
      <c r="E43" s="300" t="n"/>
      <c r="F43" s="301" t="n"/>
      <c r="G43" s="163">
        <f>G37+G42</f>
        <v/>
      </c>
      <c r="H43" s="296">
        <f>G43/$G$43</f>
        <v/>
      </c>
      <c r="I43" s="164" t="n"/>
      <c r="J43" s="163">
        <f>J37+J42</f>
        <v/>
      </c>
    </row>
    <row r="44" ht="25.5" customHeight="1" s="237">
      <c r="A44" s="290" t="n"/>
      <c r="B44" s="290" t="n"/>
      <c r="C44" s="293" t="inlineStr">
        <is>
          <t>в том числе технологическое оборудование</t>
        </is>
      </c>
      <c r="D44" s="290" t="n"/>
      <c r="E44" s="380" t="n"/>
      <c r="F44" s="295" t="n"/>
      <c r="G44" s="26">
        <f>'Прил.6 Расчет ОБ'!G20</f>
        <v/>
      </c>
      <c r="H44" s="296" t="n"/>
      <c r="I44" s="26" t="n"/>
      <c r="J44" s="26">
        <f>J43</f>
        <v/>
      </c>
    </row>
    <row r="45" ht="14.25" customFormat="1" customHeight="1" s="221">
      <c r="A45" s="290" t="n"/>
      <c r="B45" s="297" t="inlineStr">
        <is>
          <t>Материалы</t>
        </is>
      </c>
      <c r="C45" s="361" t="n"/>
      <c r="D45" s="361" t="n"/>
      <c r="E45" s="361" t="n"/>
      <c r="F45" s="361" t="n"/>
      <c r="G45" s="361" t="n"/>
      <c r="H45" s="362" t="n"/>
      <c r="I45" s="119" t="n"/>
      <c r="J45" s="119" t="n"/>
    </row>
    <row r="46" ht="14.25" customFormat="1" customHeight="1" s="221">
      <c r="A46" s="290" t="n"/>
      <c r="B46" s="293" t="inlineStr">
        <is>
          <t>Основные материалы</t>
        </is>
      </c>
      <c r="C46" s="361" t="n"/>
      <c r="D46" s="361" t="n"/>
      <c r="E46" s="361" t="n"/>
      <c r="F46" s="361" t="n"/>
      <c r="G46" s="361" t="n"/>
      <c r="H46" s="362" t="n"/>
      <c r="I46" s="119" t="n"/>
      <c r="J46" s="119" t="n"/>
    </row>
    <row r="47" ht="14.25" customFormat="1" customHeight="1" s="221">
      <c r="A47" s="290" t="n">
        <v>20</v>
      </c>
      <c r="B47" s="166" t="inlineStr">
        <is>
          <t>БЦ.104.19</t>
        </is>
      </c>
      <c r="C47" s="293" t="inlineStr">
        <is>
          <t>Провод АС-120</t>
        </is>
      </c>
      <c r="D47" s="7" t="inlineStr">
        <is>
          <t>км</t>
        </is>
      </c>
      <c r="E47" s="7" t="n">
        <v>0.6</v>
      </c>
      <c r="F47" s="376">
        <f>ROUND(I47/Прил.10!$D$13,2)</f>
        <v/>
      </c>
      <c r="G47" s="129">
        <f>ROUND(E47*F47,2)</f>
        <v/>
      </c>
      <c r="H47" s="296">
        <f>G47/$G$74</f>
        <v/>
      </c>
      <c r="I47" s="168" t="n">
        <v>194678</v>
      </c>
      <c r="J47" s="168">
        <f>ROUND(I47*E47,2)</f>
        <v/>
      </c>
    </row>
    <row r="48" ht="30" customFormat="1" customHeight="1" s="221">
      <c r="A48" s="290" t="n">
        <v>21</v>
      </c>
      <c r="B48" s="340" t="inlineStr">
        <is>
          <t>22.2.01.08-0001</t>
        </is>
      </c>
      <c r="C48" s="57" t="inlineStr">
        <is>
          <t>Изолятор линейный подвесной полимерный ЛК 70/220-БIV</t>
        </is>
      </c>
      <c r="D48" s="340" t="inlineStr">
        <is>
          <t>шт</t>
        </is>
      </c>
      <c r="E48" s="7" t="n">
        <v>6</v>
      </c>
      <c r="F48" s="201" t="n">
        <v>475.31</v>
      </c>
      <c r="G48" s="129">
        <f>ROUND(E48*F48,2)</f>
        <v/>
      </c>
      <c r="H48" s="296">
        <f>G48/$G$74</f>
        <v/>
      </c>
      <c r="I48" s="168">
        <f>ROUND(F48*Прил.10!$D$13,2)</f>
        <v/>
      </c>
      <c r="J48" s="168">
        <f>ROUND(I48*E48,2)</f>
        <v/>
      </c>
    </row>
    <row r="49" ht="30" customFormat="1" customHeight="1" s="221">
      <c r="A49" s="290" t="n">
        <v>22</v>
      </c>
      <c r="B49" s="340" t="inlineStr">
        <is>
          <t>21.1.08.01-0105</t>
        </is>
      </c>
      <c r="C49" s="57" t="inlineStr">
        <is>
          <t>Кабель пожарной сигнализации КПСВЭВ 2х2х0,75</t>
        </is>
      </c>
      <c r="D49" s="7" t="inlineStr">
        <is>
          <t>1000 м</t>
        </is>
      </c>
      <c r="E49" s="7" t="n">
        <v>0.3</v>
      </c>
      <c r="F49" s="200" t="n">
        <v>6792.85</v>
      </c>
      <c r="G49" s="129">
        <f>ROUND(E49*F49,2)</f>
        <v/>
      </c>
      <c r="H49" s="296">
        <f>G49/$G$74</f>
        <v/>
      </c>
      <c r="I49" s="168">
        <f>ROUND(F49*Прил.10!$D$13,2)</f>
        <v/>
      </c>
      <c r="J49" s="168">
        <f>ROUND(I49*E49,2)</f>
        <v/>
      </c>
    </row>
    <row r="50" ht="14.25" customFormat="1" customHeight="1" s="221">
      <c r="A50" s="290" t="n">
        <v>23</v>
      </c>
      <c r="B50" s="166" t="inlineStr">
        <is>
          <t>01.7.17.11-0001</t>
        </is>
      </c>
      <c r="C50" s="293" t="inlineStr">
        <is>
          <t>Бумага шлифовальная</t>
        </is>
      </c>
      <c r="D50" s="7" t="inlineStr">
        <is>
          <t>кг</t>
        </is>
      </c>
      <c r="E50" s="7" t="n">
        <v>28</v>
      </c>
      <c r="F50" s="168" t="n">
        <v>50</v>
      </c>
      <c r="G50" s="129">
        <f>ROUND(E50*F50,2)</f>
        <v/>
      </c>
      <c r="H50" s="296">
        <f>G50/$G$74</f>
        <v/>
      </c>
      <c r="I50" s="168">
        <f>ROUND(F50*Прил.10!$D$13,2)</f>
        <v/>
      </c>
      <c r="J50" s="168">
        <f>ROUND(I50*E50,2)</f>
        <v/>
      </c>
    </row>
    <row r="51" ht="14.25" customFormat="1" customHeight="1" s="221">
      <c r="A51" s="290" t="n">
        <v>24</v>
      </c>
      <c r="B51" s="166" t="inlineStr">
        <is>
          <t>20.5.04.03-0011</t>
        </is>
      </c>
      <c r="C51" s="293" t="inlineStr">
        <is>
          <t>Зажимы наборные</t>
        </is>
      </c>
      <c r="D51" s="7" t="inlineStr">
        <is>
          <t>шт.</t>
        </is>
      </c>
      <c r="E51" s="7" t="n">
        <v>224.4</v>
      </c>
      <c r="F51" s="168" t="n">
        <v>3.5</v>
      </c>
      <c r="G51" s="129">
        <f>ROUND(E51*F51,2)</f>
        <v/>
      </c>
      <c r="H51" s="296">
        <f>G51/$G$74</f>
        <v/>
      </c>
      <c r="I51" s="168">
        <f>ROUND(F51*Прил.10!$D$13,2)</f>
        <v/>
      </c>
      <c r="J51" s="168">
        <f>ROUND(I51*E51,2)</f>
        <v/>
      </c>
    </row>
    <row r="52" ht="25.5" customFormat="1" customHeight="1" s="221">
      <c r="A52" s="290" t="n">
        <v>25</v>
      </c>
      <c r="B52" s="166" t="inlineStr">
        <is>
          <t>08.3.07.01-0076</t>
        </is>
      </c>
      <c r="C52" s="293" t="inlineStr">
        <is>
          <t>Сталь полосовая, марка стали: Ст3сп шириной 50-200 мм толщиной 4-5 мм</t>
        </is>
      </c>
      <c r="D52" s="7" t="inlineStr">
        <is>
          <t>т</t>
        </is>
      </c>
      <c r="E52" s="7" t="n">
        <v>0.1466</v>
      </c>
      <c r="F52" s="168" t="n">
        <v>5000</v>
      </c>
      <c r="G52" s="129">
        <f>ROUND(E52*F52,2)</f>
        <v/>
      </c>
      <c r="H52" s="296">
        <f>G52/$G$74</f>
        <v/>
      </c>
      <c r="I52" s="168">
        <f>ROUND(F52*Прил.10!$D$13,2)</f>
        <v/>
      </c>
      <c r="J52" s="168">
        <f>ROUND(I52*E52,2)</f>
        <v/>
      </c>
    </row>
    <row r="53" ht="14.25" customFormat="1" customHeight="1" s="221">
      <c r="A53" s="290" t="n">
        <v>26</v>
      </c>
      <c r="B53" s="166" t="inlineStr">
        <is>
          <t>01.7.15.03-0042</t>
        </is>
      </c>
      <c r="C53" s="293" t="inlineStr">
        <is>
          <t>Болты с гайками и шайбами строительные</t>
        </is>
      </c>
      <c r="D53" s="7" t="inlineStr">
        <is>
          <t>кг</t>
        </is>
      </c>
      <c r="E53" s="7" t="n">
        <v>76.91</v>
      </c>
      <c r="F53" s="168" t="n">
        <v>9.039999999999999</v>
      </c>
      <c r="G53" s="129">
        <f>ROUND(E53*F53,2)</f>
        <v/>
      </c>
      <c r="H53" s="296">
        <f>G53/$G$74</f>
        <v/>
      </c>
      <c r="I53" s="168">
        <f>ROUND(F53*Прил.10!$D$13,2)</f>
        <v/>
      </c>
      <c r="J53" s="168">
        <f>ROUND(I53*E53,2)</f>
        <v/>
      </c>
    </row>
    <row r="54" customFormat="1" s="221">
      <c r="A54" s="290" t="n">
        <v>27</v>
      </c>
      <c r="B54" s="340" t="inlineStr">
        <is>
          <t>20.1.01.10-0001</t>
        </is>
      </c>
      <c r="C54" s="57" t="inlineStr">
        <is>
          <t>Зажим плашечный ПА-2-1</t>
        </is>
      </c>
      <c r="D54" s="340" t="inlineStr">
        <is>
          <t>шт</t>
        </is>
      </c>
      <c r="E54" s="7" t="n">
        <v>12</v>
      </c>
      <c r="F54" s="201" t="n">
        <v>38.42</v>
      </c>
      <c r="G54" s="129">
        <f>ROUND(E54*F54,2)</f>
        <v/>
      </c>
      <c r="H54" s="296">
        <f>G54/$G$74</f>
        <v/>
      </c>
      <c r="I54" s="168">
        <f>ROUND(F54*Прил.10!$D$13,2)</f>
        <v/>
      </c>
      <c r="J54" s="168">
        <f>ROUND(I54*E54,2)</f>
        <v/>
      </c>
    </row>
    <row r="55" customFormat="1" s="221">
      <c r="A55" s="290" t="n">
        <v>28</v>
      </c>
      <c r="B55" s="340" t="inlineStr">
        <is>
          <t>20.5.04.05-0013</t>
        </is>
      </c>
      <c r="C55" s="57" t="inlineStr">
        <is>
          <t>Зажим ответвительный ОА 120-2</t>
        </is>
      </c>
      <c r="D55" s="340" t="inlineStr">
        <is>
          <t>100 шт</t>
        </is>
      </c>
      <c r="E55" s="7" t="n">
        <v>0.12</v>
      </c>
      <c r="F55" s="200" t="n">
        <v>3782</v>
      </c>
      <c r="G55" s="129">
        <f>ROUND(E55*F55,2)</f>
        <v/>
      </c>
      <c r="H55" s="296">
        <f>G55/$G$74</f>
        <v/>
      </c>
      <c r="I55" s="168">
        <f>ROUND(F55*Прил.10!$D$13,2)</f>
        <v/>
      </c>
      <c r="J55" s="168">
        <f>ROUND(I55*E55,2)</f>
        <v/>
      </c>
    </row>
    <row r="56" ht="14.25" customFormat="1" customHeight="1" s="221">
      <c r="A56" s="292" t="n"/>
      <c r="B56" s="181" t="n"/>
      <c r="C56" s="173" t="inlineStr">
        <is>
          <t>Итого основные материалы</t>
        </is>
      </c>
      <c r="D56" s="292" t="n"/>
      <c r="E56" s="379" t="n"/>
      <c r="F56" s="182" t="n"/>
      <c r="G56" s="129">
        <f>SUM(G47:G55)</f>
        <v/>
      </c>
      <c r="H56" s="171">
        <f>G56/$G$74</f>
        <v/>
      </c>
      <c r="I56" s="183" t="n"/>
      <c r="J56" s="129">
        <f>SUM(J47:J55)</f>
        <v/>
      </c>
    </row>
    <row r="57" hidden="1" outlineLevel="1" customFormat="1" s="221">
      <c r="A57" s="292" t="n">
        <v>29</v>
      </c>
      <c r="B57" s="340" t="inlineStr">
        <is>
          <t>20.5.04.04-0002</t>
        </is>
      </c>
      <c r="C57" s="57" t="inlineStr">
        <is>
          <t>Зажим натяжной болтовый НБ-2-6А</t>
        </is>
      </c>
      <c r="D57" s="7" t="inlineStr">
        <is>
          <t>шт</t>
        </is>
      </c>
      <c r="E57" s="7" t="n">
        <v>6</v>
      </c>
      <c r="F57" s="201" t="n">
        <v>73.40000000000001</v>
      </c>
      <c r="G57" s="129">
        <f>ROUND(E57*F57,2)</f>
        <v/>
      </c>
      <c r="H57" s="296">
        <f>G57/$G$74</f>
        <v/>
      </c>
      <c r="I57" s="168">
        <f>ROUND(F57*Прил.10!$D$13,2)</f>
        <v/>
      </c>
      <c r="J57" s="168">
        <f>ROUND(I57*E57,2)</f>
        <v/>
      </c>
    </row>
    <row r="58" hidden="1" outlineLevel="1" ht="30" customFormat="1" customHeight="1" s="221">
      <c r="A58" s="292" t="n">
        <v>30</v>
      </c>
      <c r="B58" s="340" t="inlineStr">
        <is>
          <t>20.1.01.02-0049</t>
        </is>
      </c>
      <c r="C58" s="57" t="inlineStr">
        <is>
          <t>Зажим аппаратный прессуемый: А2А-120-2</t>
        </is>
      </c>
      <c r="D58" s="340" t="inlineStr">
        <is>
          <t>100 шт</t>
        </is>
      </c>
      <c r="E58" s="7" t="n">
        <v>0.18</v>
      </c>
      <c r="F58" s="200" t="n">
        <v>2306</v>
      </c>
      <c r="G58" s="129">
        <f>ROUND(E58*F58,2)</f>
        <v/>
      </c>
      <c r="H58" s="296">
        <f>G58/$G$74</f>
        <v/>
      </c>
      <c r="I58" s="168">
        <f>ROUND(F58*Прил.10!$D$13,2)</f>
        <v/>
      </c>
      <c r="J58" s="168">
        <f>ROUND(I58*E58,2)</f>
        <v/>
      </c>
    </row>
    <row r="59" hidden="1" outlineLevel="1" ht="30" customFormat="1" customHeight="1" s="221">
      <c r="A59" s="292" t="n">
        <v>31</v>
      </c>
      <c r="B59" s="340" t="inlineStr">
        <is>
          <t>21.2.03.05-0065</t>
        </is>
      </c>
      <c r="C59" s="57" t="inlineStr">
        <is>
          <t>Провод силовой установочный с медными жилами ПВ3 2-450</t>
        </is>
      </c>
      <c r="D59" s="7" t="inlineStr">
        <is>
          <t>1000 м</t>
        </is>
      </c>
      <c r="E59" s="7" t="n">
        <v>0.2</v>
      </c>
      <c r="F59" s="200" t="n">
        <v>1988.98</v>
      </c>
      <c r="G59" s="129">
        <f>ROUND(E59*F59,2)</f>
        <v/>
      </c>
      <c r="H59" s="296">
        <f>G59/$G$74</f>
        <v/>
      </c>
      <c r="I59" s="168">
        <f>ROUND(F59*Прил.10!$D$13,2)</f>
        <v/>
      </c>
      <c r="J59" s="168">
        <f>ROUND(I59*E59,2)</f>
        <v/>
      </c>
    </row>
    <row r="60" hidden="1" outlineLevel="1" ht="14.25" customFormat="1" customHeight="1" s="221">
      <c r="A60" s="292" t="n">
        <v>32</v>
      </c>
      <c r="B60" s="166" t="inlineStr">
        <is>
          <t>14.4.02.09-0001</t>
        </is>
      </c>
      <c r="C60" s="293" t="inlineStr">
        <is>
          <t>Краска</t>
        </is>
      </c>
      <c r="D60" s="7" t="inlineStr">
        <is>
          <t>кг</t>
        </is>
      </c>
      <c r="E60" s="7" t="n">
        <v>13.17</v>
      </c>
      <c r="F60" s="168" t="n">
        <v>28.6</v>
      </c>
      <c r="G60" s="129">
        <f>ROUND(E60*F60,2)</f>
        <v/>
      </c>
      <c r="H60" s="296">
        <f>G60/$G$74</f>
        <v/>
      </c>
      <c r="I60" s="168">
        <f>ROUND(F60*Прил.10!$D$13,2)</f>
        <v/>
      </c>
      <c r="J60" s="168">
        <f>ROUND(I60*E60,2)</f>
        <v/>
      </c>
    </row>
    <row r="61" hidden="1" outlineLevel="1" ht="30" customFormat="1" customHeight="1" s="221">
      <c r="A61" s="292" t="n">
        <v>33</v>
      </c>
      <c r="B61" s="340" t="inlineStr">
        <is>
          <t>20.1.01.02-0060</t>
        </is>
      </c>
      <c r="C61" s="57" t="inlineStr">
        <is>
          <t>Зажим аппаратный прессуемый: А4А-120-2</t>
        </is>
      </c>
      <c r="D61" s="340" t="inlineStr">
        <is>
          <t>100 шт</t>
        </is>
      </c>
      <c r="E61" s="7" t="n">
        <v>0.12</v>
      </c>
      <c r="F61" s="200" t="n">
        <v>2551</v>
      </c>
      <c r="G61" s="129">
        <f>ROUND(E61*F61,2)</f>
        <v/>
      </c>
      <c r="H61" s="296">
        <f>G61/$G$74</f>
        <v/>
      </c>
      <c r="I61" s="168">
        <f>ROUND(F61*Прил.10!$D$13,2)</f>
        <v/>
      </c>
      <c r="J61" s="168">
        <f>ROUND(I61*E61,2)</f>
        <v/>
      </c>
    </row>
    <row r="62" hidden="1" outlineLevel="1" ht="14.25" customFormat="1" customHeight="1" s="221">
      <c r="A62" s="292" t="n">
        <v>34</v>
      </c>
      <c r="B62" s="166" t="inlineStr">
        <is>
          <t>01.7.11.07-0034</t>
        </is>
      </c>
      <c r="C62" s="293" t="inlineStr">
        <is>
          <t>Электроды диаметром: 4 мм Э42А</t>
        </is>
      </c>
      <c r="D62" s="7" t="inlineStr">
        <is>
          <t>кг</t>
        </is>
      </c>
      <c r="E62" s="7" t="n">
        <v>25.12</v>
      </c>
      <c r="F62" s="168" t="n">
        <v>10.57</v>
      </c>
      <c r="G62" s="129">
        <f>ROUND(E62*F62,2)</f>
        <v/>
      </c>
      <c r="H62" s="296">
        <f>G62/$G$74</f>
        <v/>
      </c>
      <c r="I62" s="168">
        <f>ROUND(F62*Прил.10!$D$13,2)</f>
        <v/>
      </c>
      <c r="J62" s="168">
        <f>ROUND(I62*E62,2)</f>
        <v/>
      </c>
    </row>
    <row r="63" hidden="1" outlineLevel="1" ht="30" customFormat="1" customHeight="1" s="221">
      <c r="A63" s="292" t="n">
        <v>35</v>
      </c>
      <c r="B63" s="340" t="inlineStr">
        <is>
          <t>20.1.02.22-0001</t>
        </is>
      </c>
      <c r="C63" s="57" t="inlineStr">
        <is>
          <t>Ушко: двухлапчатое укороченное У2К-7-16</t>
        </is>
      </c>
      <c r="D63" s="7" t="inlineStr">
        <is>
          <t>шт</t>
        </is>
      </c>
      <c r="E63" s="7" t="n">
        <v>6</v>
      </c>
      <c r="F63" s="201" t="n">
        <v>34.73</v>
      </c>
      <c r="G63" s="129">
        <f>ROUND(E63*F63,2)</f>
        <v/>
      </c>
      <c r="H63" s="296">
        <f>G63/$G$74</f>
        <v/>
      </c>
      <c r="I63" s="168">
        <f>ROUND(F63*Прил.10!$D$13,2)</f>
        <v/>
      </c>
      <c r="J63" s="168">
        <f>ROUND(I63*E63,2)</f>
        <v/>
      </c>
    </row>
    <row r="64" hidden="1" outlineLevel="1" ht="30" customFormat="1" customHeight="1" s="221">
      <c r="A64" s="292" t="n">
        <v>36</v>
      </c>
      <c r="B64" s="340" t="inlineStr">
        <is>
          <t>21.2.03.05-0067</t>
        </is>
      </c>
      <c r="C64" s="57" t="inlineStr">
        <is>
          <t>Провод силовой установочный с медными жилами ПВ3 3-450</t>
        </is>
      </c>
      <c r="D64" s="340" t="inlineStr">
        <is>
          <t>1000 м</t>
        </is>
      </c>
      <c r="E64" s="7" t="n">
        <v>0.05</v>
      </c>
      <c r="F64" s="200" t="n">
        <v>2812.15</v>
      </c>
      <c r="G64" s="129">
        <f>ROUND(E64*F64,2)</f>
        <v/>
      </c>
      <c r="H64" s="296">
        <f>G64/$G$74</f>
        <v/>
      </c>
      <c r="I64" s="168">
        <f>ROUND(F64*Прил.10!$D$13,2)</f>
        <v/>
      </c>
      <c r="J64" s="168">
        <f>ROUND(I64*E64,2)</f>
        <v/>
      </c>
    </row>
    <row r="65" hidden="1" outlineLevel="1" ht="25.5" customFormat="1" customHeight="1" s="221">
      <c r="A65" s="292" t="n">
        <v>37</v>
      </c>
      <c r="B65" s="166" t="inlineStr">
        <is>
          <t>01.3.01.06-0050</t>
        </is>
      </c>
      <c r="C65" s="293" t="inlineStr">
        <is>
          <t>Смазка универсальная тугоплавкая УТ (консталин жировой)</t>
        </is>
      </c>
      <c r="D65" s="7" t="inlineStr">
        <is>
          <t>т</t>
        </is>
      </c>
      <c r="E65" s="7" t="n">
        <v>0.0069</v>
      </c>
      <c r="F65" s="168" t="n">
        <v>17500</v>
      </c>
      <c r="G65" s="129">
        <f>ROUND(E65*F65,2)</f>
        <v/>
      </c>
      <c r="H65" s="296">
        <f>G65/$G$74</f>
        <v/>
      </c>
      <c r="I65" s="168">
        <f>ROUND(F65*Прил.10!$D$13,2)</f>
        <v/>
      </c>
      <c r="J65" s="168">
        <f>ROUND(I65*E65,2)</f>
        <v/>
      </c>
    </row>
    <row r="66" hidden="1" outlineLevel="1" ht="25.5" customFormat="1" customHeight="1" s="221">
      <c r="A66" s="292" t="n">
        <v>38</v>
      </c>
      <c r="B66" s="166" t="inlineStr">
        <is>
          <t>999-9950</t>
        </is>
      </c>
      <c r="C66" s="293" t="inlineStr">
        <is>
          <t>Вспомогательные ненормируемые ресурсы (2% от Фонда оплаты труда)</t>
        </is>
      </c>
      <c r="D66" s="7" t="inlineStr">
        <is>
          <t>руб</t>
        </is>
      </c>
      <c r="E66" s="7" t="n">
        <v>89.8644</v>
      </c>
      <c r="F66" s="168" t="n">
        <v>1</v>
      </c>
      <c r="G66" s="129">
        <f>ROUND(E66*F66,2)</f>
        <v/>
      </c>
      <c r="H66" s="296">
        <f>G66/$G$74</f>
        <v/>
      </c>
      <c r="I66" s="168">
        <f>ROUND(F66*Прил.10!$D$13,2)</f>
        <v/>
      </c>
      <c r="J66" s="168">
        <f>ROUND(I66*E66,2)</f>
        <v/>
      </c>
    </row>
    <row r="67" hidden="1" outlineLevel="1" ht="14.25" customFormat="1" customHeight="1" s="221">
      <c r="A67" s="292" t="n">
        <v>39</v>
      </c>
      <c r="B67" s="166" t="inlineStr">
        <is>
          <t>01.7.20.08-0031</t>
        </is>
      </c>
      <c r="C67" s="293" t="inlineStr">
        <is>
          <t>Бязь суровая арт. 6804</t>
        </is>
      </c>
      <c r="D67" s="7" t="inlineStr">
        <is>
          <t>10 м2</t>
        </is>
      </c>
      <c r="E67" s="7" t="n">
        <v>0.875</v>
      </c>
      <c r="F67" s="168" t="n">
        <v>79.09999999999999</v>
      </c>
      <c r="G67" s="129">
        <f>ROUND(E67*F67,2)</f>
        <v/>
      </c>
      <c r="H67" s="296">
        <f>G67/$G$74</f>
        <v/>
      </c>
      <c r="I67" s="168">
        <f>ROUND(F67*Прил.10!$D$13,2)</f>
        <v/>
      </c>
      <c r="J67" s="168">
        <f>ROUND(I67*E67,2)</f>
        <v/>
      </c>
    </row>
    <row r="68" hidden="1" outlineLevel="1" ht="30" customFormat="1" customHeight="1" s="221">
      <c r="A68" s="292" t="n">
        <v>40</v>
      </c>
      <c r="B68" s="340" t="inlineStr">
        <is>
          <t>20.1.01.02-0041</t>
        </is>
      </c>
      <c r="C68" s="57" t="inlineStr">
        <is>
          <t>Зажим аппаратный прессуемый: А1А-120-2</t>
        </is>
      </c>
      <c r="D68" s="340" t="inlineStr">
        <is>
          <t>100 шт</t>
        </is>
      </c>
      <c r="E68" s="7" t="n">
        <v>0.03</v>
      </c>
      <c r="F68" s="200" t="n">
        <v>1931</v>
      </c>
      <c r="G68" s="129">
        <f>ROUND(E68*F68,2)</f>
        <v/>
      </c>
      <c r="H68" s="296">
        <f>G68/$G$74</f>
        <v/>
      </c>
      <c r="I68" s="168">
        <f>ROUND(F68*Прил.10!$D$13,2)</f>
        <v/>
      </c>
      <c r="J68" s="168">
        <f>ROUND(I68*E68,2)</f>
        <v/>
      </c>
    </row>
    <row r="69" hidden="1" outlineLevel="1" ht="38.25" customFormat="1" customHeight="1" s="221">
      <c r="A69" s="292" t="n">
        <v>41</v>
      </c>
      <c r="B69" s="166" t="inlineStr">
        <is>
          <t>20.1.02.15-0011</t>
        </is>
      </c>
      <c r="C69" s="293" t="inlineStr">
        <is>
          <t>Соединитель алюминиевых и сталеалюминиевых проводов (СОАС) 062-3</t>
        </is>
      </c>
      <c r="D69" s="7" t="inlineStr">
        <is>
          <t>шт.</t>
        </is>
      </c>
      <c r="E69" s="7" t="n">
        <v>0.272</v>
      </c>
      <c r="F69" s="168" t="n">
        <v>88.14</v>
      </c>
      <c r="G69" s="129">
        <f>ROUND(E69*F69,2)</f>
        <v/>
      </c>
      <c r="H69" s="296">
        <f>G69/$G$74</f>
        <v/>
      </c>
      <c r="I69" s="168">
        <f>ROUND(F69*Прил.10!$D$13,2)</f>
        <v/>
      </c>
      <c r="J69" s="168">
        <f>ROUND(I69*E69,2)</f>
        <v/>
      </c>
    </row>
    <row r="70" hidden="1" outlineLevel="1" ht="25.5" customFormat="1" customHeight="1" s="221">
      <c r="A70" s="292" t="n">
        <v>42</v>
      </c>
      <c r="B70" s="166" t="inlineStr">
        <is>
          <t>01.7.15.03-0031</t>
        </is>
      </c>
      <c r="C70" s="293" t="inlineStr">
        <is>
          <t>Болты с гайками и шайбами оцинкованные, диаметр: 6 мм</t>
        </is>
      </c>
      <c r="D70" s="7" t="inlineStr">
        <is>
          <t>кг</t>
        </is>
      </c>
      <c r="E70" s="7" t="n">
        <v>0.07000000000000001</v>
      </c>
      <c r="F70" s="168" t="n">
        <v>28.22</v>
      </c>
      <c r="G70" s="129">
        <f>ROUND(E70*F70,2)</f>
        <v/>
      </c>
      <c r="H70" s="296">
        <f>G70/$G$74</f>
        <v/>
      </c>
      <c r="I70" s="168">
        <f>ROUND(F70*Прил.10!$D$13,2)</f>
        <v/>
      </c>
      <c r="J70" s="168">
        <f>ROUND(I70*E70,2)</f>
        <v/>
      </c>
    </row>
    <row r="71" hidden="1" outlineLevel="1" ht="14.25" customFormat="1" customHeight="1" s="221">
      <c r="A71" s="292" t="n">
        <v>43</v>
      </c>
      <c r="B71" s="166" t="inlineStr">
        <is>
          <t>101-1292</t>
        </is>
      </c>
      <c r="C71" s="293" t="inlineStr">
        <is>
          <t>Уайт-спирит</t>
        </is>
      </c>
      <c r="D71" s="7" t="inlineStr">
        <is>
          <t>т</t>
        </is>
      </c>
      <c r="E71" s="7" t="n">
        <v>0.0001</v>
      </c>
      <c r="F71" s="168" t="n">
        <v>6667</v>
      </c>
      <c r="G71" s="129">
        <f>ROUND(E71*F71,2)</f>
        <v/>
      </c>
      <c r="H71" s="296">
        <f>G71/$G$74</f>
        <v/>
      </c>
      <c r="I71" s="168">
        <f>ROUND(F71*Прил.10!$D$13,2)</f>
        <v/>
      </c>
      <c r="J71" s="168">
        <f>ROUND(I71*E71,2)</f>
        <v/>
      </c>
    </row>
    <row r="72" hidden="1" outlineLevel="1" ht="14.25" customFormat="1" customHeight="1" s="221">
      <c r="A72" s="292" t="n">
        <v>44</v>
      </c>
      <c r="B72" s="166" t="inlineStr">
        <is>
          <t>101-2349</t>
        </is>
      </c>
      <c r="C72" s="293" t="inlineStr">
        <is>
          <t>Смазка ЗЭС</t>
        </is>
      </c>
      <c r="D72" s="7" t="inlineStr">
        <is>
          <t>кг</t>
        </is>
      </c>
      <c r="E72" s="7" t="n">
        <v>0.04</v>
      </c>
      <c r="F72" s="168" t="n">
        <v>14.4</v>
      </c>
      <c r="G72" s="129">
        <f>ROUND(E72*F72,2)</f>
        <v/>
      </c>
      <c r="H72" s="296">
        <f>G72/$G$74</f>
        <v/>
      </c>
      <c r="I72" s="168">
        <f>ROUND(F72*Прил.10!$D$13,2)</f>
        <v/>
      </c>
      <c r="J72" s="168">
        <f>ROUND(I72*E72,2)</f>
        <v/>
      </c>
    </row>
    <row r="73" collapsed="1" ht="14.25" customFormat="1" customHeight="1" s="221">
      <c r="A73" s="290" t="n"/>
      <c r="B73" s="290" t="n"/>
      <c r="C73" s="293" t="inlineStr">
        <is>
          <t>Итого прочие материалы</t>
        </is>
      </c>
      <c r="D73" s="290" t="n"/>
      <c r="E73" s="294" t="n"/>
      <c r="F73" s="295" t="n"/>
      <c r="G73" s="129">
        <f>SUM(G57:G72)</f>
        <v/>
      </c>
      <c r="H73" s="296">
        <f>G73/$G$74</f>
        <v/>
      </c>
      <c r="I73" s="26" t="n"/>
      <c r="J73" s="129">
        <f>SUM(J57:J72)</f>
        <v/>
      </c>
    </row>
    <row r="74" ht="14.25" customFormat="1" customHeight="1" s="221">
      <c r="A74" s="290" t="n"/>
      <c r="B74" s="290" t="n"/>
      <c r="C74" s="297" t="inlineStr">
        <is>
          <t>Итого по разделу «Материалы»</t>
        </is>
      </c>
      <c r="D74" s="290" t="n"/>
      <c r="E74" s="294" t="n"/>
      <c r="F74" s="295" t="n"/>
      <c r="G74" s="26">
        <f>G56+G73</f>
        <v/>
      </c>
      <c r="H74" s="296">
        <f>G74/$G$74</f>
        <v/>
      </c>
      <c r="I74" s="26" t="n"/>
      <c r="J74" s="26">
        <f>J56+J73</f>
        <v/>
      </c>
    </row>
    <row r="75" ht="14.25" customFormat="1" customHeight="1" s="221">
      <c r="A75" s="290" t="n"/>
      <c r="B75" s="290" t="n"/>
      <c r="C75" s="293" t="inlineStr">
        <is>
          <t>ИТОГО ПО РМ</t>
        </is>
      </c>
      <c r="D75" s="290" t="n"/>
      <c r="E75" s="294" t="n"/>
      <c r="F75" s="295" t="n"/>
      <c r="G75" s="26">
        <f>G14+G30+G74</f>
        <v/>
      </c>
      <c r="H75" s="298" t="n"/>
      <c r="I75" s="26" t="n"/>
      <c r="J75" s="26">
        <f>J14+J30+J74</f>
        <v/>
      </c>
    </row>
    <row r="76" ht="14.25" customFormat="1" customHeight="1" s="221">
      <c r="A76" s="290" t="n"/>
      <c r="B76" s="290" t="n"/>
      <c r="C76" s="293" t="inlineStr">
        <is>
          <t>Накладные расходы</t>
        </is>
      </c>
      <c r="D76" s="125">
        <f>ROUND(G76/(G$16+$G$14),2)</f>
        <v/>
      </c>
      <c r="E76" s="294" t="n"/>
      <c r="F76" s="295" t="n"/>
      <c r="G76" s="26" t="n">
        <v>5158</v>
      </c>
      <c r="H76" s="298" t="n"/>
      <c r="I76" s="26" t="n"/>
      <c r="J76" s="26">
        <f>ROUND(D76*(J14+J16),2)</f>
        <v/>
      </c>
    </row>
    <row r="77" ht="14.25" customFormat="1" customHeight="1" s="221">
      <c r="A77" s="290" t="n"/>
      <c r="B77" s="290" t="n"/>
      <c r="C77" s="293" t="inlineStr">
        <is>
          <t>Сметная прибыль</t>
        </is>
      </c>
      <c r="D77" s="125">
        <f>ROUND(G77/(G$14+G$16),2)</f>
        <v/>
      </c>
      <c r="E77" s="294" t="n"/>
      <c r="F77" s="295" t="n"/>
      <c r="G77" s="26" t="n">
        <v>3337</v>
      </c>
      <c r="H77" s="298" t="n"/>
      <c r="I77" s="26" t="n"/>
      <c r="J77" s="26">
        <f>ROUND(D77*(J14+J16),2)</f>
        <v/>
      </c>
    </row>
    <row r="78" ht="14.25" customFormat="1" customHeight="1" s="221">
      <c r="A78" s="290" t="n"/>
      <c r="B78" s="290" t="n"/>
      <c r="C78" s="293" t="inlineStr">
        <is>
          <t>Итого СМР (с НР и СП)</t>
        </is>
      </c>
      <c r="D78" s="290" t="n"/>
      <c r="E78" s="294" t="n"/>
      <c r="F78" s="295" t="n"/>
      <c r="G78" s="26">
        <f>ROUND((G14+G30+G74+G76+G77),2)</f>
        <v/>
      </c>
      <c r="H78" s="298" t="n"/>
      <c r="I78" s="26" t="n"/>
      <c r="J78" s="26">
        <f>ROUND((J14+J30+J74+J76+J77),2)</f>
        <v/>
      </c>
    </row>
    <row r="79" ht="14.25" customFormat="1" customHeight="1" s="221">
      <c r="A79" s="290" t="n"/>
      <c r="B79" s="290" t="n"/>
      <c r="C79" s="293" t="inlineStr">
        <is>
          <t>ВСЕГО СМР + ОБОРУДОВАНИЕ</t>
        </is>
      </c>
      <c r="D79" s="290" t="n"/>
      <c r="E79" s="294" t="n"/>
      <c r="F79" s="295" t="n"/>
      <c r="G79" s="26">
        <f>G78+G43</f>
        <v/>
      </c>
      <c r="H79" s="298" t="n"/>
      <c r="I79" s="26" t="n"/>
      <c r="J79" s="26">
        <f>J78+J43</f>
        <v/>
      </c>
    </row>
    <row r="80" ht="34.5" customFormat="1" customHeight="1" s="221">
      <c r="A80" s="290" t="n"/>
      <c r="B80" s="290" t="n"/>
      <c r="C80" s="293" t="inlineStr">
        <is>
          <t>ИТОГО ПОКАЗАТЕЛЬ НА ЕД. ИЗМ.</t>
        </is>
      </c>
      <c r="D80" s="290" t="inlineStr">
        <is>
          <t>ед.</t>
        </is>
      </c>
      <c r="E80" s="294" t="n">
        <v>2</v>
      </c>
      <c r="F80" s="295" t="n"/>
      <c r="G80" s="26">
        <f>G79/E80</f>
        <v/>
      </c>
      <c r="H80" s="298" t="n"/>
      <c r="I80" s="26" t="n"/>
      <c r="J80" s="26">
        <f>J79/E80</f>
        <v/>
      </c>
    </row>
    <row r="82" ht="14.25" customFormat="1" customHeight="1" s="221">
      <c r="A82" s="220" t="inlineStr">
        <is>
          <t>Составил ______________________     Д.А. Самуйленко</t>
        </is>
      </c>
    </row>
    <row r="83" ht="14.25" customFormat="1" customHeight="1" s="221">
      <c r="A83" s="223" t="inlineStr">
        <is>
          <t xml:space="preserve">                         (подпись, инициалы, фамилия)</t>
        </is>
      </c>
    </row>
    <row r="84" ht="14.25" customFormat="1" customHeight="1" s="221">
      <c r="A84" s="220" t="n"/>
    </row>
    <row r="85" ht="14.25" customFormat="1" customHeight="1" s="221">
      <c r="A85" s="220" t="inlineStr">
        <is>
          <t>Проверил ______________________        А.В. Костянецкая</t>
        </is>
      </c>
    </row>
    <row r="86" ht="14.25" customFormat="1" customHeight="1" s="221">
      <c r="A86" s="22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45:H45"/>
    <mergeCell ref="C9:C10"/>
    <mergeCell ref="B32:H32"/>
    <mergeCell ref="E9:E10"/>
    <mergeCell ref="A7:H7"/>
    <mergeCell ref="B31:H31"/>
    <mergeCell ref="B46:H46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7"/>
  <sheetViews>
    <sheetView view="pageBreakPreview" topLeftCell="A16" workbookViewId="0">
      <selection activeCell="F25" sqref="F25"/>
    </sheetView>
  </sheetViews>
  <sheetFormatPr baseColWidth="8" defaultRowHeight="15"/>
  <cols>
    <col width="5.7109375" customWidth="1" style="237" min="1" max="1"/>
    <col width="17.5703125" customWidth="1" style="237" min="2" max="2"/>
    <col width="39.140625" customWidth="1" style="237" min="3" max="3"/>
    <col width="10.7109375" customWidth="1" style="237" min="4" max="4"/>
    <col width="13.85546875" customWidth="1" style="237" min="5" max="5"/>
    <col width="13.28515625" customWidth="1" style="237" min="6" max="6"/>
    <col width="14.140625" customWidth="1" style="237" min="7" max="7"/>
  </cols>
  <sheetData>
    <row r="1">
      <c r="A1" s="308" t="inlineStr">
        <is>
          <t>Приложение №6</t>
        </is>
      </c>
    </row>
    <row r="2" ht="21.75" customHeight="1" s="237">
      <c r="A2" s="308" t="n"/>
      <c r="B2" s="308" t="n"/>
      <c r="C2" s="308" t="n"/>
      <c r="D2" s="308" t="n"/>
      <c r="E2" s="308" t="n"/>
      <c r="F2" s="308" t="n"/>
      <c r="G2" s="308" t="n"/>
    </row>
    <row r="3">
      <c r="A3" s="259" t="inlineStr">
        <is>
          <t>Расчет стоимости оборудования</t>
        </is>
      </c>
    </row>
    <row r="4">
      <c r="A4" s="309" t="inlineStr">
        <is>
          <t xml:space="preserve">Наименование разрабатываемого показателя УНЦ — Автоматический пункт секционирования (реклоузера) 35 кВ без ПКУ </t>
        </is>
      </c>
    </row>
    <row r="5">
      <c r="A5" s="220" t="n"/>
      <c r="B5" s="220" t="n"/>
      <c r="C5" s="220" t="n"/>
      <c r="D5" s="220" t="n"/>
      <c r="E5" s="220" t="n"/>
      <c r="F5" s="220" t="n"/>
      <c r="G5" s="220" t="n"/>
    </row>
    <row r="6" ht="30" customHeight="1" s="237">
      <c r="A6" s="290" t="inlineStr">
        <is>
          <t>№ пп.</t>
        </is>
      </c>
      <c r="B6" s="290" t="inlineStr">
        <is>
          <t>Код ресурса</t>
        </is>
      </c>
      <c r="C6" s="290" t="inlineStr">
        <is>
          <t>Наименование</t>
        </is>
      </c>
      <c r="D6" s="290" t="inlineStr">
        <is>
          <t>Ед. изм.</t>
        </is>
      </c>
      <c r="E6" s="290" t="inlineStr">
        <is>
          <t>Кол-во единиц по проектным данным</t>
        </is>
      </c>
      <c r="F6" s="314" t="inlineStr">
        <is>
          <t>Сметная стоимость в ценах на 01.01.2000 (руб.)</t>
        </is>
      </c>
      <c r="G6" s="362" t="n"/>
    </row>
    <row r="7">
      <c r="A7" s="364" t="n"/>
      <c r="B7" s="364" t="n"/>
      <c r="C7" s="364" t="n"/>
      <c r="D7" s="364" t="n"/>
      <c r="E7" s="364" t="n"/>
      <c r="F7" s="290" t="inlineStr">
        <is>
          <t>на ед. изм.</t>
        </is>
      </c>
      <c r="G7" s="290" t="inlineStr">
        <is>
          <t>общая</t>
        </is>
      </c>
    </row>
    <row r="8">
      <c r="A8" s="290" t="n">
        <v>1</v>
      </c>
      <c r="B8" s="290" t="n">
        <v>2</v>
      </c>
      <c r="C8" s="290" t="n">
        <v>3</v>
      </c>
      <c r="D8" s="290" t="n">
        <v>4</v>
      </c>
      <c r="E8" s="290" t="n">
        <v>5</v>
      </c>
      <c r="F8" s="290" t="n">
        <v>6</v>
      </c>
      <c r="G8" s="290" t="n">
        <v>7</v>
      </c>
    </row>
    <row r="9" ht="15" customHeight="1" s="237">
      <c r="A9" s="97" t="n"/>
      <c r="B9" s="293" t="inlineStr">
        <is>
          <t>ИНЖЕНЕРНОЕ ОБОРУДОВАНИЕ</t>
        </is>
      </c>
      <c r="C9" s="361" t="n"/>
      <c r="D9" s="361" t="n"/>
      <c r="E9" s="361" t="n"/>
      <c r="F9" s="361" t="n"/>
      <c r="G9" s="362" t="n"/>
    </row>
    <row r="10" ht="27" customHeight="1" s="237">
      <c r="A10" s="292" t="n"/>
      <c r="B10" s="184" t="n"/>
      <c r="C10" s="173" t="inlineStr">
        <is>
          <t>ИТОГО ИНЖЕНЕРНОЕ ОБОРУДОВАНИЕ</t>
        </is>
      </c>
      <c r="D10" s="184" t="n"/>
      <c r="E10" s="185" t="n"/>
      <c r="F10" s="182" t="n"/>
      <c r="G10" s="129" t="n">
        <v>0</v>
      </c>
    </row>
    <row r="11">
      <c r="A11" s="290" t="n"/>
      <c r="B11" s="293" t="inlineStr">
        <is>
          <t>ТЕХНОЛОГИЧЕСКОЕ ОБОРУДОВАНИЕ</t>
        </is>
      </c>
      <c r="C11" s="361" t="n"/>
      <c r="D11" s="361" t="n"/>
      <c r="E11" s="361" t="n"/>
      <c r="F11" s="361" t="n"/>
      <c r="G11" s="362" t="n"/>
    </row>
    <row r="12">
      <c r="A12" s="290" t="n">
        <v>1</v>
      </c>
      <c r="B12" s="166">
        <f>'Прил.5 Расчет СМР и ОБ'!B33</f>
        <v/>
      </c>
      <c r="C12" s="293">
        <f>'Прил.5 Расчет СМР и ОБ'!C33</f>
        <v/>
      </c>
      <c r="D12" s="290">
        <f>'Прил.5 Расчет СМР и ОБ'!D33</f>
        <v/>
      </c>
      <c r="E12" s="290">
        <f>'Прил.5 Расчет СМР и ОБ'!E33</f>
        <v/>
      </c>
      <c r="F12" s="369">
        <f>'Прил.5 Расчет СМР и ОБ'!F33</f>
        <v/>
      </c>
      <c r="G12" s="369">
        <f>'Прил.5 Расчет СМР и ОБ'!G33</f>
        <v/>
      </c>
    </row>
    <row r="13" ht="25.5" customHeight="1" s="237">
      <c r="A13" s="290" t="n">
        <v>2</v>
      </c>
      <c r="B13" s="166">
        <f>'Прил.5 Расчет СМР и ОБ'!B34</f>
        <v/>
      </c>
      <c r="C13" s="293">
        <f>'Прил.5 Расчет СМР и ОБ'!C34</f>
        <v/>
      </c>
      <c r="D13" s="290">
        <f>'Прил.5 Расчет СМР и ОБ'!D34</f>
        <v/>
      </c>
      <c r="E13" s="290">
        <f>'Прил.5 Расчет СМР и ОБ'!E34</f>
        <v/>
      </c>
      <c r="F13" s="369">
        <f>'Прил.5 Расчет СМР и ОБ'!F34</f>
        <v/>
      </c>
      <c r="G13" s="369">
        <f>'Прил.5 Расчет СМР и ОБ'!G34</f>
        <v/>
      </c>
    </row>
    <row r="14">
      <c r="A14" s="290" t="n">
        <v>3</v>
      </c>
      <c r="B14" s="166">
        <f>'Прил.5 Расчет СМР и ОБ'!B35</f>
        <v/>
      </c>
      <c r="C14" s="293">
        <f>'Прил.5 Расчет СМР и ОБ'!C35</f>
        <v/>
      </c>
      <c r="D14" s="290">
        <f>'Прил.5 Расчет СМР и ОБ'!D35</f>
        <v/>
      </c>
      <c r="E14" s="290">
        <f>'Прил.5 Расчет СМР и ОБ'!E35</f>
        <v/>
      </c>
      <c r="F14" s="369">
        <f>'Прил.5 Расчет СМР и ОБ'!F35</f>
        <v/>
      </c>
      <c r="G14" s="369">
        <f>'Прил.5 Расчет СМР и ОБ'!G35</f>
        <v/>
      </c>
    </row>
    <row r="15">
      <c r="A15" s="290" t="n">
        <v>4</v>
      </c>
      <c r="B15" s="166">
        <f>'Прил.5 Расчет СМР и ОБ'!B36</f>
        <v/>
      </c>
      <c r="C15" s="293">
        <f>'Прил.5 Расчет СМР и ОБ'!C36</f>
        <v/>
      </c>
      <c r="D15" s="290">
        <f>'Прил.5 Расчет СМР и ОБ'!D36</f>
        <v/>
      </c>
      <c r="E15" s="290">
        <f>'Прил.5 Расчет СМР и ОБ'!E36</f>
        <v/>
      </c>
      <c r="F15" s="369">
        <f>'Прил.5 Расчет СМР и ОБ'!F36</f>
        <v/>
      </c>
      <c r="G15" s="369">
        <f>'Прил.5 Расчет СМР и ОБ'!G36</f>
        <v/>
      </c>
    </row>
    <row r="16" ht="25.5" customHeight="1" s="237">
      <c r="A16" s="290" t="n">
        <v>5</v>
      </c>
      <c r="B16" s="166">
        <f>'Прил.5 Расчет СМР и ОБ'!B38</f>
        <v/>
      </c>
      <c r="C16" s="293">
        <f>'Прил.5 Расчет СМР и ОБ'!C38</f>
        <v/>
      </c>
      <c r="D16" s="290">
        <f>'Прил.5 Расчет СМР и ОБ'!D38</f>
        <v/>
      </c>
      <c r="E16" s="290">
        <f>'Прил.5 Расчет СМР и ОБ'!E38</f>
        <v/>
      </c>
      <c r="F16" s="369">
        <f>'Прил.5 Расчет СМР и ОБ'!F38</f>
        <v/>
      </c>
      <c r="G16" s="369">
        <f>'Прил.5 Расчет СМР и ОБ'!G38</f>
        <v/>
      </c>
    </row>
    <row r="17">
      <c r="A17" s="290" t="n">
        <v>6</v>
      </c>
      <c r="B17" s="166">
        <f>'Прил.5 Расчет СМР и ОБ'!B39</f>
        <v/>
      </c>
      <c r="C17" s="293">
        <f>'Прил.5 Расчет СМР и ОБ'!C39</f>
        <v/>
      </c>
      <c r="D17" s="290">
        <f>'Прил.5 Расчет СМР и ОБ'!D39</f>
        <v/>
      </c>
      <c r="E17" s="290">
        <f>'Прил.5 Расчет СМР и ОБ'!E39</f>
        <v/>
      </c>
      <c r="F17" s="369">
        <f>'Прил.5 Расчет СМР и ОБ'!F39</f>
        <v/>
      </c>
      <c r="G17" s="369">
        <f>'Прил.5 Расчет СМР и ОБ'!G39</f>
        <v/>
      </c>
    </row>
    <row r="18" ht="25.5" customHeight="1" s="237">
      <c r="A18" s="290" t="n">
        <v>7</v>
      </c>
      <c r="B18" s="166">
        <f>'Прил.5 Расчет СМР и ОБ'!B40</f>
        <v/>
      </c>
      <c r="C18" s="293">
        <f>'Прил.5 Расчет СМР и ОБ'!C40</f>
        <v/>
      </c>
      <c r="D18" s="290">
        <f>'Прил.5 Расчет СМР и ОБ'!D40</f>
        <v/>
      </c>
      <c r="E18" s="290">
        <f>'Прил.5 Расчет СМР и ОБ'!E40</f>
        <v/>
      </c>
      <c r="F18" s="369">
        <f>'Прил.5 Расчет СМР и ОБ'!F40</f>
        <v/>
      </c>
      <c r="G18" s="369">
        <f>'Прил.5 Расчет СМР и ОБ'!G40</f>
        <v/>
      </c>
    </row>
    <row r="19">
      <c r="A19" s="290" t="n">
        <v>8</v>
      </c>
      <c r="B19" s="166">
        <f>'Прил.5 Расчет СМР и ОБ'!B41</f>
        <v/>
      </c>
      <c r="C19" s="293">
        <f>'Прил.5 Расчет СМР и ОБ'!C41</f>
        <v/>
      </c>
      <c r="D19" s="290">
        <f>'Прил.5 Расчет СМР и ОБ'!D41</f>
        <v/>
      </c>
      <c r="E19" s="290">
        <f>'Прил.5 Расчет СМР и ОБ'!E41</f>
        <v/>
      </c>
      <c r="F19" s="369">
        <f>'Прил.5 Расчет СМР и ОБ'!F41</f>
        <v/>
      </c>
      <c r="G19" s="369">
        <f>'Прил.5 Расчет СМР и ОБ'!G41</f>
        <v/>
      </c>
    </row>
    <row r="20" ht="25.5" customHeight="1" s="237">
      <c r="A20" s="290" t="n"/>
      <c r="B20" s="293" t="n"/>
      <c r="C20" s="293" t="inlineStr">
        <is>
          <t>ИТОГО ТЕХНОЛОГИЧЕСКОЕ ОБОРУДОВАНИЕ</t>
        </is>
      </c>
      <c r="D20" s="293" t="n"/>
      <c r="E20" s="313" t="n"/>
      <c r="F20" s="369" t="n"/>
      <c r="G20" s="369">
        <f>SUM(G12:G19)</f>
        <v/>
      </c>
    </row>
    <row r="21" ht="19.5" customHeight="1" s="237">
      <c r="A21" s="290" t="n"/>
      <c r="B21" s="293" t="n"/>
      <c r="C21" s="293" t="inlineStr">
        <is>
          <t>Всего по разделу «Оборудование»</t>
        </is>
      </c>
      <c r="D21" s="293" t="n"/>
      <c r="E21" s="313" t="n"/>
      <c r="F21" s="369" t="n"/>
      <c r="G21" s="369">
        <f>G10+G20</f>
        <v/>
      </c>
    </row>
    <row r="22">
      <c r="A22" s="222" t="n"/>
      <c r="B22" s="98" t="n"/>
      <c r="C22" s="222" t="n"/>
      <c r="D22" s="222" t="n"/>
      <c r="E22" s="222" t="n"/>
      <c r="F22" s="222" t="n"/>
      <c r="G22" s="222" t="n"/>
    </row>
    <row r="23">
      <c r="A23" s="220" t="inlineStr">
        <is>
          <t>Составил ______________________    Д.А. Самуйленко</t>
        </is>
      </c>
      <c r="B23" s="221" t="n"/>
      <c r="C23" s="221" t="n"/>
      <c r="D23" s="222" t="n"/>
      <c r="E23" s="222" t="n"/>
      <c r="F23" s="222" t="n"/>
      <c r="G23" s="222" t="n"/>
    </row>
    <row r="24">
      <c r="A24" s="223" t="inlineStr">
        <is>
          <t xml:space="preserve">                         (подпись, инициалы, фамилия)</t>
        </is>
      </c>
      <c r="B24" s="221" t="n"/>
      <c r="C24" s="221" t="n"/>
      <c r="D24" s="222" t="n"/>
      <c r="E24" s="222" t="n"/>
      <c r="F24" s="222" t="n"/>
      <c r="G24" s="222" t="n"/>
    </row>
    <row r="25">
      <c r="A25" s="220" t="n"/>
      <c r="B25" s="221" t="n"/>
      <c r="C25" s="221" t="n"/>
      <c r="D25" s="222" t="n"/>
      <c r="E25" s="222" t="n"/>
      <c r="F25" s="222" t="n"/>
      <c r="G25" s="222" t="n"/>
    </row>
    <row r="26">
      <c r="A26" s="220" t="inlineStr">
        <is>
          <t>Проверил ______________________        А.В. Костянецкая</t>
        </is>
      </c>
      <c r="B26" s="221" t="n"/>
      <c r="C26" s="221" t="n"/>
      <c r="D26" s="222" t="n"/>
      <c r="E26" s="222" t="n"/>
      <c r="F26" s="222" t="n"/>
      <c r="G26" s="222" t="n"/>
    </row>
    <row r="27">
      <c r="A27" s="223" t="inlineStr">
        <is>
          <t xml:space="preserve">                        (подпись, инициалы, фамилия)</t>
        </is>
      </c>
      <c r="B27" s="221" t="n"/>
      <c r="C27" s="221" t="n"/>
      <c r="D27" s="222" t="n"/>
      <c r="E27" s="222" t="n"/>
      <c r="F27" s="222" t="n"/>
      <c r="G27" s="22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37" min="1" max="1"/>
    <col width="34.85546875" customWidth="1" style="237" min="2" max="2"/>
    <col width="33.5703125" customWidth="1" style="237" min="3" max="3"/>
    <col width="47.28515625" customWidth="1" style="237" min="4" max="4"/>
    <col width="9.140625" customWidth="1" style="237" min="5" max="5"/>
  </cols>
  <sheetData>
    <row r="1" ht="15.75" customHeight="1" s="237">
      <c r="A1" s="239" t="n"/>
      <c r="B1" s="239" t="n"/>
      <c r="C1" s="239" t="n"/>
      <c r="D1" s="239" t="inlineStr">
        <is>
          <t>Приложение №7</t>
        </is>
      </c>
    </row>
    <row r="2" ht="15.75" customHeight="1" s="237">
      <c r="A2" s="239" t="n"/>
      <c r="B2" s="239" t="n"/>
      <c r="C2" s="239" t="n"/>
      <c r="D2" s="239" t="n"/>
    </row>
    <row r="3" ht="15.75" customHeight="1" s="237">
      <c r="A3" s="239" t="n"/>
      <c r="B3" s="216" t="inlineStr">
        <is>
          <t>Расчет показателя УНЦ</t>
        </is>
      </c>
      <c r="C3" s="239" t="n"/>
      <c r="D3" s="239" t="n"/>
    </row>
    <row r="4" ht="15.75" customHeight="1" s="237">
      <c r="A4" s="239" t="n"/>
      <c r="B4" s="239" t="n"/>
      <c r="C4" s="239" t="n"/>
      <c r="D4" s="239" t="n"/>
    </row>
    <row r="5" ht="31.5" customHeight="1" s="237">
      <c r="A5" s="315" t="inlineStr">
        <is>
          <t xml:space="preserve">Наименование разрабатываемого показателя УНЦ - </t>
        </is>
      </c>
      <c r="D5" s="315">
        <f>'Прил.5 Расчет СМР и ОБ'!D6:J6</f>
        <v/>
      </c>
    </row>
    <row r="6" ht="15.75" customHeight="1" s="237">
      <c r="A6" s="239" t="inlineStr">
        <is>
          <t>Единица измерения  — 1 ячейка</t>
        </is>
      </c>
      <c r="B6" s="239" t="n"/>
      <c r="C6" s="239" t="n"/>
      <c r="D6" s="239" t="n"/>
    </row>
    <row r="7" ht="15.75" customHeight="1" s="237">
      <c r="A7" s="239" t="n"/>
      <c r="B7" s="239" t="n"/>
      <c r="C7" s="239" t="n"/>
      <c r="D7" s="239" t="n"/>
    </row>
    <row r="8">
      <c r="A8" s="272" t="inlineStr">
        <is>
          <t>Код показателя</t>
        </is>
      </c>
      <c r="B8" s="272" t="inlineStr">
        <is>
          <t>Наименование показателя</t>
        </is>
      </c>
      <c r="C8" s="272" t="inlineStr">
        <is>
          <t>Наименование РМ, входящих в состав показателя</t>
        </is>
      </c>
      <c r="D8" s="272" t="inlineStr">
        <is>
          <t>Норматив цены на 01.01.2023, тыс.руб.</t>
        </is>
      </c>
    </row>
    <row r="9">
      <c r="A9" s="364" t="n"/>
      <c r="B9" s="364" t="n"/>
      <c r="C9" s="364" t="n"/>
      <c r="D9" s="364" t="n"/>
    </row>
    <row r="10" ht="15.75" customHeight="1" s="237">
      <c r="A10" s="272" t="n">
        <v>1</v>
      </c>
      <c r="B10" s="272" t="n">
        <v>2</v>
      </c>
      <c r="C10" s="272" t="n">
        <v>3</v>
      </c>
      <c r="D10" s="272" t="n">
        <v>4</v>
      </c>
    </row>
    <row r="11" ht="47.25" customHeight="1" s="237">
      <c r="A11" s="272" t="inlineStr">
        <is>
          <t>В6-03</t>
        </is>
      </c>
      <c r="B11" s="272" t="inlineStr">
        <is>
          <t>УНЦ автоматического пункта секционирования (реклоузера) 6 - 35 кВ без ПКУ</t>
        </is>
      </c>
      <c r="C11" s="230">
        <f>D5</f>
        <v/>
      </c>
      <c r="D11" s="245">
        <f>'Прил.4 РМ'!C41/1000</f>
        <v/>
      </c>
    </row>
    <row r="13">
      <c r="A13" s="220" t="inlineStr">
        <is>
          <t>Составил ______________________     Д.А. Самуйленко</t>
        </is>
      </c>
      <c r="B13" s="221" t="n"/>
      <c r="C13" s="221" t="n"/>
      <c r="D13" s="222" t="n"/>
    </row>
    <row r="14">
      <c r="A14" s="223" t="inlineStr">
        <is>
          <t xml:space="preserve">                         (подпись, инициалы, фамилия)</t>
        </is>
      </c>
      <c r="B14" s="221" t="n"/>
      <c r="C14" s="221" t="n"/>
      <c r="D14" s="222" t="n"/>
    </row>
    <row r="15">
      <c r="A15" s="220" t="n"/>
      <c r="B15" s="221" t="n"/>
      <c r="C15" s="221" t="n"/>
      <c r="D15" s="222" t="n"/>
    </row>
    <row r="16">
      <c r="A16" s="220" t="inlineStr">
        <is>
          <t>Проверил ______________________        А.В. Костянецкая</t>
        </is>
      </c>
      <c r="B16" s="221" t="n"/>
      <c r="C16" s="221" t="n"/>
      <c r="D16" s="222" t="n"/>
    </row>
    <row r="17" ht="20.25" customHeight="1" s="237">
      <c r="A17" s="223" t="inlineStr">
        <is>
          <t xml:space="preserve">                        (подпись, инициалы, фамилия)</t>
        </is>
      </c>
      <c r="B17" s="221" t="n"/>
      <c r="C17" s="221" t="n"/>
      <c r="D17" s="22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C26" sqref="C26"/>
    </sheetView>
  </sheetViews>
  <sheetFormatPr baseColWidth="8" defaultRowHeight="15"/>
  <cols>
    <col width="9.140625" customWidth="1" style="237" min="1" max="1"/>
    <col width="40.7109375" customWidth="1" style="237" min="2" max="2"/>
    <col width="38.140625" customWidth="1" style="237" min="3" max="3"/>
    <col width="32" customWidth="1" style="237" min="4" max="4"/>
    <col width="9.140625" customWidth="1" style="237" min="5" max="5"/>
  </cols>
  <sheetData>
    <row r="4" ht="15.75" customHeight="1" s="237">
      <c r="B4" s="266" t="inlineStr">
        <is>
          <t>Приложение № 10</t>
        </is>
      </c>
    </row>
    <row r="5" ht="18.75" customHeight="1" s="237">
      <c r="B5" s="109" t="n"/>
    </row>
    <row r="6" ht="15.75" customHeight="1" s="237">
      <c r="B6" s="267" t="inlineStr">
        <is>
          <t>Используемые индексы изменений сметной стоимости и нормы сопутствующих затрат</t>
        </is>
      </c>
    </row>
    <row r="7">
      <c r="B7" s="316" t="n"/>
    </row>
    <row r="8">
      <c r="B8" s="316" t="n"/>
      <c r="C8" s="316" t="n"/>
      <c r="D8" s="316" t="n"/>
      <c r="E8" s="316" t="n"/>
    </row>
    <row r="9" ht="47.25" customHeight="1" s="237">
      <c r="B9" s="272" t="inlineStr">
        <is>
          <t>Наименование индекса / норм сопутствующих затрат</t>
        </is>
      </c>
      <c r="C9" s="272" t="inlineStr">
        <is>
          <t>Дата применения и обоснование индекса / норм сопутствующих затрат</t>
        </is>
      </c>
      <c r="D9" s="272" t="inlineStr">
        <is>
          <t>Размер индекса / норма сопутствующих затрат</t>
        </is>
      </c>
    </row>
    <row r="10" ht="15.75" customHeight="1" s="237">
      <c r="B10" s="272" t="n">
        <v>1</v>
      </c>
      <c r="C10" s="272" t="n">
        <v>2</v>
      </c>
      <c r="D10" s="272" t="n">
        <v>3</v>
      </c>
    </row>
    <row r="11" ht="31.5" customHeight="1" s="237">
      <c r="B11" s="272" t="inlineStr">
        <is>
          <t xml:space="preserve">Индекс изменения сметной стоимости на 1 квартал 2023 года. ОЗП </t>
        </is>
      </c>
      <c r="C11" s="272" t="inlineStr">
        <is>
          <t>Письмо Минстроя России от 30.03.2023г. №17106-ИФ/09  прил.1</t>
        </is>
      </c>
      <c r="D11" s="272" t="n">
        <v>46.83</v>
      </c>
    </row>
    <row r="12" ht="31.5" customHeight="1" s="237">
      <c r="B12" s="272" t="inlineStr">
        <is>
          <t>Индекс изменения сметной стоимости на 1 квартал 2023 года. ЭМ</t>
        </is>
      </c>
      <c r="C12" s="272" t="inlineStr">
        <is>
          <t>Письмо Минстроя России от 30.03.2023г. №17106-ИФ/09  прил.1</t>
        </is>
      </c>
      <c r="D12" s="272" t="n">
        <v>11.96</v>
      </c>
    </row>
    <row r="13" ht="31.5" customHeight="1" s="237">
      <c r="B13" s="272" t="inlineStr">
        <is>
          <t>Индекс изменения сметной стоимости на 1 квартал 2023 года. МАТ</t>
        </is>
      </c>
      <c r="C13" s="272" t="inlineStr">
        <is>
          <t>Письмо Минстроя России от 30.03.2023г. №17106-ИФ/09  прил.1</t>
        </is>
      </c>
      <c r="D13" s="272" t="n">
        <v>9.84</v>
      </c>
    </row>
    <row r="14" ht="31.5" customHeight="1" s="237">
      <c r="B14" s="272" t="inlineStr">
        <is>
          <t>Индекс изменения сметной стоимости на 1 квартал 2023 года. ОБ</t>
        </is>
      </c>
      <c r="C14" s="272" t="inlineStr">
        <is>
          <t>Письмо Минстроя России от 23.02.2023г. №9791-ИФ/09 прил.6</t>
        </is>
      </c>
      <c r="D14" s="272" t="n">
        <v>6.26</v>
      </c>
    </row>
    <row r="15" ht="89.25" customHeight="1" s="237">
      <c r="B15" s="272" t="inlineStr">
        <is>
          <t>Временные здания и сооружения</t>
        </is>
      </c>
      <c r="C15" s="27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2" t="n">
        <v>0.033</v>
      </c>
    </row>
    <row r="16" ht="78.75" customHeight="1" s="237">
      <c r="B16" s="272" t="inlineStr">
        <is>
          <t>Дополнительные затраты при производстве строительно-монтажных работ в зимнее время</t>
        </is>
      </c>
      <c r="C16" s="27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2" t="n">
        <v>0.01</v>
      </c>
    </row>
    <row r="17" ht="15.75" customHeight="1" s="237">
      <c r="B17" s="272" t="inlineStr">
        <is>
          <t>Пусконаладочные работы*</t>
        </is>
      </c>
      <c r="C17" s="272" t="n"/>
      <c r="D17" s="272" t="inlineStr">
        <is>
          <t>Расчет</t>
        </is>
      </c>
    </row>
    <row r="18" ht="31.5" customHeight="1" s="237">
      <c r="B18" s="272" t="inlineStr">
        <is>
          <t>Строительный контроль</t>
        </is>
      </c>
      <c r="C18" s="272" t="inlineStr">
        <is>
          <t>Постановление Правительства РФ от 21.06.10 г. № 468</t>
        </is>
      </c>
      <c r="D18" s="112" t="n">
        <v>0.0214</v>
      </c>
    </row>
    <row r="19" ht="31.5" customHeight="1" s="237">
      <c r="B19" s="272" t="inlineStr">
        <is>
          <t>Авторский надзор - 0,2%</t>
        </is>
      </c>
      <c r="C19" s="272" t="inlineStr">
        <is>
          <t>Приказ от 4.08.2020 № 421/пр п.173</t>
        </is>
      </c>
      <c r="D19" s="112" t="n">
        <v>0.002</v>
      </c>
    </row>
    <row r="20" ht="24" customHeight="1" s="237">
      <c r="B20" s="272" t="inlineStr">
        <is>
          <t>Непредвиденные расходы</t>
        </is>
      </c>
      <c r="C20" s="272" t="inlineStr">
        <is>
          <t>Приказ от 4.08.2020 № 421/пр п.179</t>
        </is>
      </c>
      <c r="D20" s="112" t="n">
        <v>0.03</v>
      </c>
    </row>
    <row r="21" ht="18.75" customHeight="1" s="237">
      <c r="B21" s="110" t="n"/>
    </row>
    <row r="22" ht="18.75" customHeight="1" s="237">
      <c r="B22" s="110" t="n"/>
    </row>
    <row r="23" ht="18.75" customHeight="1" s="237">
      <c r="B23" s="110" t="n"/>
    </row>
    <row r="24" ht="18.75" customHeight="1" s="237">
      <c r="B24" s="110" t="n"/>
    </row>
    <row r="27">
      <c r="B27" s="220" t="inlineStr">
        <is>
          <t>Составил ______________________        Е.А. Князева</t>
        </is>
      </c>
      <c r="C27" s="221" t="n"/>
    </row>
    <row r="28">
      <c r="B28" s="223" t="inlineStr">
        <is>
          <t xml:space="preserve">                         (подпись, инициалы, фамилия)</t>
        </is>
      </c>
      <c r="C28" s="221" t="n"/>
    </row>
    <row r="29">
      <c r="B29" s="220" t="n"/>
      <c r="C29" s="221" t="n"/>
    </row>
    <row r="30">
      <c r="B30" s="220" t="inlineStr">
        <is>
          <t>Проверил ______________________        А.В. Костянецкая</t>
        </is>
      </c>
      <c r="C30" s="221" t="n"/>
    </row>
    <row r="31">
      <c r="B31" s="223" t="inlineStr">
        <is>
          <t xml:space="preserve">                        (подпись, инициалы, фамилия)</t>
        </is>
      </c>
      <c r="C31" s="2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L18" sqref="L18"/>
    </sheetView>
  </sheetViews>
  <sheetFormatPr baseColWidth="8" defaultColWidth="9.140625" defaultRowHeight="15"/>
  <cols>
    <col width="44.85546875" customWidth="1" style="237" min="2" max="2"/>
    <col width="13" customWidth="1" style="237" min="3" max="3"/>
    <col width="22.85546875" customWidth="1" style="237" min="4" max="4"/>
    <col width="21.5703125" customWidth="1" style="237" min="5" max="5"/>
    <col width="43.85546875" customWidth="1" style="237" min="6" max="6"/>
  </cols>
  <sheetData>
    <row r="1" s="237"/>
    <row r="2" ht="17.25" customHeight="1" s="237">
      <c r="A2" s="267" t="inlineStr">
        <is>
          <t>Расчет размера средств на оплату труда рабочих-строителей в текущем уровне цен (ФОТр.тек.)</t>
        </is>
      </c>
    </row>
    <row r="3" s="237"/>
    <row r="4" ht="18" customHeight="1" s="237">
      <c r="A4" s="238" t="inlineStr">
        <is>
          <t>Составлен в уровне цен на 01.01.2023 г.</t>
        </is>
      </c>
      <c r="B4" s="239" t="n"/>
      <c r="C4" s="239" t="n"/>
      <c r="D4" s="239" t="n"/>
      <c r="E4" s="239" t="n"/>
      <c r="F4" s="239" t="n"/>
      <c r="G4" s="239" t="n"/>
    </row>
    <row r="5" ht="15.75" customHeight="1" s="237">
      <c r="A5" s="240" t="inlineStr">
        <is>
          <t>№ пп.</t>
        </is>
      </c>
      <c r="B5" s="240" t="inlineStr">
        <is>
          <t>Наименование элемента</t>
        </is>
      </c>
      <c r="C5" s="240" t="inlineStr">
        <is>
          <t>Обозначение</t>
        </is>
      </c>
      <c r="D5" s="240" t="inlineStr">
        <is>
          <t>Формула</t>
        </is>
      </c>
      <c r="E5" s="240" t="inlineStr">
        <is>
          <t>Величина элемента</t>
        </is>
      </c>
      <c r="F5" s="240" t="inlineStr">
        <is>
          <t>Наименования обосновывающих документов</t>
        </is>
      </c>
      <c r="G5" s="239" t="n"/>
    </row>
    <row r="6" ht="15.75" customHeight="1" s="237">
      <c r="A6" s="240" t="n">
        <v>1</v>
      </c>
      <c r="B6" s="240" t="n">
        <v>2</v>
      </c>
      <c r="C6" s="240" t="n">
        <v>3</v>
      </c>
      <c r="D6" s="240" t="n">
        <v>4</v>
      </c>
      <c r="E6" s="240" t="n">
        <v>5</v>
      </c>
      <c r="F6" s="240" t="n">
        <v>6</v>
      </c>
      <c r="G6" s="239" t="n"/>
    </row>
    <row r="7" ht="110.25" customHeight="1" s="237">
      <c r="A7" s="241" t="inlineStr">
        <is>
          <t>1.1</t>
        </is>
      </c>
      <c r="B7" s="24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2" t="inlineStr">
        <is>
          <t>С1ср</t>
        </is>
      </c>
      <c r="D7" s="272" t="inlineStr">
        <is>
          <t>-</t>
        </is>
      </c>
      <c r="E7" s="244" t="n">
        <v>47872.94</v>
      </c>
      <c r="F7" s="24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9" t="n"/>
    </row>
    <row r="8" ht="31.5" customHeight="1" s="237">
      <c r="A8" s="241" t="inlineStr">
        <is>
          <t>1.2</t>
        </is>
      </c>
      <c r="B8" s="246" t="inlineStr">
        <is>
          <t>Среднегодовое нормативное число часов работы одного рабочего в месяц, часы (ч.)</t>
        </is>
      </c>
      <c r="C8" s="272" t="inlineStr">
        <is>
          <t>tср</t>
        </is>
      </c>
      <c r="D8" s="272" t="inlineStr">
        <is>
          <t>1973ч/12мес.</t>
        </is>
      </c>
      <c r="E8" s="245">
        <f>1973/12</f>
        <v/>
      </c>
      <c r="F8" s="246" t="inlineStr">
        <is>
          <t>Производственный календарь 2023 год
(40-часов.неделя)</t>
        </is>
      </c>
      <c r="G8" s="248" t="n"/>
    </row>
    <row r="9" ht="15.75" customHeight="1" s="237">
      <c r="A9" s="241" t="inlineStr">
        <is>
          <t>1.3</t>
        </is>
      </c>
      <c r="B9" s="246" t="inlineStr">
        <is>
          <t>Коэффициент увеличения</t>
        </is>
      </c>
      <c r="C9" s="272" t="inlineStr">
        <is>
          <t>Кув</t>
        </is>
      </c>
      <c r="D9" s="272" t="inlineStr">
        <is>
          <t>-</t>
        </is>
      </c>
      <c r="E9" s="245" t="n">
        <v>1</v>
      </c>
      <c r="F9" s="246" t="n"/>
      <c r="G9" s="248" t="n"/>
    </row>
    <row r="10" ht="15.75" customHeight="1" s="237">
      <c r="A10" s="241" t="inlineStr">
        <is>
          <t>1.4</t>
        </is>
      </c>
      <c r="B10" s="246" t="inlineStr">
        <is>
          <t>Средний разряд работ</t>
        </is>
      </c>
      <c r="C10" s="272" t="n"/>
      <c r="D10" s="272" t="n"/>
      <c r="E10" s="249" t="n">
        <v>4</v>
      </c>
      <c r="F10" s="246" t="inlineStr">
        <is>
          <t>РТМ</t>
        </is>
      </c>
      <c r="G10" s="248" t="n"/>
    </row>
    <row r="11" ht="78.75" customHeight="1" s="237">
      <c r="A11" s="241" t="inlineStr">
        <is>
          <t>1.5</t>
        </is>
      </c>
      <c r="B11" s="246" t="inlineStr">
        <is>
          <t>Тарифный коэффициент среднего разряда работ</t>
        </is>
      </c>
      <c r="C11" s="272" t="inlineStr">
        <is>
          <t>КТ</t>
        </is>
      </c>
      <c r="D11" s="272" t="inlineStr">
        <is>
          <t>-</t>
        </is>
      </c>
      <c r="E11" s="381" t="n">
        <v>1.34</v>
      </c>
      <c r="F11" s="24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9" t="n"/>
    </row>
    <row r="12" ht="78.75" customHeight="1" s="237">
      <c r="A12" s="241" t="inlineStr">
        <is>
          <t>1.6</t>
        </is>
      </c>
      <c r="B12" s="251" t="inlineStr">
        <is>
          <t>Коэффициент инфляции, определяемый поквартально</t>
        </is>
      </c>
      <c r="C12" s="272" t="inlineStr">
        <is>
          <t>Кинф</t>
        </is>
      </c>
      <c r="D12" s="272" t="inlineStr">
        <is>
          <t>-</t>
        </is>
      </c>
      <c r="E12" s="382" t="n">
        <v>1.139</v>
      </c>
      <c r="F12" s="25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8" t="n"/>
    </row>
    <row r="13" ht="63" customHeight="1" s="237">
      <c r="A13" s="254" t="inlineStr">
        <is>
          <t>1.7</t>
        </is>
      </c>
      <c r="B13" s="255" t="inlineStr">
        <is>
          <t>Размер средств на оплату труда рабочих-строителей в текущем уровне цен (ФОТр.тек.), руб/чел.-ч</t>
        </is>
      </c>
      <c r="C13" s="256" t="inlineStr">
        <is>
          <t>ФОТр.тек.</t>
        </is>
      </c>
      <c r="D13" s="256" t="inlineStr">
        <is>
          <t>(С1ср/tср*КТ*Т*Кув)*Кинф</t>
        </is>
      </c>
      <c r="E13" s="257">
        <f>((E7*E9/E8)*E11)*E12</f>
        <v/>
      </c>
      <c r="F13" s="25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2025-01-24T11:55:22Z</dcterms:modified>
  <cp:lastModifiedBy>REDMIBOOK</cp:lastModifiedBy>
  <cp:lastPrinted>2023-12-01T13:06:02Z</cp:lastPrinted>
</cp:coreProperties>
</file>