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3\РМ Блок 3\В7\"/>
    </mc:Choice>
  </mc:AlternateContent>
  <xr:revisionPtr revIDLastSave="0" documentId="13_ncr:20001_{0EEFC439-58D7-4F79-A324-A700BBC2FC4B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4.7 Прил.6 Расчет Прочие" sheetId="12" state="hidden" r:id="rId12"/>
    <sheet name="4.8 Прил. 6.1 Расчет ПНР" sheetId="13" state="hidden" r:id="rId13"/>
    <sheet name="4.9 Прил 6.2 Расчет ПИР" sheetId="14" state="hidden" r:id="rId14"/>
    <sheet name="ФОТр.тек." sheetId="15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1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3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1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3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 localSheetId="9">TRUE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1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3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1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3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2">#REF!</definedName>
    <definedName name="_def2000г" localSheetId="13">#REF!</definedName>
    <definedName name="_def2000г" localSheetId="3">#REF!</definedName>
    <definedName name="_def2000г" localSheetId="4">#REF!</definedName>
    <definedName name="_def2000г" localSheetId="7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2">#REF!</definedName>
    <definedName name="_def2001г" localSheetId="13">#REF!</definedName>
    <definedName name="_def2001г" localSheetId="3">#REF!</definedName>
    <definedName name="_def2001г" localSheetId="4">#REF!</definedName>
    <definedName name="_def2001г" localSheetId="7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2">#REF!</definedName>
    <definedName name="_def2002г" localSheetId="13">#REF!</definedName>
    <definedName name="_def2002г" localSheetId="3">#REF!</definedName>
    <definedName name="_def2002г" localSheetId="4">#REF!</definedName>
    <definedName name="_def2002г" localSheetId="7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2">#REF!</definedName>
    <definedName name="_inf2000" localSheetId="13">#REF!</definedName>
    <definedName name="_inf2000" localSheetId="3">#REF!</definedName>
    <definedName name="_inf2000" localSheetId="4">#REF!</definedName>
    <definedName name="_inf2000" localSheetId="7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2">#REF!</definedName>
    <definedName name="_inf2001" localSheetId="13">#REF!</definedName>
    <definedName name="_inf2001" localSheetId="3">#REF!</definedName>
    <definedName name="_inf2001" localSheetId="4">#REF!</definedName>
    <definedName name="_inf2001" localSheetId="7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2">#REF!</definedName>
    <definedName name="_inf2002" localSheetId="13">#REF!</definedName>
    <definedName name="_inf2002" localSheetId="3">#REF!</definedName>
    <definedName name="_inf2002" localSheetId="4">#REF!</definedName>
    <definedName name="_inf2002" localSheetId="7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2">#REF!</definedName>
    <definedName name="_inf2003" localSheetId="13">#REF!</definedName>
    <definedName name="_inf2003" localSheetId="3">#REF!</definedName>
    <definedName name="_inf2003" localSheetId="4">#REF!</definedName>
    <definedName name="_inf2003" localSheetId="7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2">#REF!</definedName>
    <definedName name="_inf2004" localSheetId="13">#REF!</definedName>
    <definedName name="_inf2004" localSheetId="3">#REF!</definedName>
    <definedName name="_inf2004" localSheetId="4">#REF!</definedName>
    <definedName name="_inf2004" localSheetId="7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2">#REF!</definedName>
    <definedName name="_inf2005" localSheetId="13">#REF!</definedName>
    <definedName name="_inf2005" localSheetId="3">#REF!</definedName>
    <definedName name="_inf2005" localSheetId="4">#REF!</definedName>
    <definedName name="_inf2005" localSheetId="7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2">#REF!</definedName>
    <definedName name="_inf2006" localSheetId="13">#REF!</definedName>
    <definedName name="_inf2006" localSheetId="3">#REF!</definedName>
    <definedName name="_inf2006" localSheetId="4">#REF!</definedName>
    <definedName name="_inf2006" localSheetId="7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2">#REF!</definedName>
    <definedName name="_inf2007" localSheetId="13">#REF!</definedName>
    <definedName name="_inf2007" localSheetId="3">#REF!</definedName>
    <definedName name="_inf2007" localSheetId="4">#REF!</definedName>
    <definedName name="_inf2007" localSheetId="7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2">#REF!</definedName>
    <definedName name="_inf2008" localSheetId="13">#REF!</definedName>
    <definedName name="_inf2008" localSheetId="3">#REF!</definedName>
    <definedName name="_inf2008" localSheetId="4">#REF!</definedName>
    <definedName name="_inf2008" localSheetId="7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2">#REF!</definedName>
    <definedName name="_inf2009" localSheetId="13">#REF!</definedName>
    <definedName name="_inf2009" localSheetId="3">#REF!</definedName>
    <definedName name="_inf2009" localSheetId="4">#REF!</definedName>
    <definedName name="_inf2009" localSheetId="7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2">#REF!</definedName>
    <definedName name="_inf2010" localSheetId="13">#REF!</definedName>
    <definedName name="_inf2010" localSheetId="3">#REF!</definedName>
    <definedName name="_inf2010" localSheetId="4">#REF!</definedName>
    <definedName name="_inf2010" localSheetId="7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2">#REF!</definedName>
    <definedName name="_inf2011" localSheetId="13">#REF!</definedName>
    <definedName name="_inf2011" localSheetId="3">#REF!</definedName>
    <definedName name="_inf2011" localSheetId="4">#REF!</definedName>
    <definedName name="_inf2011" localSheetId="7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2">#REF!</definedName>
    <definedName name="_inf2012" localSheetId="13">#REF!</definedName>
    <definedName name="_inf2012" localSheetId="3">#REF!</definedName>
    <definedName name="_inf2012" localSheetId="4">#REF!</definedName>
    <definedName name="_inf2012" localSheetId="7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2">#REF!</definedName>
    <definedName name="_inf2013" localSheetId="13">#REF!</definedName>
    <definedName name="_inf2013" localSheetId="3">#REF!</definedName>
    <definedName name="_inf2013" localSheetId="4">#REF!</definedName>
    <definedName name="_inf2013" localSheetId="7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2">#REF!</definedName>
    <definedName name="_inf2014" localSheetId="13">#REF!</definedName>
    <definedName name="_inf2014" localSheetId="3">#REF!</definedName>
    <definedName name="_inf2014" localSheetId="4">#REF!</definedName>
    <definedName name="_inf2014" localSheetId="7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2">#REF!</definedName>
    <definedName name="_inf2015" localSheetId="13">#REF!</definedName>
    <definedName name="_inf2015" localSheetId="3">#REF!</definedName>
    <definedName name="_inf2015" localSheetId="4">#REF!</definedName>
    <definedName name="_inf2015" localSheetId="7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1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3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1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3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2">#REF!</definedName>
    <definedName name="a04t" localSheetId="13">#REF!</definedName>
    <definedName name="a04t" localSheetId="3">#REF!</definedName>
    <definedName name="a04t" localSheetId="4">#REF!</definedName>
    <definedName name="a04t" localSheetId="7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2">#REF!</definedName>
    <definedName name="DOLL" localSheetId="13">#REF!</definedName>
    <definedName name="DOLL" localSheetId="3">#REF!</definedName>
    <definedName name="DOLL" localSheetId="4">#REF!</definedName>
    <definedName name="DOLL" localSheetId="7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2">#REF!</definedName>
    <definedName name="Excel_BuiltIn_Print_Area_1" localSheetId="13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2">#REF!</definedName>
    <definedName name="Excel_BuiltIn_Print_Area_4" localSheetId="13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2">#REF!</definedName>
    <definedName name="Excel_BuiltIn_Print_Area_5" localSheetId="13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2">#REF!</definedName>
    <definedName name="ff" localSheetId="13">#REF!</definedName>
    <definedName name="ff" localSheetId="3">#REF!</definedName>
    <definedName name="ff" localSheetId="4">#REF!</definedName>
    <definedName name="ff" localSheetId="7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2">#REF!</definedName>
    <definedName name="gggg" localSheetId="13">#REF!</definedName>
    <definedName name="gggg" localSheetId="3">#REF!</definedName>
    <definedName name="gggg" localSheetId="4">#REF!</definedName>
    <definedName name="gggg" localSheetId="7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2">#REF!</definedName>
    <definedName name="Global.MNULL" localSheetId="13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2">#REF!</definedName>
    <definedName name="Global.NULL" localSheetId="13">#REF!</definedName>
    <definedName name="Global.NULL" localSheetId="3">#REF!</definedName>
    <definedName name="Global.NULL" localSheetId="4">#REF!</definedName>
    <definedName name="Global.NULL" localSheetId="7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1">IF('4.7 Прил.6 Расчет Прочие'!n_3=1,'4.7 Прил.6 Расчет Прочие'!n_2,'4.7 Прил.6 Расчет Прочие'!n_3&amp;'4.7 Прил.6 Расчет Прочие'!n_1)</definedName>
    <definedName name="n0x" localSheetId="13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1">IF('4.7 Прил.6 Расчет Прочие'!n_3=1,'4.7 Прил.6 Расчет Прочие'!n_2,'4.7 Прил.6 Расчет Прочие'!n_3&amp;'4.7 Прил.6 Расчет Прочие'!n_5)</definedName>
    <definedName name="n1x" localSheetId="13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3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2">#REF!</definedName>
    <definedName name="time" localSheetId="13">#REF!</definedName>
    <definedName name="time" localSheetId="3">#REF!</definedName>
    <definedName name="time" localSheetId="4">#REF!</definedName>
    <definedName name="time" localSheetId="7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1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3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1">{#N/A,#N/A,FALSE,"Шаблон_Спец1"}</definedName>
    <definedName name="wrn.1." localSheetId="13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1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3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2">#REF!</definedName>
    <definedName name="а" localSheetId="13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2">#REF!</definedName>
    <definedName name="ааа" localSheetId="13">#REF!</definedName>
    <definedName name="ааа" localSheetId="3">#REF!</definedName>
    <definedName name="ааа" localSheetId="4">#REF!</definedName>
    <definedName name="ааа" localSheetId="7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2">#REF!</definedName>
    <definedName name="д" localSheetId="13">#REF!</definedName>
    <definedName name="д" localSheetId="3">#REF!</definedName>
    <definedName name="д" localSheetId="4">#REF!</definedName>
    <definedName name="д" localSheetId="7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2">#REF!</definedName>
    <definedName name="дд" localSheetId="13">#REF!</definedName>
    <definedName name="дд" localSheetId="3">#REF!</definedName>
    <definedName name="дд" localSheetId="4">#REF!</definedName>
    <definedName name="дд" localSheetId="7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2">#REF!</definedName>
    <definedName name="дддд" localSheetId="13">#REF!</definedName>
    <definedName name="дддд" localSheetId="3">#REF!</definedName>
    <definedName name="дддд" localSheetId="4">#REF!</definedName>
    <definedName name="дддд" localSheetId="7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2">#REF!</definedName>
    <definedName name="де" localSheetId="13">#REF!</definedName>
    <definedName name="де" localSheetId="3">#REF!</definedName>
    <definedName name="де" localSheetId="4">#REF!</definedName>
    <definedName name="де" localSheetId="7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2">#REF!</definedName>
    <definedName name="дефл." localSheetId="13">#REF!</definedName>
    <definedName name="дефл." localSheetId="3">#REF!</definedName>
    <definedName name="дефл." localSheetId="4">#REF!</definedName>
    <definedName name="дефл." localSheetId="7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2">#REF!</definedName>
    <definedName name="до" localSheetId="13">#REF!</definedName>
    <definedName name="до" localSheetId="3">#REF!</definedName>
    <definedName name="до" localSheetId="4">#REF!</definedName>
    <definedName name="до" localSheetId="7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2">#REF!</definedName>
    <definedName name="дол" localSheetId="13">#REF!</definedName>
    <definedName name="дол" localSheetId="3">#REF!</definedName>
    <definedName name="дол" localSheetId="4">#REF!</definedName>
    <definedName name="дол" localSheetId="7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2">#REF!</definedName>
    <definedName name="ДС" localSheetId="13">#REF!</definedName>
    <definedName name="ДС" localSheetId="3">#REF!</definedName>
    <definedName name="ДС" localSheetId="4">#REF!</definedName>
    <definedName name="ДС" localSheetId="7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2">#REF!</definedName>
    <definedName name="ж" localSheetId="13">#REF!</definedName>
    <definedName name="ж" localSheetId="3">#REF!</definedName>
    <definedName name="ж" localSheetId="4">#REF!</definedName>
    <definedName name="ж" localSheetId="7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2">#REF!</definedName>
    <definedName name="зз" localSheetId="13">#REF!</definedName>
    <definedName name="зз" localSheetId="3">#REF!</definedName>
    <definedName name="зз" localSheetId="4">#REF!</definedName>
    <definedName name="зз" localSheetId="7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2">#REF!</definedName>
    <definedName name="иии" localSheetId="13">#REF!</definedName>
    <definedName name="иии" localSheetId="3">#REF!</definedName>
    <definedName name="иии" localSheetId="4">#REF!</definedName>
    <definedName name="иии" localSheetId="7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2">#REF!</definedName>
    <definedName name="кк" localSheetId="13">#REF!</definedName>
    <definedName name="кк" localSheetId="3">#REF!</definedName>
    <definedName name="кк" localSheetId="4">#REF!</definedName>
    <definedName name="кк" localSheetId="7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1">{#N/A,#N/A,FALSE,"Шаблон_Спец1"}</definedName>
    <definedName name="корр" localSheetId="13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2">#REF!</definedName>
    <definedName name="лд" localSheetId="13">#REF!</definedName>
    <definedName name="лд" localSheetId="3">#REF!</definedName>
    <definedName name="лд" localSheetId="4">#REF!</definedName>
    <definedName name="лд" localSheetId="7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2">#REF!</definedName>
    <definedName name="лдд" localSheetId="13">#REF!</definedName>
    <definedName name="лдд" localSheetId="3">#REF!</definedName>
    <definedName name="лдд" localSheetId="4">#REF!</definedName>
    <definedName name="лдд" localSheetId="7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2">#REF!</definedName>
    <definedName name="лл" localSheetId="13">#REF!</definedName>
    <definedName name="лл" localSheetId="3">#REF!</definedName>
    <definedName name="лл" localSheetId="4">#REF!</definedName>
    <definedName name="лл" localSheetId="7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2">#REF!</definedName>
    <definedName name="ллл" localSheetId="13">#REF!</definedName>
    <definedName name="ллл" localSheetId="3">#REF!</definedName>
    <definedName name="ллл" localSheetId="4">#REF!</definedName>
    <definedName name="ллл" localSheetId="7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1">{0,"овz";1,"z";2,"аz";5,"овz"}</definedName>
    <definedName name="мил" localSheetId="13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2">#REF!</definedName>
    <definedName name="Модель2" localSheetId="13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2">#REF!</definedName>
    <definedName name="нн" localSheetId="13">#REF!</definedName>
    <definedName name="нн" localSheetId="3">#REF!</definedName>
    <definedName name="нн" localSheetId="4">#REF!</definedName>
    <definedName name="нн" localSheetId="7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1">граж</definedName>
    <definedName name="нр" localSheetId="13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1">'4.7 Прил.6 Расчет Прочие'!$A$1:$I$27</definedName>
    <definedName name="_xlnm.Print_Area" localSheetId="12">'4.8 Прил. 6.1 Расчет ПНР'!$A$1:$O$28</definedName>
    <definedName name="_xlnm.Print_Area" localSheetId="13">'4.9 Прил 6.2 Расчет ПИР'!$A$1:$R$36</definedName>
    <definedName name="_xlnm.Print_Area" localSheetId="3">'Прил.1 Сравнит табл'!$A$1:$E$32</definedName>
    <definedName name="_xlnm.Print_Area" localSheetId="4">'Прил.2 Расч стоим'!$A$1:$J$28</definedName>
    <definedName name="_xlnm.Print_Area" localSheetId="5">Прил.3!$A$1:$H$65</definedName>
    <definedName name="_xlnm.Print_Area" localSheetId="6">'Прил.4 РМ'!$A$1:$E$48</definedName>
    <definedName name="_xlnm.Print_Area" localSheetId="7">'Прил.5 Расчет СМР и ОБ'!$A$1:$J$80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2">#REF!</definedName>
    <definedName name="ол" localSheetId="13">#REF!</definedName>
    <definedName name="ол" localSheetId="3">#REF!</definedName>
    <definedName name="ол" localSheetId="4">#REF!</definedName>
    <definedName name="ол" localSheetId="7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2">#REF!</definedName>
    <definedName name="ооо" localSheetId="13">#REF!</definedName>
    <definedName name="ооо" localSheetId="3">#REF!</definedName>
    <definedName name="ооо" localSheetId="4">#REF!</definedName>
    <definedName name="ооо" localSheetId="7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2">#REF!</definedName>
    <definedName name="пп" localSheetId="13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2">#REF!</definedName>
    <definedName name="ппп" localSheetId="13">#REF!</definedName>
    <definedName name="ппп" localSheetId="3">#REF!</definedName>
    <definedName name="ппп" localSheetId="4">#REF!</definedName>
    <definedName name="ппп" localSheetId="7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1">{#N/A,#N/A,FALSE,"Шаблон_Спец1"}</definedName>
    <definedName name="С" localSheetId="13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2">#REF!</definedName>
    <definedName name="ттт" localSheetId="13">#REF!</definedName>
    <definedName name="ттт" localSheetId="3">#REF!</definedName>
    <definedName name="ттт" localSheetId="4">#REF!</definedName>
    <definedName name="ттт" localSheetId="7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1">{0,"тысячz";1,"тысячаz";2,"тысячиz";5,"тысячz"}</definedName>
    <definedName name="тыс" localSheetId="13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2">#REF!</definedName>
    <definedName name="ффф" localSheetId="13">#REF!</definedName>
    <definedName name="ффф" localSheetId="3">#REF!</definedName>
    <definedName name="ффф" localSheetId="4">#REF!</definedName>
    <definedName name="ффф" localSheetId="7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2">#REF!</definedName>
    <definedName name="хх" localSheetId="13">#REF!</definedName>
    <definedName name="хх" localSheetId="3">#REF!</definedName>
    <definedName name="хх" localSheetId="4">#REF!</definedName>
    <definedName name="хх" localSheetId="7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2">#REF!</definedName>
    <definedName name="цц" localSheetId="13">#REF!</definedName>
    <definedName name="цц" localSheetId="3">#REF!</definedName>
    <definedName name="цц" localSheetId="4">#REF!</definedName>
    <definedName name="цц" localSheetId="7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2">#REF!</definedName>
    <definedName name="шш" localSheetId="13">#REF!</definedName>
    <definedName name="шш" localSheetId="3">#REF!</definedName>
    <definedName name="шш" localSheetId="4">#REF!</definedName>
    <definedName name="шш" localSheetId="7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2">#REF!</definedName>
    <definedName name="щщ" localSheetId="13">#REF!</definedName>
    <definedName name="щщ" localSheetId="3">#REF!</definedName>
    <definedName name="щщ" localSheetId="4">#REF!</definedName>
    <definedName name="щщ" localSheetId="7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2">#REF!</definedName>
    <definedName name="ььь" localSheetId="13">#REF!</definedName>
    <definedName name="ььь" localSheetId="3">#REF!</definedName>
    <definedName name="ььь" localSheetId="4">#REF!</definedName>
    <definedName name="ььь" localSheetId="7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2">#REF!</definedName>
    <definedName name="э" localSheetId="13">#REF!</definedName>
    <definedName name="э" localSheetId="3">#REF!</definedName>
    <definedName name="э" localSheetId="4">#REF!</definedName>
    <definedName name="э" localSheetId="7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1">граж</definedName>
    <definedName name="ЭКСПО" localSheetId="13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1">граж</definedName>
    <definedName name="ЭКСПОФОРУМ" localSheetId="13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2">#REF!</definedName>
    <definedName name="юююю" localSheetId="13">#REF!</definedName>
    <definedName name="юююю" localSheetId="3">#REF!</definedName>
    <definedName name="юююю" localSheetId="4">#REF!</definedName>
    <definedName name="юююю" localSheetId="7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13" i="15" l="1"/>
  <c r="E8" i="15"/>
  <c r="R23" i="14"/>
  <c r="Q23" i="14"/>
  <c r="P23" i="14"/>
  <c r="O23" i="14"/>
  <c r="N23" i="14"/>
  <c r="P22" i="14"/>
  <c r="O22" i="14"/>
  <c r="N22" i="14"/>
  <c r="H22" i="14"/>
  <c r="G22" i="14"/>
  <c r="F22" i="14"/>
  <c r="R21" i="14"/>
  <c r="P21" i="14"/>
  <c r="O21" i="14"/>
  <c r="N21" i="14"/>
  <c r="M21" i="14"/>
  <c r="L21" i="14"/>
  <c r="K21" i="14"/>
  <c r="J21" i="14"/>
  <c r="I21" i="14"/>
  <c r="H21" i="14"/>
  <c r="G21" i="14"/>
  <c r="F21" i="14"/>
  <c r="P20" i="14"/>
  <c r="O20" i="14"/>
  <c r="N20" i="14"/>
  <c r="R19" i="14"/>
  <c r="P19" i="14"/>
  <c r="O19" i="14"/>
  <c r="N19" i="14"/>
  <c r="P18" i="14"/>
  <c r="O18" i="14"/>
  <c r="N18" i="14"/>
  <c r="F18" i="14"/>
  <c r="R17" i="14"/>
  <c r="P17" i="14"/>
  <c r="O17" i="14"/>
  <c r="N17" i="14"/>
  <c r="M17" i="14"/>
  <c r="L17" i="14"/>
  <c r="K17" i="14"/>
  <c r="I17" i="14"/>
  <c r="H17" i="14"/>
  <c r="G17" i="14"/>
  <c r="F17" i="14"/>
  <c r="P16" i="14"/>
  <c r="O16" i="14"/>
  <c r="N16" i="14"/>
  <c r="R15" i="14"/>
  <c r="P15" i="14"/>
  <c r="O15" i="14"/>
  <c r="N15" i="14"/>
  <c r="P14" i="14"/>
  <c r="O14" i="14"/>
  <c r="N14" i="14"/>
  <c r="F14" i="14"/>
  <c r="R13" i="14"/>
  <c r="P13" i="14"/>
  <c r="O13" i="14"/>
  <c r="N13" i="14"/>
  <c r="M13" i="14"/>
  <c r="L13" i="14"/>
  <c r="K13" i="14"/>
  <c r="I13" i="14"/>
  <c r="H13" i="14"/>
  <c r="G13" i="14"/>
  <c r="F13" i="14"/>
  <c r="P12" i="14"/>
  <c r="O12" i="14"/>
  <c r="N12" i="14"/>
  <c r="F12" i="14"/>
  <c r="R11" i="14"/>
  <c r="P11" i="14"/>
  <c r="O11" i="14"/>
  <c r="N11" i="14"/>
  <c r="M11" i="14"/>
  <c r="L11" i="14"/>
  <c r="K11" i="14"/>
  <c r="I11" i="14"/>
  <c r="H11" i="14"/>
  <c r="G11" i="14"/>
  <c r="F11" i="14"/>
  <c r="P10" i="14"/>
  <c r="O10" i="14"/>
  <c r="N10" i="14"/>
  <c r="M10" i="14"/>
  <c r="K10" i="14"/>
  <c r="I10" i="14"/>
  <c r="H10" i="14"/>
  <c r="G10" i="14"/>
  <c r="F10" i="14"/>
  <c r="R9" i="14"/>
  <c r="P9" i="14"/>
  <c r="O9" i="14"/>
  <c r="N9" i="14"/>
  <c r="M9" i="14"/>
  <c r="K9" i="14"/>
  <c r="I9" i="14"/>
  <c r="H9" i="14"/>
  <c r="G9" i="14"/>
  <c r="F9" i="14"/>
  <c r="O16" i="13"/>
  <c r="O15" i="13"/>
  <c r="N15" i="13"/>
  <c r="M15" i="13"/>
  <c r="L15" i="13"/>
  <c r="K15" i="13"/>
  <c r="J15" i="13"/>
  <c r="D15" i="13"/>
  <c r="O14" i="13"/>
  <c r="N14" i="13"/>
  <c r="M14" i="13"/>
  <c r="L14" i="13"/>
  <c r="K14" i="13"/>
  <c r="J14" i="13"/>
  <c r="H14" i="13"/>
  <c r="D14" i="13"/>
  <c r="O13" i="13"/>
  <c r="N13" i="13"/>
  <c r="M13" i="13"/>
  <c r="L13" i="13"/>
  <c r="K13" i="13"/>
  <c r="J13" i="13"/>
  <c r="D13" i="13"/>
  <c r="O12" i="13"/>
  <c r="J12" i="13"/>
  <c r="D12" i="13"/>
  <c r="O11" i="13"/>
  <c r="N11" i="13"/>
  <c r="M11" i="13"/>
  <c r="L11" i="13"/>
  <c r="K11" i="13"/>
  <c r="J11" i="13"/>
  <c r="D11" i="13"/>
  <c r="O10" i="13"/>
  <c r="N10" i="13"/>
  <c r="M10" i="13"/>
  <c r="L10" i="13"/>
  <c r="K10" i="13"/>
  <c r="J10" i="13"/>
  <c r="I10" i="13"/>
  <c r="H10" i="13"/>
  <c r="F10" i="13"/>
  <c r="E10" i="13"/>
  <c r="D10" i="13"/>
  <c r="O9" i="13"/>
  <c r="N9" i="13"/>
  <c r="M9" i="13"/>
  <c r="L9" i="13"/>
  <c r="K9" i="13"/>
  <c r="J9" i="13"/>
  <c r="H9" i="13"/>
  <c r="F9" i="13"/>
  <c r="E9" i="13"/>
  <c r="D9" i="13"/>
  <c r="I21" i="12"/>
  <c r="I20" i="12"/>
  <c r="H20" i="12"/>
  <c r="G20" i="12"/>
  <c r="E20" i="12"/>
  <c r="I19" i="12"/>
  <c r="H19" i="12"/>
  <c r="G19" i="12"/>
  <c r="E19" i="12"/>
  <c r="I17" i="12"/>
  <c r="H17" i="12"/>
  <c r="I16" i="12"/>
  <c r="H16" i="12"/>
  <c r="J14" i="12"/>
  <c r="I14" i="12"/>
  <c r="H14" i="12"/>
  <c r="D14" i="12"/>
  <c r="I12" i="12"/>
  <c r="H12" i="12"/>
  <c r="I11" i="12"/>
  <c r="E11" i="12"/>
  <c r="I9" i="12"/>
  <c r="F9" i="12"/>
  <c r="E9" i="12"/>
  <c r="I8" i="12"/>
  <c r="G8" i="12"/>
  <c r="F8" i="12"/>
  <c r="E8" i="12"/>
  <c r="A3" i="12"/>
  <c r="C11" i="10"/>
  <c r="D5" i="10"/>
  <c r="E14" i="9"/>
  <c r="D14" i="9"/>
  <c r="C14" i="9"/>
  <c r="B14" i="9"/>
  <c r="E13" i="9"/>
  <c r="D13" i="9"/>
  <c r="C13" i="9"/>
  <c r="B13" i="9"/>
  <c r="E12" i="9"/>
  <c r="D12" i="9"/>
  <c r="C12" i="9"/>
  <c r="B12" i="9"/>
  <c r="J64" i="8"/>
  <c r="I64" i="8"/>
  <c r="G64" i="8"/>
  <c r="I63" i="8"/>
  <c r="J63" i="8" s="1"/>
  <c r="G63" i="8"/>
  <c r="I62" i="8"/>
  <c r="J62" i="8" s="1"/>
  <c r="G62" i="8"/>
  <c r="G61" i="8"/>
  <c r="J60" i="8"/>
  <c r="I60" i="8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J55" i="8"/>
  <c r="I55" i="8"/>
  <c r="G55" i="8"/>
  <c r="I54" i="8"/>
  <c r="J54" i="8" s="1"/>
  <c r="G54" i="8"/>
  <c r="J53" i="8"/>
  <c r="I53" i="8"/>
  <c r="G53" i="8"/>
  <c r="I52" i="8"/>
  <c r="J52" i="8" s="1"/>
  <c r="G52" i="8"/>
  <c r="J51" i="8"/>
  <c r="I51" i="8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G65" i="8" s="1"/>
  <c r="J46" i="8"/>
  <c r="I46" i="8"/>
  <c r="G46" i="8"/>
  <c r="I45" i="8"/>
  <c r="J45" i="8" s="1"/>
  <c r="G45" i="8"/>
  <c r="I44" i="8"/>
  <c r="J44" i="8" s="1"/>
  <c r="G44" i="8"/>
  <c r="G43" i="8"/>
  <c r="G66" i="8" s="1"/>
  <c r="J42" i="8"/>
  <c r="I42" i="8"/>
  <c r="G42" i="8"/>
  <c r="I41" i="8"/>
  <c r="J41" i="8" s="1"/>
  <c r="G41" i="8"/>
  <c r="I40" i="8"/>
  <c r="J40" i="8" s="1"/>
  <c r="J43" i="8" s="1"/>
  <c r="G40" i="8"/>
  <c r="J39" i="8"/>
  <c r="I39" i="8"/>
  <c r="G39" i="8"/>
  <c r="I38" i="8"/>
  <c r="J38" i="8" s="1"/>
  <c r="G38" i="8"/>
  <c r="J32" i="8"/>
  <c r="G32" i="8"/>
  <c r="G14" i="9" s="1"/>
  <c r="F32" i="8"/>
  <c r="F14" i="9" s="1"/>
  <c r="J31" i="8"/>
  <c r="J33" i="8" s="1"/>
  <c r="J34" i="8" s="1"/>
  <c r="F31" i="8"/>
  <c r="G31" i="8" s="1"/>
  <c r="G30" i="8"/>
  <c r="J29" i="8"/>
  <c r="J30" i="8" s="1"/>
  <c r="G29" i="8"/>
  <c r="G12" i="9" s="1"/>
  <c r="F29" i="8"/>
  <c r="F12" i="9" s="1"/>
  <c r="G25" i="8"/>
  <c r="J24" i="8"/>
  <c r="I24" i="8"/>
  <c r="G24" i="8"/>
  <c r="I23" i="8"/>
  <c r="J23" i="8" s="1"/>
  <c r="J25" i="8" s="1"/>
  <c r="C13" i="7" s="1"/>
  <c r="G23" i="8"/>
  <c r="I21" i="8"/>
  <c r="J21" i="8" s="1"/>
  <c r="G21" i="8"/>
  <c r="J20" i="8"/>
  <c r="I20" i="8"/>
  <c r="G20" i="8"/>
  <c r="I19" i="8"/>
  <c r="J19" i="8" s="1"/>
  <c r="G19" i="8"/>
  <c r="G22" i="8" s="1"/>
  <c r="J16" i="8"/>
  <c r="I16" i="8"/>
  <c r="F16" i="8"/>
  <c r="G14" i="8"/>
  <c r="D69" i="8" s="1"/>
  <c r="C21" i="7" s="1"/>
  <c r="E14" i="8"/>
  <c r="J13" i="8"/>
  <c r="J14" i="8" s="1"/>
  <c r="I13" i="8"/>
  <c r="E13" i="8"/>
  <c r="C15" i="7"/>
  <c r="H26" i="6"/>
  <c r="H25" i="6"/>
  <c r="A25" i="6"/>
  <c r="H24" i="6"/>
  <c r="A24" i="6"/>
  <c r="H23" i="6"/>
  <c r="A23" i="6"/>
  <c r="H22" i="6"/>
  <c r="A22" i="6"/>
  <c r="H21" i="6"/>
  <c r="A21" i="6"/>
  <c r="H20" i="6"/>
  <c r="H18" i="6"/>
  <c r="H17" i="6"/>
  <c r="H16" i="6"/>
  <c r="H15" i="6"/>
  <c r="H14" i="6"/>
  <c r="H13" i="6"/>
  <c r="H12" i="6"/>
  <c r="F12" i="6"/>
  <c r="J14" i="5"/>
  <c r="I14" i="5"/>
  <c r="H14" i="5"/>
  <c r="F14" i="5"/>
  <c r="J13" i="5"/>
  <c r="I13" i="5"/>
  <c r="H13" i="5"/>
  <c r="F13" i="5"/>
  <c r="J12" i="5"/>
  <c r="I12" i="5"/>
  <c r="H12" i="5"/>
  <c r="F12" i="5"/>
  <c r="B7" i="5"/>
  <c r="B6" i="5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26" i="8" l="1"/>
  <c r="J65" i="8"/>
  <c r="C17" i="7" s="1"/>
  <c r="C18" i="7" s="1"/>
  <c r="H65" i="8"/>
  <c r="J22" i="8"/>
  <c r="H53" i="8"/>
  <c r="H64" i="8"/>
  <c r="H66" i="8"/>
  <c r="H63" i="8"/>
  <c r="H48" i="8"/>
  <c r="H41" i="8"/>
  <c r="H39" i="8"/>
  <c r="H50" i="8"/>
  <c r="H42" i="8"/>
  <c r="H45" i="8"/>
  <c r="H38" i="8"/>
  <c r="H59" i="8"/>
  <c r="G13" i="9"/>
  <c r="G15" i="9" s="1"/>
  <c r="G33" i="8"/>
  <c r="G34" i="8" s="1"/>
  <c r="H44" i="8"/>
  <c r="C11" i="7"/>
  <c r="H21" i="8"/>
  <c r="H56" i="8"/>
  <c r="H47" i="8"/>
  <c r="H13" i="8"/>
  <c r="H14" i="8" s="1"/>
  <c r="D68" i="8"/>
  <c r="C23" i="7" s="1"/>
  <c r="F13" i="9"/>
  <c r="H43" i="8"/>
  <c r="C25" i="7"/>
  <c r="J35" i="8"/>
  <c r="C26" i="7" s="1"/>
  <c r="J26" i="8"/>
  <c r="C12" i="7"/>
  <c r="C14" i="7" s="1"/>
  <c r="C16" i="7"/>
  <c r="J66" i="8"/>
  <c r="J69" i="8"/>
  <c r="H20" i="8"/>
  <c r="H46" i="8"/>
  <c r="H49" i="8"/>
  <c r="H52" i="8"/>
  <c r="H55" i="8"/>
  <c r="H58" i="8"/>
  <c r="G67" i="8"/>
  <c r="G70" i="8"/>
  <c r="C20" i="7"/>
  <c r="H40" i="8"/>
  <c r="H62" i="8"/>
  <c r="H19" i="8"/>
  <c r="H51" i="8"/>
  <c r="H54" i="8"/>
  <c r="H57" i="8"/>
  <c r="H60" i="8"/>
  <c r="G16" i="9" l="1"/>
  <c r="G35" i="8"/>
  <c r="H30" i="8"/>
  <c r="H34" i="8"/>
  <c r="H33" i="8"/>
  <c r="H31" i="8"/>
  <c r="H29" i="8"/>
  <c r="H32" i="8"/>
  <c r="G71" i="8"/>
  <c r="G72" i="8" s="1"/>
  <c r="C22" i="7"/>
  <c r="H22" i="8"/>
  <c r="H23" i="8"/>
  <c r="J67" i="8"/>
  <c r="J68" i="8"/>
  <c r="J70" i="8" s="1"/>
  <c r="J71" i="8" s="1"/>
  <c r="J72" i="8" s="1"/>
  <c r="H25" i="8"/>
  <c r="H24" i="8"/>
  <c r="C19" i="7"/>
  <c r="C24" i="7" s="1"/>
  <c r="D20" i="7" s="1"/>
  <c r="D14" i="7"/>
  <c r="D12" i="7"/>
  <c r="D18" i="7" l="1"/>
  <c r="D16" i="7"/>
  <c r="C29" i="7"/>
  <c r="C27" i="7"/>
  <c r="D24" i="7"/>
  <c r="C30" i="7"/>
  <c r="D22" i="7"/>
  <c r="D13" i="7"/>
  <c r="D15" i="7"/>
  <c r="D17" i="7"/>
  <c r="D11" i="7"/>
  <c r="C33" i="7" l="1"/>
  <c r="C35" i="7"/>
  <c r="C36" i="7" s="1"/>
  <c r="C37" i="7"/>
  <c r="C38" i="7" l="1"/>
  <c r="C39" i="7" l="1"/>
  <c r="E39" i="7" l="1"/>
  <c r="C40" i="7"/>
  <c r="E32" i="7" l="1"/>
  <c r="E31" i="7"/>
  <c r="C41" i="7"/>
  <c r="D11" i="10" s="1"/>
  <c r="E40" i="7"/>
  <c r="E34" i="7"/>
  <c r="E22" i="7"/>
  <c r="E15" i="7"/>
  <c r="E17" i="7"/>
  <c r="E11" i="7"/>
  <c r="E13" i="7"/>
  <c r="E20" i="7"/>
  <c r="E12" i="7"/>
  <c r="E16" i="7"/>
  <c r="E26" i="7"/>
  <c r="E25" i="7"/>
  <c r="E14" i="7"/>
  <c r="E18" i="7"/>
  <c r="E24" i="7"/>
  <c r="E30" i="7"/>
  <c r="E29" i="7"/>
  <c r="E27" i="7"/>
  <c r="E36" i="7"/>
  <c r="E35" i="7"/>
  <c r="E37" i="7"/>
  <c r="E33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B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B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<sst xmlns="http://schemas.openxmlformats.org/spreadsheetml/2006/main" count="713" uniqueCount="450">
  <si>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</si>
  <si>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</si>
  <si>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</si>
  <si>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</si>
  <si>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</si>
  <si>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</si>
  <si>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</si>
  <si>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</si>
  <si>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</si>
  <si>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</si>
  <si>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</si>
  <si>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</si>
  <si>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</si>
  <si>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</si>
  <si>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</si>
  <si>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</si>
  <si>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</si>
  <si>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</si>
  <si>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</si>
  <si>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</si>
  <si>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</si>
  <si>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</si>
  <si>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</si>
  <si>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</si>
  <si>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</si>
  <si>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</si>
  <si>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</si>
  <si>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</si>
  <si>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</si>
  <si>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</si>
  <si>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</si>
  <si>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</si>
  <si>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</si>
  <si>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</si>
  <si>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</si>
  <si>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</si>
  <si>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</si>
  <si>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</si>
  <si>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</si>
  <si>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</si>
  <si>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</si>
  <si>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</si>
  <si>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</si>
  <si>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</si>
  <si>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</si>
  <si>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</si>
  <si>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</si>
  <si>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</si>
  <si>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Автоматический пункт секционирования (реклоузера) 6-15 кВ с ПКУ и интеграцией в АСУТП</t>
  </si>
  <si>
    <t>Сопоставимый уровень цен: 3 квартал 2014 года</t>
  </si>
  <si>
    <t>Единица измерения  — 1 ед.</t>
  </si>
  <si>
    <t>Параметр</t>
  </si>
  <si>
    <t xml:space="preserve">Объект-представитель </t>
  </si>
  <si>
    <t>Наименование объекта-представителя</t>
  </si>
  <si>
    <t xml:space="preserve">Автоматическое секционирование ВЛ 10 кВ (Л-6 от ПС Шумейка) Красноярского участка РС Энгельсского РЭС Приволжского ПО </t>
  </si>
  <si>
    <t>Наименование субъекта Российской Федерации</t>
  </si>
  <si>
    <t>Саратовская область</t>
  </si>
  <si>
    <t>Климатический район и подрайон</t>
  </si>
  <si>
    <t>IIIА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</si>
  <si>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</si>
  <si>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</si>
  <si>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Разъединитель 10 кВ, ОПН 10 кВ, Реклоузер напряжением 10кВ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</si>
  <si>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</si>
  <si>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</si>
  <si>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</si>
  <si>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</si>
  <si>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</si>
  <si>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</si>
  <si>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</si>
  <si>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</si>
  <si>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</si>
  <si>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</si>
  <si>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2014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</si>
  <si>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</si>
  <si>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</si>
  <si>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</si>
  <si>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Д.А. Самуйленко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</si>
  <si>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</si>
  <si>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</si>
  <si>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</si>
  <si>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</si>
  <si>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</si>
  <si>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</si>
  <si>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</si>
  <si>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</si>
  <si>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</si>
  <si>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2014 г., тыс. руб.</t>
  </si>
  <si>
    <t>Строительные работы</t>
  </si>
  <si>
    <t>Монтажные работы</t>
  </si>
  <si>
    <t>Прочее</t>
  </si>
  <si>
    <t>Всего</t>
  </si>
  <si>
    <t>2-1</t>
  </si>
  <si>
    <t>Монтаж реклоузеров</t>
  </si>
  <si>
    <t>Всего по объекту:</t>
  </si>
  <si>
    <t>Всего по объекту в сопоставимом уровне цен 3 кв. 2014 г:</t>
  </si>
  <si>
    <t>Составил ______________________     Д.А. Самуйленко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</si>
  <si>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</si>
  <si>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</si>
  <si>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</si>
  <si>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</si>
  <si>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</si>
  <si>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</si>
  <si>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</si>
  <si>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</si>
  <si>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</si>
  <si>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</si>
  <si>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</si>
  <si>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</si>
  <si>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</si>
  <si>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</si>
  <si>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(средний разряд работы 4,0)</t>
  </si>
  <si>
    <t>чел.-ч</t>
  </si>
  <si>
    <t>1-4-3</t>
  </si>
  <si>
    <t>Затраты труда рабочих (средний разряд работы 4,3)</t>
  </si>
  <si>
    <t>1-3-3</t>
  </si>
  <si>
    <t>Затраты труда рабочих (средний разряд работы 3,3)</t>
  </si>
  <si>
    <t>1-2-9</t>
  </si>
  <si>
    <t>Затраты труда рабочих (средний разряд работы 2,9)</t>
  </si>
  <si>
    <t>1-3-7</t>
  </si>
  <si>
    <t>Затраты труда рабочих (средний разряд работы 3,7)</t>
  </si>
  <si>
    <t>Затраты труда машинистов</t>
  </si>
  <si>
    <t>Машины и механизмы</t>
  </si>
  <si>
    <t>91.06.06-011</t>
  </si>
  <si>
    <t>Автогидроподъемники, высота подъема 12 м</t>
  </si>
  <si>
    <t>маш.-ч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</si>
  <si>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</si>
  <si>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</si>
  <si>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</si>
  <si>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 до 5 т</t>
  </si>
  <si>
    <t>91.17.04-036</t>
  </si>
  <si>
    <t>Агрегаты сварочные передвижные с дизельным двигателем, номинальный сварочный ток 250-400 А</t>
  </si>
  <si>
    <t>91.15.03-014</t>
  </si>
  <si>
    <t>Тракторы на пневмоколесном ходу, мощность 59 кВт (80 л.с.)</t>
  </si>
  <si>
    <t>Прайс из СД ОП</t>
  </si>
  <si>
    <t>Реклоузер 10 кВ, ток придельный 12,5 кА, ток номинальный 630 А, с ПКУ и интеграцией в АСУТП</t>
  </si>
  <si>
    <t>компл</t>
  </si>
  <si>
    <t>Разъединитель  10 кВ на ток 630А с приводом ПРН-1 с монтажным комплектом для установки  Цена=10403/3,96</t>
  </si>
  <si>
    <t>Ограничитель перенапряжения ОПН-РВ-10/12,6  Цена=1300,88/3,96</t>
  </si>
  <si>
    <t>шт</t>
  </si>
  <si>
    <t>Материалы</t>
  </si>
  <si>
    <t>20.5.04.08-0007</t>
  </si>
  <si>
    <t>Зажим соединительный: шлейфовый спиральный ШС-24,0-01</t>
  </si>
  <si>
    <t>20.1.01.01-0025</t>
  </si>
  <si>
    <t>Зажим анкерный марки SO 3.35</t>
  </si>
  <si>
    <t>100 шт</t>
  </si>
  <si>
    <t>20.1.01.15-0003</t>
  </si>
  <si>
    <t>Зажим прокалывающий для изолированных алюминиевых и медных проводов марки SL 21.1</t>
  </si>
  <si>
    <t>22.2.01.05-0001</t>
  </si>
  <si>
    <t>Изолятор опорно-стержневой ИОС-10-500 УХЛ1</t>
  </si>
  <si>
    <t>22.2.01.04-0002</t>
  </si>
  <si>
    <t>Изолятор линейный штыревой фарфоровый ШФ 20-Г</t>
  </si>
  <si>
    <t>21.2.01.02-0086</t>
  </si>
  <si>
    <t>Провод неизолированный для воздушных линий электропередачи АС 70/11</t>
  </si>
  <si>
    <t>т</t>
  </si>
  <si>
    <t>21.2.01.01-0049</t>
  </si>
  <si>
    <t>Провод самонесущий изолированный СИП-3 1х70-20</t>
  </si>
  <si>
    <t>1000 м</t>
  </si>
  <si>
    <t>08.3.04.02-0068</t>
  </si>
  <si>
    <t>Сталь круглая и квадратная, марка: Ст3пс размером 12х12 мм</t>
  </si>
  <si>
    <t>20.5.04.05-0009</t>
  </si>
  <si>
    <t>Зажим ответвительный ОА 70-2</t>
  </si>
  <si>
    <t>01.7.06.10-0021</t>
  </si>
  <si>
    <t>Лента термоуплотнительная самоклеящаяся</t>
  </si>
  <si>
    <t>10 м</t>
  </si>
  <si>
    <t>08.3.04.02-0067</t>
  </si>
  <si>
    <t>Сталь круглая и квадратная, марка Ст3пс, размер 10x10 мм</t>
  </si>
  <si>
    <t>20.1.01.02-0047</t>
  </si>
  <si>
    <t>Зажим аппаратный прессуемый: А2А-70-2</t>
  </si>
  <si>
    <t>25.1.06.03-0061</t>
  </si>
  <si>
    <t>Плакаты предупредительные, путевые сигнальные знаки размер 420x220 мм</t>
  </si>
  <si>
    <t>08.3.07.01-0052</t>
  </si>
  <si>
    <t>Прокат полосовой, горячекатаный, марка стали Ст3сп, размер 50х5 мм</t>
  </si>
  <si>
    <t>20.1.01.11-0022</t>
  </si>
  <si>
    <t>Зажим соединительный: плашечный ПС-2-1</t>
  </si>
  <si>
    <t>24.1.02.01-0018</t>
  </si>
  <si>
    <t>Хомуты двухболтовые с быстродействующим замком для крепления труб размером 54-58 мм</t>
  </si>
  <si>
    <t>01.7.15.03-0045</t>
  </si>
  <si>
    <t>Болты строительные с гайками оцинкованные размером 10x100 мм</t>
  </si>
  <si>
    <t>20.1.01.11-0021</t>
  </si>
  <si>
    <t>Зажим соединительный: плашечный ПС-1-1</t>
  </si>
  <si>
    <t>01.7.11.07-0032</t>
  </si>
  <si>
    <t>Электроды диаметром: 4 мм Э42</t>
  </si>
  <si>
    <t>20.1.02.15-0011</t>
  </si>
  <si>
    <t>Соединитель алюминиевых и сталеалюминиевых проводов (СОАС) 062-3</t>
  </si>
  <si>
    <t>01.3.01.06-0038</t>
  </si>
  <si>
    <t>Смазка ЗЭС</t>
  </si>
  <si>
    <t>кг</t>
  </si>
  <si>
    <t>14.4.03.03-0102</t>
  </si>
  <si>
    <t>Лак БТ-577</t>
  </si>
  <si>
    <t>14.5.09.11-0101</t>
  </si>
  <si>
    <t>Уайт-спирит</t>
  </si>
  <si>
    <t>01.3.01.06-0046</t>
  </si>
  <si>
    <t>Смазка солидол жировой марки «Ж»</t>
  </si>
  <si>
    <t>01.7.20.08-0051</t>
  </si>
  <si>
    <t>Ветошь</t>
  </si>
  <si>
    <t>08.3.03.06-0001</t>
  </si>
  <si>
    <t>Проволока вязальная</t>
  </si>
  <si>
    <t>Приложение № 4</t>
  </si>
  <si>
    <t>Ресурсная модель</t>
  </si>
  <si>
    <t>Наименование разрабатываемого показателя УНЦ — Автоматический пункт секционирования (реклоузера) 6-15 кВ с ПКУ и интеграцией в АСУТП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</si>
  <si>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</si>
  <si>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</si>
  <si>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</si>
  <si>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</si>
  <si>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</si>
  <si>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</si>
  <si>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</si>
  <si>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</si>
  <si>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</si>
  <si>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</si>
  <si>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</si>
  <si>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</si>
  <si>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</si>
  <si>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</si>
  <si>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</si>
  <si>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</si>
  <si>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</si>
  <si>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</si>
  <si>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</si>
  <si>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</si>
  <si>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</si>
  <si>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</si>
  <si>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</si>
  <si>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- 1,9%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</si>
  <si>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</si>
  <si>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</si>
  <si>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</si>
  <si>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</si>
  <si>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</si>
  <si>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</si>
  <si>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</si>
  <si>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</si>
  <si>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</si>
  <si>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</si>
  <si>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</si>
  <si>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Д.А. Самуйленко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</si>
  <si>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</si>
  <si>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</si>
  <si>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</si>
  <si>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</si>
  <si>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</si>
  <si>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</si>
  <si>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Автоматический пункт секционирования (реклоузера) 6-15 кВ с ПКУ и интеграцией в АСУТП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</si>
  <si>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</si>
  <si>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</si>
  <si>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</si>
  <si>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</si>
  <si>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</si>
  <si>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1-3-8</t>
  </si>
  <si>
    <t>Затраты труда рабочих (средний разряд работы 3,8)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</si>
  <si>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</si>
  <si>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</si>
  <si>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</si>
  <si>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</si>
  <si>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</si>
  <si>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</si>
  <si>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</si>
  <si>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БЦ.115.23</t>
  </si>
  <si>
    <t>Реклоузер 10 кВ с ПКУ и интеграцией в АСУТП</t>
  </si>
  <si>
    <t>Итого основное оборудование</t>
  </si>
  <si>
    <t>БЦ.63.66</t>
  </si>
  <si>
    <t>Разъединитель с одним комплектом заземляющих ножей 10 кВ</t>
  </si>
  <si>
    <t>БЦ.60.26</t>
  </si>
  <si>
    <t>Ограничитель перенапряжения 10 кВ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</si>
  <si>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</si>
  <si>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</si>
  <si>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</si>
  <si>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</si>
  <si>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</si>
  <si>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</si>
  <si>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</si>
  <si>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</si>
  <si>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</si>
  <si>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</si>
  <si>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</si>
  <si>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</si>
  <si>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</si>
  <si>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r>
      <t xml:space="preserve">Составил </t>
    </r>
    <r>
      <rPr>
        <u/>
        <sz val="10"/>
        <color rgb="FF000000"/>
        <rFont val="Arial"/>
      </rPr>
      <t>______________________     Д.А. Самуйленко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</si>
  <si>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</si>
  <si>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</si>
  <si>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</si>
  <si>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</si>
  <si>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</si>
  <si>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</si>
  <si>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</si>
  <si>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</si>
  <si>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</rPr>
      <t>______________________    Д.А. Самуйленко</t>
    </r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</si>
  <si>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</si>
  <si>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</si>
  <si>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</si>
  <si>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ячейка</t>
  </si>
  <si>
    <t>Наименование РМ, входящих в состав показателя</t>
  </si>
  <si>
    <t>Норматив цены на 01.01.2023, тыс.руб.</t>
  </si>
  <si>
    <t>В7-01</t>
  </si>
  <si>
    <t>УНЦ автоматического пункта секционирования (реклоузера) 6 - 35 кВ с ПКУ и интеграцией в АСУТП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</si>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</sst>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(* #,##0.00_);_(* \(#,##0.00\);_(* &quot;-&quot;??_);_(@_)"/>
    <numFmt numFmtId="166" formatCode="#,##0.0000"/>
    <numFmt numFmtId="167" formatCode="0.0000"/>
    <numFmt numFmtId="168" formatCode="#,##0.000"/>
    <numFmt numFmtId="169" formatCode="#,##0.0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sz val="10"/>
      <color rgb="FFFF0000"/>
      <name val="Arial"/>
    </font>
    <font>
      <b/>
      <sz val="12"/>
      <color rgb="FF000000"/>
      <name val="Calibri"/>
    </font>
    <font>
      <u/>
      <sz val="12"/>
      <color rgb="FF0000FF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0" xfId="0" applyFont="1"/>
    <xf numFmtId="10" fontId="18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9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9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0" fillId="0" borderId="0" xfId="0" applyFont="1"/>
    <xf numFmtId="4" fontId="20" fillId="0" borderId="1" xfId="0" applyNumberFormat="1" applyFont="1" applyBorder="1" applyAlignment="1">
      <alignment vertical="top"/>
    </xf>
    <xf numFmtId="0" fontId="20" fillId="0" borderId="1" xfId="0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4" fontId="19" fillId="0" borderId="0" xfId="0" applyNumberFormat="1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4" fontId="1" fillId="0" borderId="4" xfId="0" applyNumberFormat="1" applyFont="1" applyBorder="1" applyAlignment="1">
      <alignment horizontal="right" vertical="center" wrapText="1"/>
    </xf>
    <xf numFmtId="10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7" fontId="1" fillId="0" borderId="6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lef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righ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/>
    <xf numFmtId="49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6" fillId="0" borderId="4" xfId="0" applyFont="1" applyBorder="1" applyAlignment="1">
      <alignment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quotePrefix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65" fontId="1" fillId="0" borderId="4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right"/>
    </xf>
    <xf numFmtId="2" fontId="22" fillId="0" borderId="0" xfId="0" applyNumberFormat="1" applyFont="1"/>
    <xf numFmtId="10" fontId="22" fillId="0" borderId="0" xfId="0" applyNumberFormat="1" applyFont="1"/>
    <xf numFmtId="10" fontId="2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0" fontId="22" fillId="0" borderId="0" xfId="0" applyNumberFormat="1" applyFont="1" applyAlignment="1">
      <alignment horizontal="right" vertical="center"/>
    </xf>
    <xf numFmtId="10" fontId="16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/>
    <xf numFmtId="0" fontId="0" fillId="0" borderId="0" xfId="0"/>
    <xf numFmtId="0" fontId="20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0" xfId="0" applyFont="1"/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/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" fontId="23" fillId="0" borderId="4" xfId="0" applyNumberFormat="1" applyFont="1" applyBorder="1" applyAlignment="1">
      <alignment vertical="center" wrapText="1"/>
    </xf>
    <xf numFmtId="4" fontId="23" fillId="0" borderId="1" xfId="0" applyNumberFormat="1" applyFont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2" fontId="4" fillId="0" borderId="0" xfId="0" applyNumberFormat="1" applyFont="1"/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9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9" fontId="16" fillId="0" borderId="5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 wrapText="1"/>
    </xf>
    <xf numFmtId="4" fontId="2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20" fillId="0" borderId="2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0" fillId="0" borderId="10" xfId="0" applyFont="1" applyBorder="1" applyAlignment="1">
      <alignment vertical="top"/>
    </xf>
    <xf numFmtId="0" fontId="16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412750</xdr:colOff>
      <xdr:row>28</xdr:row>
      <xdr:rowOff>139700</xdr:rowOff>
    </xdr:from>
    <xdr:to>
      <xdr:col>2</xdr:col>
      <xdr:colOff>1357712</xdr:colOff>
      <xdr:row>31</xdr:row>
      <xdr:rowOff>51226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1D8F339-D404-458C-A925-1EE22A959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" y="9902825"/>
          <a:ext cx="944962" cy="530651"/>
        </a:xfrm>
        <a:prstGeom prst="rect">
          <a:avLst/>
        </a:prstGeom>
      </xdr:spPr>
    </xdr:pic>
    <xdr:clientData/>
  </xdr:twoCellAnchor>
  <xdr:twoCellAnchor editAs="oneCell">
    <xdr:from>
      <xdr:col>2</xdr:col>
      <xdr:colOff>622300</xdr:colOff>
      <xdr:row>26</xdr:row>
      <xdr:rowOff>193675</xdr:rowOff>
    </xdr:from>
    <xdr:to>
      <xdr:col>2</xdr:col>
      <xdr:colOff>1195374</xdr:colOff>
      <xdr:row>28</xdr:row>
      <xdr:rowOff>120956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AF0D756-7027-4EFF-9C22-A06921C3A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9274175"/>
          <a:ext cx="573074" cy="609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73025</xdr:rowOff>
    </xdr:from>
    <xdr:to>
      <xdr:col>2</xdr:col>
      <xdr:colOff>1754587</xdr:colOff>
      <xdr:row>21</xdr:row>
      <xdr:rowOff>25826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FD35464-CF9E-4CAB-BDA8-06E2B75C1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0700" y="4064000"/>
          <a:ext cx="944962" cy="524301"/>
        </a:xfrm>
        <a:prstGeom prst="rect">
          <a:avLst/>
        </a:prstGeom>
      </xdr:spPr>
    </xdr:pic>
    <xdr:clientData/>
  </xdr:twoCellAnchor>
  <xdr:twoCellAnchor editAs="oneCell">
    <xdr:from>
      <xdr:col>2</xdr:col>
      <xdr:colOff>1019175</xdr:colOff>
      <xdr:row>15</xdr:row>
      <xdr:rowOff>15875</xdr:rowOff>
    </xdr:from>
    <xdr:to>
      <xdr:col>2</xdr:col>
      <xdr:colOff>1592249</xdr:colOff>
      <xdr:row>18</xdr:row>
      <xdr:rowOff>47931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9642A42-4B7C-4BB3-9207-F2060B541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0" y="3435350"/>
          <a:ext cx="573074" cy="6035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59</xdr:row>
      <xdr:rowOff>137832</xdr:rowOff>
    </xdr:from>
    <xdr:to>
      <xdr:col>2</xdr:col>
      <xdr:colOff>1097362</xdr:colOff>
      <xdr:row>62</xdr:row>
      <xdr:rowOff>58696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05EF28D-C74D-488C-BB78-F99C450B1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14711082"/>
          <a:ext cx="944962" cy="520939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361950</xdr:colOff>
      <xdr:row>56</xdr:row>
      <xdr:rowOff>114300</xdr:rowOff>
    </xdr:from>
    <xdr:to>
      <xdr:col>2</xdr:col>
      <xdr:colOff>935024</xdr:colOff>
      <xdr:row>59</xdr:row>
      <xdr:rowOff>114419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4ED94FD-2880-480E-9067-2AD8FB192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0" y="14087475"/>
          <a:ext cx="573074" cy="6001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43</xdr:row>
      <xdr:rowOff>85725</xdr:rowOff>
    </xdr:from>
    <xdr:to>
      <xdr:col>1</xdr:col>
      <xdr:colOff>1840312</xdr:colOff>
      <xdr:row>46</xdr:row>
      <xdr:rowOff>38526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884B797-BF91-4D00-B99B-C00D131C9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11706225"/>
          <a:ext cx="944962" cy="524301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40</xdr:row>
      <xdr:rowOff>28575</xdr:rowOff>
    </xdr:from>
    <xdr:to>
      <xdr:col>1</xdr:col>
      <xdr:colOff>1677974</xdr:colOff>
      <xdr:row>43</xdr:row>
      <xdr:rowOff>60631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4214ADF-7B2A-44FA-B970-47F7E9E1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1125" y="11077575"/>
          <a:ext cx="573074" cy="6035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74</xdr:row>
      <xdr:rowOff>65432</xdr:rowOff>
    </xdr:from>
    <xdr:to>
      <xdr:col>1</xdr:col>
      <xdr:colOff>1328447</xdr:colOff>
      <xdr:row>77</xdr:row>
      <xdr:rowOff>43081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FA49BD9-A13B-4CF6-8299-F93ABCCE4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1462302"/>
          <a:ext cx="947447" cy="524301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71</xdr:row>
      <xdr:rowOff>248478</xdr:rowOff>
    </xdr:from>
    <xdr:to>
      <xdr:col>1</xdr:col>
      <xdr:colOff>1163624</xdr:colOff>
      <xdr:row>74</xdr:row>
      <xdr:rowOff>40338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3E1CCBB-A362-4A78-AFE8-40A6C1C7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10833652"/>
          <a:ext cx="573074" cy="6035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18</xdr:row>
      <xdr:rowOff>66675</xdr:rowOff>
    </xdr:from>
    <xdr:to>
      <xdr:col>2</xdr:col>
      <xdr:colOff>221062</xdr:colOff>
      <xdr:row>21</xdr:row>
      <xdr:rowOff>19476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A7FB163-7F15-474E-8F77-04DDED9C8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4514850"/>
          <a:ext cx="944962" cy="524301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15</xdr:row>
      <xdr:rowOff>66675</xdr:rowOff>
    </xdr:from>
    <xdr:to>
      <xdr:col>2</xdr:col>
      <xdr:colOff>58724</xdr:colOff>
      <xdr:row>18</xdr:row>
      <xdr:rowOff>41581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E96322E-43FA-4971-93AF-0B3D0A0BD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5" y="3886200"/>
          <a:ext cx="573074" cy="6035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13</xdr:row>
      <xdr:rowOff>85725</xdr:rowOff>
    </xdr:from>
    <xdr:to>
      <xdr:col>1</xdr:col>
      <xdr:colOff>887812</xdr:colOff>
      <xdr:row>16</xdr:row>
      <xdr:rowOff>38526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C4A7479-4860-46F1-AC9B-66E0298BE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648075"/>
          <a:ext cx="944962" cy="52430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638175</xdr:rowOff>
    </xdr:from>
    <xdr:to>
      <xdr:col>1</xdr:col>
      <xdr:colOff>725474</xdr:colOff>
      <xdr:row>13</xdr:row>
      <xdr:rowOff>60631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2196678-E7BF-47DB-B32F-0D5D4842C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3019425"/>
          <a:ext cx="573074" cy="6035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27</xdr:row>
      <xdr:rowOff>25400</xdr:rowOff>
    </xdr:from>
    <xdr:to>
      <xdr:col>1</xdr:col>
      <xdr:colOff>1833962</xdr:colOff>
      <xdr:row>29</xdr:row>
      <xdr:rowOff>168701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C337606-2D77-4411-B001-C4E6E3F64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2250" y="8978900"/>
          <a:ext cx="944962" cy="524301"/>
        </a:xfrm>
        <a:prstGeom prst="rect">
          <a:avLst/>
        </a:prstGeom>
      </xdr:spPr>
    </xdr:pic>
    <xdr:clientData/>
  </xdr:twoCellAnchor>
  <xdr:twoCellAnchor editAs="oneCell">
    <xdr:from>
      <xdr:col>1</xdr:col>
      <xdr:colOff>1098550</xdr:colOff>
      <xdr:row>23</xdr:row>
      <xdr:rowOff>206375</xdr:rowOff>
    </xdr:from>
    <xdr:to>
      <xdr:col>1</xdr:col>
      <xdr:colOff>1671624</xdr:colOff>
      <xdr:row>27</xdr:row>
      <xdr:rowOff>306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80D889D-9E42-4AB0-9F39-A636AED03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8350250"/>
          <a:ext cx="573074" cy="603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67" t="s">
        <v>0</v>
      </c>
      <c r="B2" s="367"/>
      <c r="C2" s="367"/>
    </row>
    <row r="3" spans="1:3" x14ac:dyDescent="0.25">
      <c r="A3" s="1"/>
      <c r="B3" s="1"/>
      <c r="C3" s="1"/>
    </row>
    <row r="4" spans="1:3" x14ac:dyDescent="0.25">
      <c r="A4" s="368" t="s">
        <v>1</v>
      </c>
      <c r="B4" s="368"/>
      <c r="C4" s="36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51" t="s">
        <v>2</v>
      </c>
      <c r="B6" s="369" t="s">
        <v>3</v>
      </c>
      <c r="C6" s="369"/>
    </row>
    <row r="7" spans="1:3" x14ac:dyDescent="0.25">
      <c r="A7" s="152" t="s">
        <v>4</v>
      </c>
      <c r="B7" s="1"/>
      <c r="C7" s="1"/>
    </row>
    <row r="8" spans="1:3" x14ac:dyDescent="0.25">
      <c r="A8" s="152"/>
      <c r="B8" s="1"/>
      <c r="C8" s="1"/>
    </row>
    <row r="9" spans="1:3" ht="39.6" customHeight="1" x14ac:dyDescent="0.25">
      <c r="A9" s="2" t="s">
        <v>5</v>
      </c>
      <c r="B9" s="2" t="s">
        <v>6</v>
      </c>
      <c r="C9" s="153" t="s">
        <v>7</v>
      </c>
    </row>
    <row r="10" spans="1:3" ht="86.45" customHeight="1" x14ac:dyDescent="0.25">
      <c r="A10" s="154" t="s">
        <v>8</v>
      </c>
      <c r="B10" s="155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5" sqref="C15"/>
    </sheetView>
  </sheetViews>
  <sheetFormatPr defaultRowHeight="15" x14ac:dyDescent="0.25"/>
  <cols>
    <col min="1" max="1" width="12.7109375" style="319" customWidth="1"/>
    <col min="2" max="2" width="34.85546875" style="319" customWidth="1"/>
    <col min="3" max="3" width="33.5703125" style="319" customWidth="1"/>
    <col min="4" max="4" width="47.28515625" style="319" customWidth="1"/>
    <col min="5" max="5" width="9.140625" style="319" customWidth="1"/>
  </cols>
  <sheetData>
    <row r="1" spans="1:4" ht="15.75" customHeight="1" x14ac:dyDescent="0.25">
      <c r="A1" s="318"/>
      <c r="B1" s="318"/>
      <c r="C1" s="318"/>
      <c r="D1" s="318" t="s">
        <v>287</v>
      </c>
    </row>
    <row r="2" spans="1:4" ht="15.75" customHeight="1" x14ac:dyDescent="0.25">
      <c r="A2" s="318"/>
      <c r="B2" s="318"/>
      <c r="C2" s="318"/>
      <c r="D2" s="318"/>
    </row>
    <row r="3" spans="1:4" ht="15.75" customHeight="1" x14ac:dyDescent="0.25">
      <c r="A3" s="318"/>
      <c r="B3" s="320" t="s">
        <v>288</v>
      </c>
      <c r="C3" s="318"/>
      <c r="D3" s="318"/>
    </row>
    <row r="4" spans="1:4" ht="15.75" customHeight="1" x14ac:dyDescent="0.25">
      <c r="A4" s="318"/>
      <c r="B4" s="318"/>
      <c r="C4" s="318"/>
      <c r="D4" s="318"/>
    </row>
    <row r="5" spans="1:4" ht="47.25" customHeight="1" x14ac:dyDescent="0.25">
      <c r="A5" s="422" t="s">
        <v>289</v>
      </c>
      <c r="B5" s="422"/>
      <c r="C5" s="422"/>
      <c r="D5" s="321" t="str">
        <f>'Прил.5 Расчет СМР и ОБ'!D6:J6</f>
        <v>Автоматический пункт секционирования (реклоузера) 6-15 кВ с ПКУ и интеграцией в АСУТП</v>
      </c>
    </row>
    <row r="6" spans="1:4" ht="15.75" customHeight="1" x14ac:dyDescent="0.25">
      <c r="A6" s="322" t="s">
        <v>290</v>
      </c>
      <c r="B6" s="322"/>
      <c r="C6" s="322"/>
      <c r="D6" s="322"/>
    </row>
    <row r="7" spans="1:4" ht="15.75" customHeight="1" x14ac:dyDescent="0.25">
      <c r="A7" s="322"/>
      <c r="B7" s="322"/>
      <c r="C7" s="322"/>
      <c r="D7" s="322"/>
    </row>
    <row r="8" spans="1:4" x14ac:dyDescent="0.25">
      <c r="A8" s="379" t="s">
        <v>5</v>
      </c>
      <c r="B8" s="379" t="s">
        <v>6</v>
      </c>
      <c r="C8" s="379" t="s">
        <v>291</v>
      </c>
      <c r="D8" s="379" t="s">
        <v>292</v>
      </c>
    </row>
    <row r="9" spans="1:4" x14ac:dyDescent="0.25">
      <c r="A9" s="379"/>
      <c r="B9" s="379"/>
      <c r="C9" s="379"/>
      <c r="D9" s="379"/>
    </row>
    <row r="10" spans="1:4" ht="15.75" customHeight="1" x14ac:dyDescent="0.25">
      <c r="A10" s="323">
        <v>1</v>
      </c>
      <c r="B10" s="323">
        <v>2</v>
      </c>
      <c r="C10" s="323">
        <v>3</v>
      </c>
      <c r="D10" s="323">
        <v>4</v>
      </c>
    </row>
    <row r="11" spans="1:4" ht="63" customHeight="1" x14ac:dyDescent="0.25">
      <c r="A11" s="323" t="s">
        <v>293</v>
      </c>
      <c r="B11" s="323" t="s">
        <v>294</v>
      </c>
      <c r="C11" s="331" t="str">
        <f>D5</f>
        <v>Автоматический пункт секционирования (реклоузера) 6-15 кВ с ПКУ и интеграцией в АСУТП</v>
      </c>
      <c r="D11" s="324">
        <f>'Прил.4 РМ'!C41/1000</f>
        <v>2823.4716266666669</v>
      </c>
    </row>
    <row r="13" spans="1:4" x14ac:dyDescent="0.25">
      <c r="A13" s="325" t="s">
        <v>95</v>
      </c>
      <c r="B13" s="326"/>
      <c r="C13" s="326"/>
      <c r="D13" s="327"/>
    </row>
    <row r="14" spans="1:4" x14ac:dyDescent="0.25">
      <c r="A14" s="328" t="s">
        <v>77</v>
      </c>
      <c r="B14" s="326"/>
      <c r="C14" s="326"/>
      <c r="D14" s="327"/>
    </row>
    <row r="15" spans="1:4" x14ac:dyDescent="0.25">
      <c r="A15" s="325"/>
      <c r="B15" s="326"/>
      <c r="C15" s="326"/>
      <c r="D15" s="327"/>
    </row>
    <row r="16" spans="1:4" x14ac:dyDescent="0.25">
      <c r="A16" s="325" t="s">
        <v>78</v>
      </c>
      <c r="B16" s="326"/>
      <c r="C16" s="326"/>
      <c r="D16" s="327"/>
    </row>
    <row r="17" spans="1:4" ht="20.25" customHeight="1" x14ac:dyDescent="0.25">
      <c r="A17" s="328" t="s">
        <v>79</v>
      </c>
      <c r="B17" s="326"/>
      <c r="C17" s="326"/>
      <c r="D17" s="327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D26" sqref="D26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8.140625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74" t="s">
        <v>295</v>
      </c>
      <c r="C4" s="374"/>
      <c r="D4" s="374"/>
    </row>
    <row r="5" spans="2:5" ht="18.75" customHeight="1" x14ac:dyDescent="0.25">
      <c r="B5" s="164"/>
    </row>
    <row r="6" spans="2:5" ht="15.75" customHeight="1" x14ac:dyDescent="0.25">
      <c r="B6" s="375" t="s">
        <v>296</v>
      </c>
      <c r="C6" s="375"/>
      <c r="D6" s="375"/>
    </row>
    <row r="7" spans="2:5" x14ac:dyDescent="0.25">
      <c r="B7" s="423"/>
      <c r="C7" s="423"/>
      <c r="D7" s="423"/>
      <c r="E7" s="423"/>
    </row>
    <row r="8" spans="2:5" x14ac:dyDescent="0.25">
      <c r="B8" s="190"/>
      <c r="C8" s="190"/>
      <c r="D8" s="190"/>
      <c r="E8" s="190"/>
    </row>
    <row r="9" spans="2:5" ht="47.25" customHeight="1" x14ac:dyDescent="0.25">
      <c r="B9" s="166" t="s">
        <v>297</v>
      </c>
      <c r="C9" s="166" t="s">
        <v>298</v>
      </c>
      <c r="D9" s="166" t="s">
        <v>299</v>
      </c>
    </row>
    <row r="10" spans="2:5" ht="15.75" customHeight="1" x14ac:dyDescent="0.25">
      <c r="B10" s="166">
        <v>1</v>
      </c>
      <c r="C10" s="166">
        <v>2</v>
      </c>
      <c r="D10" s="166">
        <v>3</v>
      </c>
    </row>
    <row r="11" spans="2:5" ht="31.5" customHeight="1" x14ac:dyDescent="0.25">
      <c r="B11" s="166" t="s">
        <v>300</v>
      </c>
      <c r="C11" s="166" t="s">
        <v>301</v>
      </c>
      <c r="D11" s="166">
        <v>44.29</v>
      </c>
    </row>
    <row r="12" spans="2:5" ht="31.5" customHeight="1" x14ac:dyDescent="0.25">
      <c r="B12" s="166" t="s">
        <v>302</v>
      </c>
      <c r="C12" s="166" t="s">
        <v>301</v>
      </c>
      <c r="D12" s="166">
        <v>11.72</v>
      </c>
    </row>
    <row r="13" spans="2:5" ht="31.5" customHeight="1" x14ac:dyDescent="0.25">
      <c r="B13" s="166" t="s">
        <v>303</v>
      </c>
      <c r="C13" s="166" t="s">
        <v>301</v>
      </c>
      <c r="D13" s="166">
        <v>7.74</v>
      </c>
    </row>
    <row r="14" spans="2:5" ht="31.5" customHeight="1" x14ac:dyDescent="0.25">
      <c r="B14" s="166" t="s">
        <v>304</v>
      </c>
      <c r="C14" s="317" t="s">
        <v>305</v>
      </c>
      <c r="D14" s="166">
        <v>6.26</v>
      </c>
    </row>
    <row r="15" spans="2:5" ht="89.25" customHeight="1" x14ac:dyDescent="0.25">
      <c r="B15" s="166" t="s">
        <v>306</v>
      </c>
      <c r="C15" s="166" t="s">
        <v>307</v>
      </c>
      <c r="D15" s="167">
        <v>2.5000000000000001E-2</v>
      </c>
    </row>
    <row r="16" spans="2:5" ht="78.75" customHeight="1" x14ac:dyDescent="0.25">
      <c r="B16" s="166" t="s">
        <v>308</v>
      </c>
      <c r="C16" s="166" t="s">
        <v>309</v>
      </c>
      <c r="D16" s="167">
        <v>1.9E-2</v>
      </c>
    </row>
    <row r="17" spans="2:4" s="330" customFormat="1" ht="15.75" customHeight="1" x14ac:dyDescent="0.25">
      <c r="B17" s="332" t="s">
        <v>310</v>
      </c>
      <c r="C17" s="332"/>
      <c r="D17" s="332" t="s">
        <v>311</v>
      </c>
    </row>
    <row r="18" spans="2:4" ht="31.5" customHeight="1" x14ac:dyDescent="0.25">
      <c r="B18" s="166" t="s">
        <v>312</v>
      </c>
      <c r="C18" s="166" t="s">
        <v>313</v>
      </c>
      <c r="D18" s="167">
        <v>2.1399999999999999E-2</v>
      </c>
    </row>
    <row r="19" spans="2:4" ht="31.5" customHeight="1" x14ac:dyDescent="0.25">
      <c r="B19" s="166" t="s">
        <v>230</v>
      </c>
      <c r="C19" s="166" t="s">
        <v>314</v>
      </c>
      <c r="D19" s="167">
        <v>2E-3</v>
      </c>
    </row>
    <row r="20" spans="2:4" ht="24" customHeight="1" x14ac:dyDescent="0.25">
      <c r="B20" s="166" t="s">
        <v>232</v>
      </c>
      <c r="C20" s="166" t="s">
        <v>315</v>
      </c>
      <c r="D20" s="167">
        <v>0.03</v>
      </c>
    </row>
    <row r="21" spans="2:4" ht="18.75" customHeight="1" x14ac:dyDescent="0.25">
      <c r="B21" s="165"/>
    </row>
    <row r="22" spans="2:4" ht="18.75" customHeight="1" x14ac:dyDescent="0.25">
      <c r="B22" s="165"/>
    </row>
    <row r="23" spans="2:4" ht="18.75" customHeight="1" x14ac:dyDescent="0.25">
      <c r="B23" s="165"/>
    </row>
    <row r="24" spans="2:4" ht="18.75" customHeight="1" x14ac:dyDescent="0.25">
      <c r="B24" s="165"/>
    </row>
    <row r="27" spans="2:4" x14ac:dyDescent="0.25">
      <c r="B27" s="4" t="s">
        <v>316</v>
      </c>
      <c r="C27" s="14"/>
    </row>
    <row r="28" spans="2:4" x14ac:dyDescent="0.25">
      <c r="B28" s="29" t="s">
        <v>77</v>
      </c>
      <c r="C28" s="14"/>
    </row>
    <row r="29" spans="2:4" x14ac:dyDescent="0.25">
      <c r="B29" s="4"/>
      <c r="C29" s="14"/>
    </row>
    <row r="30" spans="2:4" x14ac:dyDescent="0.25">
      <c r="B30" s="4" t="s">
        <v>278</v>
      </c>
      <c r="C30" s="14"/>
    </row>
    <row r="31" spans="2:4" x14ac:dyDescent="0.25">
      <c r="B31" s="29" t="s">
        <v>79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424" t="s">
        <v>317</v>
      </c>
      <c r="B1" s="424"/>
      <c r="C1" s="424"/>
      <c r="D1" s="424"/>
      <c r="E1" s="424"/>
      <c r="F1" s="424"/>
      <c r="G1" s="424"/>
      <c r="H1" s="424"/>
      <c r="I1" s="424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70" t="e">
        <f>#REF!</f>
        <v>#REF!</v>
      </c>
      <c r="B3" s="370"/>
      <c r="C3" s="370"/>
      <c r="D3" s="370"/>
      <c r="E3" s="370"/>
      <c r="F3" s="370"/>
      <c r="G3" s="370"/>
      <c r="H3" s="370"/>
      <c r="I3" s="370"/>
    </row>
    <row r="4" spans="1:13" s="4" customFormat="1" ht="15.75" customHeight="1" x14ac:dyDescent="0.2">
      <c r="A4" s="425"/>
      <c r="B4" s="425"/>
      <c r="C4" s="425"/>
      <c r="D4" s="425"/>
      <c r="E4" s="425"/>
      <c r="F4" s="425"/>
      <c r="G4" s="425"/>
      <c r="H4" s="425"/>
      <c r="I4" s="425"/>
    </row>
    <row r="5" spans="1:13" s="32" customFormat="1" ht="36.6" customHeight="1" x14ac:dyDescent="0.35">
      <c r="A5" s="426" t="s">
        <v>13</v>
      </c>
      <c r="B5" s="426" t="s">
        <v>318</v>
      </c>
      <c r="C5" s="426" t="s">
        <v>319</v>
      </c>
      <c r="D5" s="426" t="s">
        <v>320</v>
      </c>
      <c r="E5" s="421" t="s">
        <v>321</v>
      </c>
      <c r="F5" s="421"/>
      <c r="G5" s="421"/>
      <c r="H5" s="421"/>
      <c r="I5" s="421"/>
    </row>
    <row r="6" spans="1:13" s="26" customFormat="1" ht="31.5" customHeight="1" x14ac:dyDescent="0.2">
      <c r="A6" s="426"/>
      <c r="B6" s="426"/>
      <c r="C6" s="426"/>
      <c r="D6" s="426"/>
      <c r="E6" s="33" t="s">
        <v>87</v>
      </c>
      <c r="F6" s="33" t="s">
        <v>88</v>
      </c>
      <c r="G6" s="33" t="s">
        <v>43</v>
      </c>
      <c r="H6" s="33" t="s">
        <v>322</v>
      </c>
      <c r="I6" s="33" t="s">
        <v>323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4">
        <v>1</v>
      </c>
      <c r="B8" s="35"/>
      <c r="C8" s="9" t="s">
        <v>220</v>
      </c>
      <c r="D8" s="36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7"/>
      <c r="L8" s="37"/>
      <c r="M8" s="37"/>
    </row>
    <row r="9" spans="1:13" s="26" customFormat="1" ht="38.25" customHeight="1" x14ac:dyDescent="0.2">
      <c r="A9" s="34">
        <v>2</v>
      </c>
      <c r="B9" s="9" t="s">
        <v>324</v>
      </c>
      <c r="C9" s="9" t="s">
        <v>325</v>
      </c>
      <c r="D9" s="161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4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4">
        <v>3</v>
      </c>
      <c r="B11" s="9" t="s">
        <v>326</v>
      </c>
      <c r="C11" s="9" t="s">
        <v>308</v>
      </c>
      <c r="D11" s="161">
        <v>2.1000000000000001E-2</v>
      </c>
      <c r="E11" s="28">
        <f>(E8+E9)*D11</f>
        <v>8.6950678710000007E-2</v>
      </c>
      <c r="F11" s="28"/>
      <c r="G11" s="28"/>
      <c r="H11" s="28" t="s">
        <v>327</v>
      </c>
      <c r="I11" s="28">
        <f>E11</f>
        <v>8.6950678710000007E-2</v>
      </c>
    </row>
    <row r="12" spans="1:13" s="26" customFormat="1" ht="45" customHeight="1" x14ac:dyDescent="0.2">
      <c r="A12" s="34">
        <v>4</v>
      </c>
      <c r="B12" s="9" t="s">
        <v>328</v>
      </c>
      <c r="C12" s="9" t="s">
        <v>329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8" t="s">
        <v>330</v>
      </c>
    </row>
    <row r="13" spans="1:13" s="26" customFormat="1" ht="13.15" customHeight="1" x14ac:dyDescent="0.2">
      <c r="A13" s="34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4">
        <v>5</v>
      </c>
      <c r="B14" s="9" t="s">
        <v>313</v>
      </c>
      <c r="C14" s="9" t="s">
        <v>331</v>
      </c>
      <c r="D14" s="161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9">
        <f>(I8+I9+I11+I12)/1000</f>
        <v>0.10750662387871</v>
      </c>
    </row>
    <row r="15" spans="1:13" s="26" customFormat="1" ht="13.15" customHeight="1" x14ac:dyDescent="0.2">
      <c r="A15" s="34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4">
        <v>6</v>
      </c>
      <c r="B16" s="9" t="s">
        <v>332</v>
      </c>
      <c r="C16" s="9" t="s">
        <v>333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8" t="s">
        <v>334</v>
      </c>
    </row>
    <row r="17" spans="1:10" s="26" customFormat="1" ht="81.75" customHeight="1" x14ac:dyDescent="0.2">
      <c r="A17" s="34">
        <v>7</v>
      </c>
      <c r="B17" s="9" t="s">
        <v>332</v>
      </c>
      <c r="C17" s="145" t="s">
        <v>335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8"/>
    </row>
    <row r="18" spans="1:10" s="26" customFormat="1" ht="13.15" customHeight="1" x14ac:dyDescent="0.2">
      <c r="A18" s="34"/>
      <c r="B18" s="9"/>
      <c r="C18" s="9"/>
      <c r="D18" s="18"/>
      <c r="E18" s="28"/>
      <c r="F18" s="28"/>
      <c r="G18" s="28"/>
      <c r="H18" s="28"/>
      <c r="I18" s="28"/>
    </row>
    <row r="19" spans="1:10" s="41" customFormat="1" ht="13.15" customHeight="1" x14ac:dyDescent="0.2">
      <c r="A19" s="34">
        <v>8</v>
      </c>
      <c r="B19" s="9"/>
      <c r="C19" s="9" t="s">
        <v>336</v>
      </c>
      <c r="D19" s="40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4">
        <v>9</v>
      </c>
      <c r="B20" s="137" t="s">
        <v>337</v>
      </c>
      <c r="C20" s="9" t="s">
        <v>232</v>
      </c>
      <c r="D20" s="42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338</v>
      </c>
      <c r="D21" s="43"/>
      <c r="E21" s="28"/>
      <c r="F21" s="28"/>
      <c r="G21" s="28"/>
      <c r="H21" s="28"/>
      <c r="I21" s="28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339</v>
      </c>
      <c r="B23" s="48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340</v>
      </c>
      <c r="B24" s="48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8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341</v>
      </c>
      <c r="B26" s="48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342</v>
      </c>
      <c r="B27" s="48"/>
      <c r="C27" s="4"/>
      <c r="D27" s="26"/>
      <c r="E27" s="26"/>
      <c r="F27" s="26"/>
      <c r="G27" s="26"/>
      <c r="H27" s="26"/>
      <c r="I27" s="26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431" t="s">
        <v>343</v>
      </c>
      <c r="O2" s="431"/>
    </row>
    <row r="3" spans="1:16" x14ac:dyDescent="0.25">
      <c r="A3" s="432" t="s">
        <v>344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</row>
    <row r="5" spans="1:16" s="50" customFormat="1" ht="37.5" customHeight="1" x14ac:dyDescent="0.25">
      <c r="A5" s="433" t="s">
        <v>345</v>
      </c>
      <c r="B5" s="436" t="s">
        <v>346</v>
      </c>
      <c r="C5" s="439" t="s">
        <v>347</v>
      </c>
      <c r="D5" s="442" t="s">
        <v>348</v>
      </c>
      <c r="E5" s="443"/>
      <c r="F5" s="443"/>
      <c r="G5" s="443"/>
      <c r="H5" s="443"/>
      <c r="I5" s="442" t="s">
        <v>349</v>
      </c>
      <c r="J5" s="443"/>
      <c r="K5" s="443"/>
      <c r="L5" s="443"/>
      <c r="M5" s="443"/>
      <c r="N5" s="443"/>
      <c r="O5" s="53" t="s">
        <v>350</v>
      </c>
    </row>
    <row r="6" spans="1:16" s="56" customFormat="1" ht="150" customHeight="1" x14ac:dyDescent="0.25">
      <c r="A6" s="434"/>
      <c r="B6" s="437"/>
      <c r="C6" s="440"/>
      <c r="D6" s="439" t="s">
        <v>351</v>
      </c>
      <c r="E6" s="444" t="s">
        <v>352</v>
      </c>
      <c r="F6" s="445"/>
      <c r="G6" s="446"/>
      <c r="H6" s="54" t="s">
        <v>353</v>
      </c>
      <c r="I6" s="447" t="s">
        <v>354</v>
      </c>
      <c r="J6" s="447" t="s">
        <v>351</v>
      </c>
      <c r="K6" s="448" t="s">
        <v>352</v>
      </c>
      <c r="L6" s="448"/>
      <c r="M6" s="448"/>
      <c r="N6" s="54" t="s">
        <v>353</v>
      </c>
      <c r="O6" s="55" t="s">
        <v>355</v>
      </c>
    </row>
    <row r="7" spans="1:16" s="56" customFormat="1" ht="30.75" customHeight="1" x14ac:dyDescent="0.25">
      <c r="A7" s="435"/>
      <c r="B7" s="438"/>
      <c r="C7" s="441"/>
      <c r="D7" s="441"/>
      <c r="E7" s="53" t="s">
        <v>87</v>
      </c>
      <c r="F7" s="53" t="s">
        <v>88</v>
      </c>
      <c r="G7" s="53" t="s">
        <v>43</v>
      </c>
      <c r="H7" s="57" t="s">
        <v>356</v>
      </c>
      <c r="I7" s="447"/>
      <c r="J7" s="447"/>
      <c r="K7" s="53" t="s">
        <v>87</v>
      </c>
      <c r="L7" s="53" t="s">
        <v>88</v>
      </c>
      <c r="M7" s="53" t="s">
        <v>43</v>
      </c>
      <c r="N7" s="57" t="s">
        <v>356</v>
      </c>
      <c r="O7" s="53" t="s">
        <v>357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433" t="s">
        <v>358</v>
      </c>
      <c r="C9" s="59" t="s">
        <v>359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435"/>
      <c r="C10" s="63" t="s">
        <v>360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433" t="s">
        <v>361</v>
      </c>
      <c r="C11" s="63" t="s">
        <v>362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435"/>
      <c r="C12" s="63" t="s">
        <v>363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433" t="s">
        <v>364</v>
      </c>
      <c r="C13" s="59" t="s">
        <v>365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435"/>
      <c r="C14" s="63" t="s">
        <v>366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367</v>
      </c>
      <c r="C15" s="63" t="s">
        <v>368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369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370</v>
      </c>
    </row>
    <row r="19" spans="1:15" ht="30.75" customHeight="1" x14ac:dyDescent="0.25">
      <c r="L19" s="75"/>
    </row>
    <row r="20" spans="1:15" ht="15" customHeight="1" outlineLevel="1" x14ac:dyDescent="0.25">
      <c r="G20" s="430" t="s">
        <v>371</v>
      </c>
      <c r="H20" s="430"/>
      <c r="I20" s="430"/>
      <c r="J20" s="430"/>
      <c r="K20" s="430"/>
      <c r="L20" s="430"/>
      <c r="M20" s="430"/>
      <c r="N20" s="430"/>
      <c r="O20" s="52"/>
    </row>
    <row r="21" spans="1:15" ht="15.75" customHeight="1" outlineLevel="1" x14ac:dyDescent="0.25">
      <c r="G21" s="76"/>
      <c r="H21" s="76" t="s">
        <v>372</v>
      </c>
      <c r="I21" s="76" t="s">
        <v>373</v>
      </c>
      <c r="J21" s="77" t="s">
        <v>374</v>
      </c>
      <c r="K21" s="78" t="s">
        <v>375</v>
      </c>
      <c r="L21" s="76" t="s">
        <v>376</v>
      </c>
      <c r="M21" s="76" t="s">
        <v>377</v>
      </c>
      <c r="N21" s="77" t="s">
        <v>378</v>
      </c>
      <c r="O21" s="79"/>
    </row>
    <row r="22" spans="1:15" ht="15.75" customHeight="1" outlineLevel="1" x14ac:dyDescent="0.25">
      <c r="G22" s="428" t="s">
        <v>379</v>
      </c>
      <c r="H22" s="427">
        <v>6.09</v>
      </c>
      <c r="I22" s="429">
        <v>6.44</v>
      </c>
      <c r="J22" s="427">
        <v>5.77</v>
      </c>
      <c r="K22" s="429">
        <v>5.77</v>
      </c>
      <c r="L22" s="427">
        <v>5.23</v>
      </c>
      <c r="M22" s="427">
        <v>5.77</v>
      </c>
      <c r="N22" s="80">
        <v>6.29</v>
      </c>
      <c r="O22" s="51" t="s">
        <v>380</v>
      </c>
    </row>
    <row r="23" spans="1:15" ht="15.75" customHeight="1" outlineLevel="1" x14ac:dyDescent="0.25">
      <c r="G23" s="428"/>
      <c r="H23" s="427"/>
      <c r="I23" s="429"/>
      <c r="J23" s="427"/>
      <c r="K23" s="429"/>
      <c r="L23" s="427"/>
      <c r="M23" s="427"/>
      <c r="N23" s="80">
        <v>6.56</v>
      </c>
      <c r="O23" s="51" t="s">
        <v>381</v>
      </c>
    </row>
    <row r="24" spans="1:15" ht="15.75" customHeight="1" outlineLevel="1" x14ac:dyDescent="0.25">
      <c r="G24" s="81" t="s">
        <v>382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356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383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384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322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49" t="s">
        <v>385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</row>
    <row r="4" spans="1:18" ht="36.75" customHeight="1" x14ac:dyDescent="0.25">
      <c r="A4" s="433" t="s">
        <v>345</v>
      </c>
      <c r="B4" s="436" t="s">
        <v>346</v>
      </c>
      <c r="C4" s="439" t="s">
        <v>386</v>
      </c>
      <c r="D4" s="439" t="s">
        <v>387</v>
      </c>
      <c r="E4" s="442" t="s">
        <v>388</v>
      </c>
      <c r="F4" s="443"/>
      <c r="G4" s="443"/>
      <c r="H4" s="443"/>
      <c r="I4" s="443"/>
      <c r="J4" s="443"/>
      <c r="K4" s="443"/>
      <c r="L4" s="443"/>
      <c r="M4" s="443"/>
      <c r="N4" s="450" t="s">
        <v>389</v>
      </c>
      <c r="O4" s="451"/>
      <c r="P4" s="451"/>
      <c r="Q4" s="451"/>
      <c r="R4" s="452"/>
    </row>
    <row r="5" spans="1:18" ht="60" customHeight="1" x14ac:dyDescent="0.25">
      <c r="A5" s="434"/>
      <c r="B5" s="437"/>
      <c r="C5" s="440"/>
      <c r="D5" s="440"/>
      <c r="E5" s="447" t="s">
        <v>390</v>
      </c>
      <c r="F5" s="447" t="s">
        <v>391</v>
      </c>
      <c r="G5" s="444" t="s">
        <v>352</v>
      </c>
      <c r="H5" s="445"/>
      <c r="I5" s="445"/>
      <c r="J5" s="446"/>
      <c r="K5" s="447" t="s">
        <v>392</v>
      </c>
      <c r="L5" s="447"/>
      <c r="M5" s="447"/>
      <c r="N5" s="89" t="s">
        <v>393</v>
      </c>
      <c r="O5" s="89" t="s">
        <v>394</v>
      </c>
      <c r="P5" s="90" t="s">
        <v>395</v>
      </c>
      <c r="Q5" s="91" t="s">
        <v>396</v>
      </c>
      <c r="R5" s="90" t="s">
        <v>397</v>
      </c>
    </row>
    <row r="6" spans="1:18" ht="49.5" customHeight="1" x14ac:dyDescent="0.25">
      <c r="A6" s="435"/>
      <c r="B6" s="438"/>
      <c r="C6" s="441"/>
      <c r="D6" s="441"/>
      <c r="E6" s="447"/>
      <c r="F6" s="447"/>
      <c r="G6" s="53" t="s">
        <v>87</v>
      </c>
      <c r="H6" s="53" t="s">
        <v>88</v>
      </c>
      <c r="I6" s="92" t="s">
        <v>43</v>
      </c>
      <c r="J6" s="92" t="s">
        <v>322</v>
      </c>
      <c r="K6" s="53" t="s">
        <v>393</v>
      </c>
      <c r="L6" s="53" t="s">
        <v>394</v>
      </c>
      <c r="M6" s="53" t="s">
        <v>395</v>
      </c>
      <c r="N6" s="92" t="s">
        <v>398</v>
      </c>
      <c r="O6" s="92" t="s">
        <v>399</v>
      </c>
      <c r="P6" s="92" t="s">
        <v>400</v>
      </c>
      <c r="Q6" s="93" t="s">
        <v>401</v>
      </c>
      <c r="R6" s="94" t="s">
        <v>402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433">
        <v>1</v>
      </c>
      <c r="B9" s="433" t="s">
        <v>403</v>
      </c>
      <c r="C9" s="453" t="s">
        <v>359</v>
      </c>
      <c r="D9" s="99" t="s">
        <v>404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435"/>
      <c r="B10" s="434"/>
      <c r="C10" s="454"/>
      <c r="D10" s="99" t="s">
        <v>405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433">
        <v>2</v>
      </c>
      <c r="B11" s="434"/>
      <c r="C11" s="453" t="s">
        <v>406</v>
      </c>
      <c r="D11" s="104" t="s">
        <v>404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435"/>
      <c r="B12" s="435"/>
      <c r="C12" s="454"/>
      <c r="D12" s="104" t="s">
        <v>405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433">
        <v>3</v>
      </c>
      <c r="B13" s="433" t="s">
        <v>361</v>
      </c>
      <c r="C13" s="455" t="s">
        <v>362</v>
      </c>
      <c r="D13" s="99" t="s">
        <v>407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435"/>
      <c r="B14" s="434"/>
      <c r="C14" s="456"/>
      <c r="D14" s="99" t="s">
        <v>405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433">
        <v>4</v>
      </c>
      <c r="B15" s="434"/>
      <c r="C15" s="457" t="s">
        <v>363</v>
      </c>
      <c r="D15" s="105" t="s">
        <v>407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435"/>
      <c r="B16" s="435"/>
      <c r="C16" s="458"/>
      <c r="D16" s="105" t="s">
        <v>405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433">
        <v>5</v>
      </c>
      <c r="B17" s="448" t="s">
        <v>364</v>
      </c>
      <c r="C17" s="453" t="s">
        <v>408</v>
      </c>
      <c r="D17" s="99" t="s">
        <v>409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435"/>
      <c r="B18" s="448"/>
      <c r="C18" s="454"/>
      <c r="D18" s="99" t="s">
        <v>405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433">
        <v>6</v>
      </c>
      <c r="B19" s="448"/>
      <c r="C19" s="453" t="s">
        <v>366</v>
      </c>
      <c r="D19" s="105" t="s">
        <v>407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435"/>
      <c r="B20" s="448"/>
      <c r="C20" s="454"/>
      <c r="D20" s="105" t="s">
        <v>405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433">
        <v>7</v>
      </c>
      <c r="B21" s="433" t="s">
        <v>367</v>
      </c>
      <c r="C21" s="453" t="s">
        <v>368</v>
      </c>
      <c r="D21" s="105" t="s">
        <v>410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435"/>
      <c r="B22" s="435"/>
      <c r="C22" s="454"/>
      <c r="D22" s="106" t="s">
        <v>405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411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59" t="s">
        <v>412</v>
      </c>
      <c r="E26" s="459"/>
      <c r="F26" s="459"/>
      <c r="G26" s="459"/>
      <c r="H26" s="459"/>
      <c r="I26" s="459"/>
      <c r="J26" s="459"/>
      <c r="K26" s="459"/>
      <c r="L26" s="121"/>
      <c r="R26" s="122"/>
    </row>
    <row r="27" spans="1:18" outlineLevel="1" x14ac:dyDescent="0.25">
      <c r="D27" s="123"/>
      <c r="E27" s="123" t="s">
        <v>372</v>
      </c>
      <c r="F27" s="123" t="s">
        <v>373</v>
      </c>
      <c r="G27" s="123" t="s">
        <v>374</v>
      </c>
      <c r="H27" s="124" t="s">
        <v>375</v>
      </c>
      <c r="I27" s="124" t="s">
        <v>376</v>
      </c>
      <c r="J27" s="124" t="s">
        <v>377</v>
      </c>
      <c r="K27" s="111" t="s">
        <v>378</v>
      </c>
      <c r="L27" s="52"/>
    </row>
    <row r="28" spans="1:18" outlineLevel="1" x14ac:dyDescent="0.25">
      <c r="D28" s="460" t="s">
        <v>379</v>
      </c>
      <c r="E28" s="462">
        <v>6.09</v>
      </c>
      <c r="F28" s="464">
        <v>6.63</v>
      </c>
      <c r="G28" s="462">
        <v>5.77</v>
      </c>
      <c r="H28" s="466">
        <v>5.77</v>
      </c>
      <c r="I28" s="466">
        <v>6.35</v>
      </c>
      <c r="J28" s="462">
        <v>5.77</v>
      </c>
      <c r="K28" s="125">
        <v>6.29</v>
      </c>
      <c r="L28" s="87" t="s">
        <v>380</v>
      </c>
      <c r="M28" s="52"/>
    </row>
    <row r="29" spans="1:18" outlineLevel="1" x14ac:dyDescent="0.25">
      <c r="D29" s="461"/>
      <c r="E29" s="463"/>
      <c r="F29" s="465"/>
      <c r="G29" s="463"/>
      <c r="H29" s="467"/>
      <c r="I29" s="467"/>
      <c r="J29" s="463"/>
      <c r="K29" s="125">
        <v>6.56</v>
      </c>
      <c r="L29" s="87" t="s">
        <v>381</v>
      </c>
      <c r="M29" s="52"/>
    </row>
    <row r="30" spans="1:18" outlineLevel="1" x14ac:dyDescent="0.25">
      <c r="D30" s="126" t="s">
        <v>382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60" t="s">
        <v>356</v>
      </c>
      <c r="E31" s="462">
        <v>11.37</v>
      </c>
      <c r="F31" s="464">
        <v>13.56</v>
      </c>
      <c r="G31" s="462">
        <v>15.91</v>
      </c>
      <c r="H31" s="466">
        <v>15.91</v>
      </c>
      <c r="I31" s="466">
        <v>14.03</v>
      </c>
      <c r="J31" s="462">
        <v>15.91</v>
      </c>
      <c r="K31" s="125">
        <v>8.2899999999999991</v>
      </c>
      <c r="L31" s="87" t="s">
        <v>380</v>
      </c>
      <c r="R31" s="116"/>
    </row>
    <row r="32" spans="1:18" s="87" customFormat="1" outlineLevel="1" x14ac:dyDescent="0.25">
      <c r="D32" s="461"/>
      <c r="E32" s="463"/>
      <c r="F32" s="465"/>
      <c r="G32" s="463"/>
      <c r="H32" s="467"/>
      <c r="I32" s="467"/>
      <c r="J32" s="463"/>
      <c r="K32" s="125">
        <v>11.84</v>
      </c>
      <c r="L32" s="87" t="s">
        <v>381</v>
      </c>
      <c r="R32" s="116"/>
    </row>
    <row r="33" spans="4:18" s="87" customFormat="1" ht="15" customHeight="1" outlineLevel="1" x14ac:dyDescent="0.25">
      <c r="D33" s="129" t="s">
        <v>383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413</v>
      </c>
      <c r="R33" s="116"/>
    </row>
    <row r="34" spans="4:18" s="87" customFormat="1" outlineLevel="1" x14ac:dyDescent="0.25">
      <c r="D34" s="129" t="s">
        <v>384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413</v>
      </c>
      <c r="R34" s="116"/>
    </row>
    <row r="35" spans="4:18" s="87" customFormat="1" outlineLevel="1" x14ac:dyDescent="0.25">
      <c r="D35" s="126" t="s">
        <v>322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G13"/>
  <sheetViews>
    <sheetView view="pageBreakPreview" zoomScale="60" zoomScaleNormal="100" workbookViewId="0">
      <selection activeCell="S23" sqref="S2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1" spans="1:7" s="345" customFormat="1" x14ac:dyDescent="0.25"/>
    <row r="2" spans="1:7" s="345" customFormat="1" ht="17.25" customHeight="1" x14ac:dyDescent="0.25">
      <c r="A2" s="375" t="s">
        <v>414</v>
      </c>
      <c r="B2" s="375"/>
      <c r="C2" s="375"/>
      <c r="D2" s="375"/>
      <c r="E2" s="375"/>
      <c r="F2" s="375"/>
    </row>
    <row r="3" spans="1:7" s="345" customFormat="1" x14ac:dyDescent="0.25"/>
    <row r="4" spans="1:7" s="345" customFormat="1" ht="18" customHeight="1" x14ac:dyDescent="0.25">
      <c r="A4" s="346" t="s">
        <v>415</v>
      </c>
      <c r="B4" s="347"/>
      <c r="C4" s="347"/>
      <c r="D4" s="347"/>
      <c r="E4" s="347"/>
      <c r="F4" s="347"/>
      <c r="G4" s="347"/>
    </row>
    <row r="5" spans="1:7" s="345" customFormat="1" ht="15.75" customHeight="1" x14ac:dyDescent="0.25">
      <c r="A5" s="348" t="s">
        <v>13</v>
      </c>
      <c r="B5" s="348" t="s">
        <v>416</v>
      </c>
      <c r="C5" s="348" t="s">
        <v>417</v>
      </c>
      <c r="D5" s="348" t="s">
        <v>418</v>
      </c>
      <c r="E5" s="348" t="s">
        <v>419</v>
      </c>
      <c r="F5" s="348" t="s">
        <v>420</v>
      </c>
      <c r="G5" s="347"/>
    </row>
    <row r="6" spans="1:7" s="345" customFormat="1" ht="15.75" customHeight="1" x14ac:dyDescent="0.25">
      <c r="A6" s="348">
        <v>1</v>
      </c>
      <c r="B6" s="348">
        <v>2</v>
      </c>
      <c r="C6" s="348">
        <v>3</v>
      </c>
      <c r="D6" s="348">
        <v>4</v>
      </c>
      <c r="E6" s="348">
        <v>5</v>
      </c>
      <c r="F6" s="348">
        <v>6</v>
      </c>
      <c r="G6" s="347"/>
    </row>
    <row r="7" spans="1:7" s="345" customFormat="1" ht="110.25" customHeight="1" x14ac:dyDescent="0.25">
      <c r="A7" s="349" t="s">
        <v>421</v>
      </c>
      <c r="B7" s="350" t="s">
        <v>422</v>
      </c>
      <c r="C7" s="351" t="s">
        <v>423</v>
      </c>
      <c r="D7" s="351" t="s">
        <v>424</v>
      </c>
      <c r="E7" s="352">
        <v>47872.94</v>
      </c>
      <c r="F7" s="350" t="s">
        <v>425</v>
      </c>
      <c r="G7" s="347"/>
    </row>
    <row r="8" spans="1:7" s="345" customFormat="1" ht="31.5" customHeight="1" x14ac:dyDescent="0.25">
      <c r="A8" s="349" t="s">
        <v>426</v>
      </c>
      <c r="B8" s="350" t="s">
        <v>427</v>
      </c>
      <c r="C8" s="351" t="s">
        <v>428</v>
      </c>
      <c r="D8" s="351" t="s">
        <v>429</v>
      </c>
      <c r="E8" s="353">
        <f>1973/12</f>
        <v>164.41666666667001</v>
      </c>
      <c r="F8" s="354" t="s">
        <v>430</v>
      </c>
      <c r="G8" s="355"/>
    </row>
    <row r="9" spans="1:7" s="345" customFormat="1" ht="15.75" customHeight="1" x14ac:dyDescent="0.25">
      <c r="A9" s="349" t="s">
        <v>431</v>
      </c>
      <c r="B9" s="350" t="s">
        <v>432</v>
      </c>
      <c r="C9" s="351" t="s">
        <v>433</v>
      </c>
      <c r="D9" s="351" t="s">
        <v>424</v>
      </c>
      <c r="E9" s="353">
        <v>1</v>
      </c>
      <c r="F9" s="354"/>
      <c r="G9" s="356"/>
    </row>
    <row r="10" spans="1:7" s="345" customFormat="1" ht="15.75" customHeight="1" x14ac:dyDescent="0.25">
      <c r="A10" s="349" t="s">
        <v>434</v>
      </c>
      <c r="B10" s="350" t="s">
        <v>435</v>
      </c>
      <c r="C10" s="351"/>
      <c r="D10" s="351"/>
      <c r="E10" s="357">
        <v>3.8</v>
      </c>
      <c r="F10" s="354" t="s">
        <v>436</v>
      </c>
      <c r="G10" s="356"/>
    </row>
    <row r="11" spans="1:7" s="345" customFormat="1" ht="78.75" customHeight="1" x14ac:dyDescent="0.25">
      <c r="A11" s="349" t="s">
        <v>437</v>
      </c>
      <c r="B11" s="350" t="s">
        <v>438</v>
      </c>
      <c r="C11" s="351" t="s">
        <v>439</v>
      </c>
      <c r="D11" s="351" t="s">
        <v>424</v>
      </c>
      <c r="E11" s="358">
        <v>1.3080000000000001</v>
      </c>
      <c r="F11" s="350" t="s">
        <v>440</v>
      </c>
      <c r="G11" s="347"/>
    </row>
    <row r="12" spans="1:7" s="345" customFormat="1" ht="78.75" customHeight="1" x14ac:dyDescent="0.25">
      <c r="A12" s="349" t="s">
        <v>441</v>
      </c>
      <c r="B12" s="359" t="s">
        <v>442</v>
      </c>
      <c r="C12" s="351" t="s">
        <v>443</v>
      </c>
      <c r="D12" s="351" t="s">
        <v>424</v>
      </c>
      <c r="E12" s="360">
        <v>1.139</v>
      </c>
      <c r="F12" s="361" t="s">
        <v>444</v>
      </c>
      <c r="G12" s="356"/>
    </row>
    <row r="13" spans="1:7" s="345" customFormat="1" ht="63" customHeight="1" x14ac:dyDescent="0.25">
      <c r="A13" s="362" t="s">
        <v>445</v>
      </c>
      <c r="B13" s="363" t="s">
        <v>446</v>
      </c>
      <c r="C13" s="364" t="s">
        <v>447</v>
      </c>
      <c r="D13" s="364" t="s">
        <v>448</v>
      </c>
      <c r="E13" s="365">
        <f>((E7*E9/E8)*E11)*E12</f>
        <v>433.78619657747998</v>
      </c>
      <c r="F13" s="366" t="s">
        <v>449</v>
      </c>
      <c r="G13" s="347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67" t="s">
        <v>10</v>
      </c>
      <c r="B2" s="367"/>
      <c r="C2" s="367"/>
      <c r="D2" s="367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7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70"/>
    </row>
    <row r="5" spans="1:4" x14ac:dyDescent="0.25">
      <c r="A5" s="6"/>
      <c r="B5" s="1"/>
      <c r="C5" s="1"/>
    </row>
    <row r="6" spans="1:4" x14ac:dyDescent="0.25">
      <c r="A6" s="367" t="s">
        <v>12</v>
      </c>
      <c r="B6" s="367"/>
      <c r="C6" s="367"/>
      <c r="D6" s="367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71" t="s">
        <v>5</v>
      </c>
      <c r="B15" s="372" t="s">
        <v>15</v>
      </c>
      <c r="C15" s="372"/>
      <c r="D15" s="372"/>
    </row>
    <row r="16" spans="1:4" x14ac:dyDescent="0.25">
      <c r="A16" s="371"/>
      <c r="B16" s="371" t="s">
        <v>17</v>
      </c>
      <c r="C16" s="372" t="s">
        <v>28</v>
      </c>
      <c r="D16" s="372"/>
    </row>
    <row r="17" spans="1:4" ht="39" customHeight="1" x14ac:dyDescent="0.25">
      <c r="A17" s="371"/>
      <c r="B17" s="371"/>
      <c r="C17" s="10" t="s">
        <v>21</v>
      </c>
      <c r="D17" s="11" t="s">
        <v>23</v>
      </c>
    </row>
    <row r="18" spans="1:4" x14ac:dyDescent="0.25">
      <c r="A18" s="146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73" t="s">
        <v>29</v>
      </c>
      <c r="B2" s="373"/>
      <c r="C2" s="373"/>
      <c r="D2" s="373"/>
    </row>
    <row r="3" spans="1:10" x14ac:dyDescent="0.25">
      <c r="H3" s="150" t="s">
        <v>30</v>
      </c>
      <c r="I3" s="150" t="s">
        <v>31</v>
      </c>
      <c r="J3" s="150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56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6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7">
        <v>3</v>
      </c>
      <c r="B7" s="157" t="s">
        <v>41</v>
      </c>
      <c r="C7" s="158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8">
        <v>4</v>
      </c>
      <c r="B8" s="159" t="s">
        <v>43</v>
      </c>
      <c r="C8" s="160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9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zoomScale="60" zoomScaleNormal="70" workbookViewId="0">
      <selection activeCell="D29" sqref="D28:D29"/>
    </sheetView>
  </sheetViews>
  <sheetFormatPr defaultColWidth="9.140625" defaultRowHeight="15.75" x14ac:dyDescent="0.25"/>
  <cols>
    <col min="1" max="2" width="9.140625" style="198"/>
    <col min="3" max="3" width="51.7109375" style="198" customWidth="1"/>
    <col min="4" max="4" width="47" style="198" customWidth="1"/>
    <col min="5" max="5" width="7.85546875" style="198" customWidth="1"/>
    <col min="6" max="6" width="9.140625" style="198"/>
  </cols>
  <sheetData>
    <row r="3" spans="2:5" x14ac:dyDescent="0.25">
      <c r="B3" s="374" t="s">
        <v>45</v>
      </c>
      <c r="C3" s="374"/>
      <c r="D3" s="374"/>
    </row>
    <row r="4" spans="2:5" x14ac:dyDescent="0.25">
      <c r="B4" s="375" t="s">
        <v>46</v>
      </c>
      <c r="C4" s="375"/>
      <c r="D4" s="375"/>
    </row>
    <row r="5" spans="2:5" ht="84" customHeight="1" x14ac:dyDescent="0.25">
      <c r="B5" s="377" t="s">
        <v>47</v>
      </c>
      <c r="C5" s="377"/>
      <c r="D5" s="377"/>
    </row>
    <row r="6" spans="2:5" ht="18.75" customHeight="1" x14ac:dyDescent="0.25">
      <c r="B6" s="227"/>
      <c r="C6" s="227"/>
      <c r="D6" s="227"/>
    </row>
    <row r="7" spans="2:5" ht="37.5" customHeight="1" x14ac:dyDescent="0.25">
      <c r="B7" s="376" t="s">
        <v>48</v>
      </c>
      <c r="C7" s="376"/>
      <c r="D7" s="376"/>
    </row>
    <row r="8" spans="2:5" x14ac:dyDescent="0.25">
      <c r="B8" s="376" t="s">
        <v>49</v>
      </c>
      <c r="C8" s="376"/>
      <c r="D8" s="376"/>
    </row>
    <row r="9" spans="2:5" ht="15.75" customHeight="1" x14ac:dyDescent="0.25">
      <c r="B9" s="376" t="s">
        <v>50</v>
      </c>
      <c r="C9" s="376"/>
      <c r="D9" s="376"/>
    </row>
    <row r="10" spans="2:5" x14ac:dyDescent="0.25">
      <c r="B10" s="197"/>
    </row>
    <row r="11" spans="2:5" x14ac:dyDescent="0.25">
      <c r="B11" s="166" t="s">
        <v>33</v>
      </c>
      <c r="C11" s="166" t="s">
        <v>51</v>
      </c>
      <c r="D11" s="166" t="s">
        <v>52</v>
      </c>
      <c r="E11" s="207"/>
    </row>
    <row r="12" spans="2:5" ht="47.25" customHeight="1" x14ac:dyDescent="0.25">
      <c r="B12" s="166">
        <v>1</v>
      </c>
      <c r="C12" s="202" t="s">
        <v>53</v>
      </c>
      <c r="D12" s="302" t="s">
        <v>54</v>
      </c>
    </row>
    <row r="13" spans="2:5" x14ac:dyDescent="0.25">
      <c r="B13" s="166">
        <v>2</v>
      </c>
      <c r="C13" s="202" t="s">
        <v>55</v>
      </c>
      <c r="D13" s="302" t="s">
        <v>56</v>
      </c>
    </row>
    <row r="14" spans="2:5" x14ac:dyDescent="0.25">
      <c r="B14" s="166">
        <v>3</v>
      </c>
      <c r="C14" s="202" t="s">
        <v>57</v>
      </c>
      <c r="D14" s="341" t="s">
        <v>58</v>
      </c>
    </row>
    <row r="15" spans="2:5" x14ac:dyDescent="0.25">
      <c r="B15" s="166">
        <v>4</v>
      </c>
      <c r="C15" s="202" t="s">
        <v>59</v>
      </c>
      <c r="D15" s="302">
        <v>3</v>
      </c>
    </row>
    <row r="16" spans="2:5" ht="63" customHeight="1" x14ac:dyDescent="0.25">
      <c r="B16" s="166">
        <v>5</v>
      </c>
      <c r="C16" s="163" t="s">
        <v>60</v>
      </c>
      <c r="D16" s="303" t="s">
        <v>61</v>
      </c>
    </row>
    <row r="17" spans="2:5" ht="63" customHeight="1" x14ac:dyDescent="0.25">
      <c r="B17" s="166">
        <v>6</v>
      </c>
      <c r="C17" s="163" t="s">
        <v>62</v>
      </c>
      <c r="D17" s="342">
        <v>1095.2</v>
      </c>
      <c r="E17" s="226"/>
    </row>
    <row r="18" spans="2:5" x14ac:dyDescent="0.25">
      <c r="B18" s="206" t="s">
        <v>63</v>
      </c>
      <c r="C18" s="202" t="s">
        <v>64</v>
      </c>
      <c r="D18" s="342">
        <v>80.05</v>
      </c>
    </row>
    <row r="19" spans="2:5" ht="15.75" customHeight="1" x14ac:dyDescent="0.25">
      <c r="B19" s="206" t="s">
        <v>65</v>
      </c>
      <c r="C19" s="202" t="s">
        <v>66</v>
      </c>
      <c r="D19" s="342">
        <v>1224.1300000000001</v>
      </c>
    </row>
    <row r="20" spans="2:5" ht="16.5" customHeight="1" x14ac:dyDescent="0.25">
      <c r="B20" s="206" t="s">
        <v>67</v>
      </c>
      <c r="C20" s="202" t="s">
        <v>68</v>
      </c>
      <c r="D20" s="342"/>
    </row>
    <row r="21" spans="2:5" x14ac:dyDescent="0.25">
      <c r="B21" s="206" t="s">
        <v>69</v>
      </c>
      <c r="C21" s="205" t="s">
        <v>70</v>
      </c>
      <c r="D21" s="342">
        <v>273.52</v>
      </c>
    </row>
    <row r="22" spans="2:5" x14ac:dyDescent="0.25">
      <c r="B22" s="166">
        <v>7</v>
      </c>
      <c r="C22" s="205" t="s">
        <v>71</v>
      </c>
      <c r="D22" s="343" t="s">
        <v>72</v>
      </c>
      <c r="E22" s="203"/>
    </row>
    <row r="23" spans="2:5" ht="78.75" customHeight="1" x14ac:dyDescent="0.25">
      <c r="B23" s="166">
        <v>8</v>
      </c>
      <c r="C23" s="204" t="s">
        <v>73</v>
      </c>
      <c r="D23" s="342">
        <v>1095.2</v>
      </c>
      <c r="E23" s="226"/>
    </row>
    <row r="24" spans="2:5" ht="31.5" customHeight="1" x14ac:dyDescent="0.25">
      <c r="B24" s="166">
        <v>9</v>
      </c>
      <c r="C24" s="163" t="s">
        <v>74</v>
      </c>
      <c r="D24" s="342">
        <v>365.06666666667002</v>
      </c>
      <c r="E24" s="203"/>
    </row>
    <row r="25" spans="2:5" x14ac:dyDescent="0.25">
      <c r="B25" s="166">
        <v>10</v>
      </c>
      <c r="C25" s="202" t="s">
        <v>75</v>
      </c>
      <c r="D25" s="166"/>
    </row>
    <row r="26" spans="2:5" x14ac:dyDescent="0.25">
      <c r="B26" s="201"/>
      <c r="C26" s="200"/>
      <c r="D26" s="200"/>
    </row>
    <row r="27" spans="2:5" ht="37.5" customHeight="1" x14ac:dyDescent="0.25">
      <c r="B27" s="199"/>
    </row>
    <row r="28" spans="2:5" x14ac:dyDescent="0.25">
      <c r="B28" s="198" t="s">
        <v>76</v>
      </c>
    </row>
    <row r="29" spans="2:5" x14ac:dyDescent="0.25">
      <c r="B29" s="199" t="s">
        <v>77</v>
      </c>
    </row>
    <row r="31" spans="2:5" x14ac:dyDescent="0.25">
      <c r="B31" s="198" t="s">
        <v>78</v>
      </c>
    </row>
    <row r="32" spans="2:5" x14ac:dyDescent="0.25">
      <c r="B32" s="199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70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E17" sqref="E17"/>
    </sheetView>
  </sheetViews>
  <sheetFormatPr defaultColWidth="9.140625" defaultRowHeight="15.75" x14ac:dyDescent="0.25"/>
  <cols>
    <col min="1" max="1" width="5.5703125" style="198" customWidth="1"/>
    <col min="2" max="2" width="9.140625" style="198"/>
    <col min="3" max="3" width="35.28515625" style="198" customWidth="1"/>
    <col min="4" max="4" width="13.85546875" style="198" customWidth="1"/>
    <col min="5" max="5" width="24.85546875" style="198" customWidth="1"/>
    <col min="6" max="6" width="15.5703125" style="198" customWidth="1"/>
    <col min="7" max="7" width="14.85546875" style="198" customWidth="1"/>
    <col min="8" max="8" width="16.7109375" style="198" customWidth="1"/>
    <col min="9" max="10" width="13" style="198" customWidth="1"/>
    <col min="11" max="11" width="18" style="198" customWidth="1"/>
    <col min="12" max="12" width="9.140625" style="198"/>
  </cols>
  <sheetData>
    <row r="3" spans="2:11" x14ac:dyDescent="0.25">
      <c r="B3" s="374" t="s">
        <v>80</v>
      </c>
      <c r="C3" s="374"/>
      <c r="D3" s="374"/>
      <c r="E3" s="374"/>
      <c r="F3" s="374"/>
      <c r="G3" s="374"/>
      <c r="H3" s="374"/>
      <c r="I3" s="374"/>
      <c r="J3" s="374"/>
      <c r="K3" s="199"/>
    </row>
    <row r="4" spans="2:11" x14ac:dyDescent="0.25">
      <c r="B4" s="375" t="s">
        <v>81</v>
      </c>
      <c r="C4" s="375"/>
      <c r="D4" s="375"/>
      <c r="E4" s="375"/>
      <c r="F4" s="375"/>
      <c r="G4" s="375"/>
      <c r="H4" s="375"/>
      <c r="I4" s="375"/>
      <c r="J4" s="375"/>
      <c r="K4" s="375"/>
    </row>
    <row r="5" spans="2:11" x14ac:dyDescent="0.25">
      <c r="B5" s="208"/>
      <c r="C5" s="208"/>
      <c r="D5" s="208"/>
      <c r="E5" s="208"/>
      <c r="F5" s="208"/>
      <c r="G5" s="208"/>
      <c r="H5" s="208"/>
      <c r="I5" s="208"/>
      <c r="J5" s="208"/>
      <c r="K5" s="208"/>
    </row>
    <row r="6" spans="2:11" x14ac:dyDescent="0.25">
      <c r="B6" s="376" t="str">
        <f>'Прил.1 Сравнит табл'!B7:D7</f>
        <v>Наименование разрабатываемого показателя УНЦ - Автоматический пункт секционирования (реклоузера) 6-15 кВ с ПКУ и интеграцией в АСУТП</v>
      </c>
      <c r="C6" s="376"/>
      <c r="D6" s="376"/>
      <c r="E6" s="376"/>
      <c r="F6" s="376"/>
      <c r="G6" s="376"/>
      <c r="H6" s="376"/>
      <c r="I6" s="376"/>
      <c r="J6" s="376"/>
      <c r="K6" s="376"/>
    </row>
    <row r="7" spans="2:11" x14ac:dyDescent="0.25">
      <c r="B7" s="376" t="str">
        <f>'Прил.1 Сравнит табл'!B9:D9</f>
        <v>Единица измерения  — 1 ед.</v>
      </c>
      <c r="C7" s="376"/>
      <c r="D7" s="376"/>
      <c r="E7" s="376"/>
      <c r="F7" s="376"/>
      <c r="G7" s="376"/>
      <c r="H7" s="376"/>
      <c r="I7" s="376"/>
      <c r="J7" s="376"/>
      <c r="K7" s="376"/>
    </row>
    <row r="8" spans="2:11" ht="18.75" customHeight="1" x14ac:dyDescent="0.25">
      <c r="B8" s="228"/>
    </row>
    <row r="9" spans="2:11" ht="15.75" customHeight="1" x14ac:dyDescent="0.25">
      <c r="B9" s="379" t="s">
        <v>33</v>
      </c>
      <c r="C9" s="379" t="s">
        <v>82</v>
      </c>
      <c r="D9" s="379" t="s">
        <v>83</v>
      </c>
      <c r="E9" s="379"/>
      <c r="F9" s="379"/>
      <c r="G9" s="379"/>
      <c r="H9" s="379"/>
      <c r="I9" s="379"/>
      <c r="J9" s="379"/>
    </row>
    <row r="10" spans="2:11" ht="15.75" customHeight="1" x14ac:dyDescent="0.25">
      <c r="B10" s="379"/>
      <c r="C10" s="379"/>
      <c r="D10" s="379" t="s">
        <v>84</v>
      </c>
      <c r="E10" s="379" t="s">
        <v>85</v>
      </c>
      <c r="F10" s="379" t="s">
        <v>86</v>
      </c>
      <c r="G10" s="379"/>
      <c r="H10" s="379"/>
      <c r="I10" s="379"/>
      <c r="J10" s="379"/>
    </row>
    <row r="11" spans="2:11" ht="31.5" customHeight="1" x14ac:dyDescent="0.25">
      <c r="B11" s="379"/>
      <c r="C11" s="379"/>
      <c r="D11" s="379"/>
      <c r="E11" s="379"/>
      <c r="F11" s="334" t="s">
        <v>87</v>
      </c>
      <c r="G11" s="334" t="s">
        <v>88</v>
      </c>
      <c r="H11" s="334" t="s">
        <v>43</v>
      </c>
      <c r="I11" s="334" t="s">
        <v>89</v>
      </c>
      <c r="J11" s="334" t="s">
        <v>90</v>
      </c>
    </row>
    <row r="12" spans="2:11" ht="31.5" customHeight="1" x14ac:dyDescent="0.25">
      <c r="B12" s="335">
        <v>1</v>
      </c>
      <c r="C12" s="303" t="s">
        <v>61</v>
      </c>
      <c r="D12" s="336" t="s">
        <v>91</v>
      </c>
      <c r="E12" s="337" t="s">
        <v>92</v>
      </c>
      <c r="F12" s="338">
        <f>11772*6.8/1000</f>
        <v>80.049599999999998</v>
      </c>
      <c r="G12" s="338"/>
      <c r="H12" s="338">
        <f>303003*4.04/1000</f>
        <v>1224.13212</v>
      </c>
      <c r="I12" s="338">
        <f>34492*7.93/1000</f>
        <v>273.52156000000002</v>
      </c>
      <c r="J12" s="338">
        <f>SUM(F12:I12)</f>
        <v>1577.7032799999999</v>
      </c>
    </row>
    <row r="13" spans="2:11" ht="15" customHeight="1" x14ac:dyDescent="0.25">
      <c r="B13" s="380" t="s">
        <v>93</v>
      </c>
      <c r="C13" s="380"/>
      <c r="D13" s="380"/>
      <c r="E13" s="380"/>
      <c r="F13" s="339">
        <f>SUM(F12)</f>
        <v>80.049599999999998</v>
      </c>
      <c r="G13" s="339"/>
      <c r="H13" s="339">
        <f>SUM(H12)</f>
        <v>1224.13212</v>
      </c>
      <c r="I13" s="339">
        <f>SUM(I12)</f>
        <v>273.52156000000002</v>
      </c>
      <c r="J13" s="339">
        <f>SUM(J12)</f>
        <v>1577.7032799999999</v>
      </c>
    </row>
    <row r="14" spans="2:11" ht="15.75" customHeight="1" x14ac:dyDescent="0.25">
      <c r="B14" s="378" t="s">
        <v>94</v>
      </c>
      <c r="C14" s="378"/>
      <c r="D14" s="378"/>
      <c r="E14" s="378"/>
      <c r="F14" s="340">
        <f>F13</f>
        <v>80.049599999999998</v>
      </c>
      <c r="G14" s="340"/>
      <c r="H14" s="340">
        <f>H13</f>
        <v>1224.13212</v>
      </c>
      <c r="I14" s="340">
        <f>I13</f>
        <v>273.52156000000002</v>
      </c>
      <c r="J14" s="340">
        <f>J13</f>
        <v>1577.7032799999999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95</v>
      </c>
      <c r="D18" s="14"/>
      <c r="E18" s="14"/>
    </row>
    <row r="19" spans="3:5" ht="15" customHeight="1" x14ac:dyDescent="0.25">
      <c r="C19" s="29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29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2">
    <mergeCell ref="B14:E14"/>
    <mergeCell ref="B9:B11"/>
    <mergeCell ref="B3:J3"/>
    <mergeCell ref="B4:K4"/>
    <mergeCell ref="B7:K7"/>
    <mergeCell ref="B6:K6"/>
    <mergeCell ref="B13:E13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63"/>
  <sheetViews>
    <sheetView view="pageBreakPreview" zoomScaleSheetLayoutView="100" workbookViewId="0">
      <selection activeCell="E60" sqref="E60"/>
    </sheetView>
  </sheetViews>
  <sheetFormatPr defaultColWidth="9.140625" defaultRowHeight="15.75" x14ac:dyDescent="0.25"/>
  <cols>
    <col min="1" max="1" width="9.140625" style="198"/>
    <col min="2" max="2" width="12.5703125" style="198" customWidth="1"/>
    <col min="3" max="3" width="22.42578125" style="198" customWidth="1"/>
    <col min="4" max="4" width="49.7109375" style="198" customWidth="1"/>
    <col min="5" max="5" width="10.140625" style="198" customWidth="1"/>
    <col min="6" max="6" width="20.7109375" style="198" customWidth="1"/>
    <col min="7" max="7" width="20" style="198" customWidth="1"/>
    <col min="8" max="8" width="16.7109375" style="198" customWidth="1"/>
    <col min="9" max="9" width="9.140625" style="198"/>
    <col min="10" max="10" width="11.28515625" style="198" customWidth="1"/>
    <col min="11" max="11" width="15" style="198" customWidth="1"/>
    <col min="12" max="12" width="9.140625" style="198"/>
  </cols>
  <sheetData>
    <row r="2" spans="1:12" s="345" customFormat="1" x14ac:dyDescent="0.25">
      <c r="A2" s="347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</row>
    <row r="3" spans="1:12" x14ac:dyDescent="0.25">
      <c r="A3" s="374" t="s">
        <v>96</v>
      </c>
      <c r="B3" s="374"/>
      <c r="C3" s="374"/>
      <c r="D3" s="374"/>
      <c r="E3" s="374"/>
      <c r="F3" s="374"/>
      <c r="G3" s="374"/>
      <c r="H3" s="374"/>
    </row>
    <row r="4" spans="1:12" x14ac:dyDescent="0.25">
      <c r="A4" s="375" t="s">
        <v>97</v>
      </c>
      <c r="B4" s="375"/>
      <c r="C4" s="375"/>
      <c r="D4" s="375"/>
      <c r="E4" s="375"/>
      <c r="F4" s="375"/>
      <c r="G4" s="375"/>
      <c r="H4" s="375"/>
    </row>
    <row r="5" spans="1:12" ht="18.75" customHeight="1" x14ac:dyDescent="0.25">
      <c r="A5" s="231"/>
      <c r="B5" s="231"/>
      <c r="C5" s="392"/>
      <c r="D5" s="392"/>
      <c r="E5" s="392"/>
      <c r="F5" s="392"/>
      <c r="G5" s="392"/>
      <c r="H5" s="392"/>
    </row>
    <row r="6" spans="1:12" x14ac:dyDescent="0.25">
      <c r="A6" s="197"/>
    </row>
    <row r="7" spans="1:12" x14ac:dyDescent="0.25">
      <c r="A7" s="390" t="s">
        <v>48</v>
      </c>
      <c r="B7" s="390"/>
      <c r="C7" s="390"/>
      <c r="D7" s="390"/>
      <c r="E7" s="390"/>
      <c r="F7" s="390"/>
      <c r="G7" s="390"/>
      <c r="H7" s="390"/>
    </row>
    <row r="8" spans="1:12" x14ac:dyDescent="0.25">
      <c r="A8" s="209"/>
      <c r="B8" s="209"/>
      <c r="C8" s="209"/>
      <c r="D8" s="209"/>
      <c r="E8" s="209"/>
      <c r="F8" s="209"/>
      <c r="G8" s="209"/>
      <c r="H8" s="209"/>
    </row>
    <row r="9" spans="1:12" ht="38.25" customHeight="1" x14ac:dyDescent="0.25">
      <c r="A9" s="379" t="s">
        <v>98</v>
      </c>
      <c r="B9" s="379" t="s">
        <v>99</v>
      </c>
      <c r="C9" s="379" t="s">
        <v>100</v>
      </c>
      <c r="D9" s="379" t="s">
        <v>101</v>
      </c>
      <c r="E9" s="379" t="s">
        <v>102</v>
      </c>
      <c r="F9" s="379" t="s">
        <v>103</v>
      </c>
      <c r="G9" s="379" t="s">
        <v>104</v>
      </c>
      <c r="H9" s="379"/>
    </row>
    <row r="10" spans="1:12" ht="40.5" customHeight="1" x14ac:dyDescent="0.25">
      <c r="A10" s="379"/>
      <c r="B10" s="379"/>
      <c r="C10" s="379"/>
      <c r="D10" s="379"/>
      <c r="E10" s="379"/>
      <c r="F10" s="379"/>
      <c r="G10" s="166" t="s">
        <v>105</v>
      </c>
      <c r="H10" s="166" t="s">
        <v>106</v>
      </c>
    </row>
    <row r="11" spans="1:12" x14ac:dyDescent="0.25">
      <c r="A11" s="213">
        <v>1</v>
      </c>
      <c r="B11" s="213"/>
      <c r="C11" s="213">
        <v>2</v>
      </c>
      <c r="D11" s="213" t="s">
        <v>107</v>
      </c>
      <c r="E11" s="213">
        <v>4</v>
      </c>
      <c r="F11" s="213">
        <v>5</v>
      </c>
      <c r="G11" s="213">
        <v>6</v>
      </c>
      <c r="H11" s="213">
        <v>7</v>
      </c>
      <c r="J11" s="4"/>
      <c r="K11" s="308"/>
    </row>
    <row r="12" spans="1:12" s="210" customFormat="1" x14ac:dyDescent="0.25">
      <c r="A12" s="384" t="s">
        <v>108</v>
      </c>
      <c r="B12" s="385"/>
      <c r="C12" s="386"/>
      <c r="D12" s="386"/>
      <c r="E12" s="385"/>
      <c r="F12" s="229">
        <f>SUM(F13:F17)</f>
        <v>157.54</v>
      </c>
      <c r="G12" s="230"/>
      <c r="H12" s="229">
        <f>SUM(H13:H17)</f>
        <v>1483.05</v>
      </c>
      <c r="J12" s="309"/>
      <c r="K12" s="4"/>
    </row>
    <row r="13" spans="1:12" s="210" customFormat="1" x14ac:dyDescent="0.25">
      <c r="A13" s="148">
        <v>1</v>
      </c>
      <c r="B13" s="257"/>
      <c r="C13" s="246" t="s">
        <v>109</v>
      </c>
      <c r="D13" s="233" t="s">
        <v>110</v>
      </c>
      <c r="E13" s="247" t="s">
        <v>111</v>
      </c>
      <c r="F13" s="246">
        <v>85.77</v>
      </c>
      <c r="G13" s="248">
        <v>9.6199999999999992</v>
      </c>
      <c r="H13" s="253">
        <f>ROUND(F13*G13,2)</f>
        <v>825.11</v>
      </c>
      <c r="J13" s="4"/>
      <c r="K13" s="308"/>
    </row>
    <row r="14" spans="1:12" s="210" customFormat="1" x14ac:dyDescent="0.25">
      <c r="A14" s="148">
        <v>2</v>
      </c>
      <c r="B14" s="257"/>
      <c r="C14" s="258" t="s">
        <v>112</v>
      </c>
      <c r="D14" s="259" t="s">
        <v>113</v>
      </c>
      <c r="E14" s="252" t="s">
        <v>111</v>
      </c>
      <c r="F14" s="258">
        <v>24.27</v>
      </c>
      <c r="G14" s="260">
        <v>10.06</v>
      </c>
      <c r="H14" s="253">
        <f>ROUND(F14*G14,2)</f>
        <v>244.16</v>
      </c>
      <c r="J14" s="4"/>
      <c r="K14" s="308"/>
    </row>
    <row r="15" spans="1:12" s="210" customFormat="1" x14ac:dyDescent="0.25">
      <c r="A15" s="148">
        <v>3</v>
      </c>
      <c r="B15" s="257"/>
      <c r="C15" s="258" t="s">
        <v>114</v>
      </c>
      <c r="D15" s="259" t="s">
        <v>115</v>
      </c>
      <c r="E15" s="252" t="s">
        <v>111</v>
      </c>
      <c r="F15" s="258">
        <v>25.74</v>
      </c>
      <c r="G15" s="260">
        <v>8.86</v>
      </c>
      <c r="H15" s="253">
        <f>ROUND(F15*G15,2)</f>
        <v>228.06</v>
      </c>
      <c r="J15" s="4"/>
      <c r="K15" s="308"/>
    </row>
    <row r="16" spans="1:12" s="210" customFormat="1" x14ac:dyDescent="0.25">
      <c r="A16" s="148">
        <v>4</v>
      </c>
      <c r="B16" s="257"/>
      <c r="C16" s="258" t="s">
        <v>116</v>
      </c>
      <c r="D16" s="259" t="s">
        <v>117</v>
      </c>
      <c r="E16" s="252" t="s">
        <v>111</v>
      </c>
      <c r="F16" s="258">
        <v>19.8</v>
      </c>
      <c r="G16" s="260">
        <v>8.4600000000000009</v>
      </c>
      <c r="H16" s="253">
        <f>ROUND(F16*G16,2)</f>
        <v>167.51</v>
      </c>
      <c r="J16" s="4"/>
      <c r="K16" s="308"/>
    </row>
    <row r="17" spans="1:11" s="210" customFormat="1" x14ac:dyDescent="0.25">
      <c r="A17" s="148">
        <v>5</v>
      </c>
      <c r="B17" s="257"/>
      <c r="C17" s="258" t="s">
        <v>118</v>
      </c>
      <c r="D17" s="259" t="s">
        <v>119</v>
      </c>
      <c r="E17" s="252" t="s">
        <v>111</v>
      </c>
      <c r="F17" s="258">
        <v>1.96</v>
      </c>
      <c r="G17" s="260">
        <v>9.2899999999999991</v>
      </c>
      <c r="H17" s="253">
        <f>ROUND(F17*G17,2)</f>
        <v>18.21</v>
      </c>
      <c r="J17" s="4"/>
      <c r="K17" s="308"/>
    </row>
    <row r="18" spans="1:11" ht="15.75" customHeight="1" x14ac:dyDescent="0.25">
      <c r="A18" s="381" t="s">
        <v>120</v>
      </c>
      <c r="B18" s="382"/>
      <c r="C18" s="382"/>
      <c r="D18" s="382"/>
      <c r="E18" s="383"/>
      <c r="F18" s="212"/>
      <c r="G18" s="211"/>
      <c r="H18" s="229">
        <f>H19</f>
        <v>467.8186</v>
      </c>
    </row>
    <row r="19" spans="1:11" x14ac:dyDescent="0.25">
      <c r="A19" s="251">
        <v>6</v>
      </c>
      <c r="B19" s="234"/>
      <c r="C19" s="246">
        <v>2</v>
      </c>
      <c r="D19" s="233" t="s">
        <v>120</v>
      </c>
      <c r="E19" s="247" t="s">
        <v>111</v>
      </c>
      <c r="F19" s="247">
        <v>41.75</v>
      </c>
      <c r="G19" s="253"/>
      <c r="H19" s="261">
        <v>467.8186</v>
      </c>
    </row>
    <row r="20" spans="1:11" s="210" customFormat="1" x14ac:dyDescent="0.25">
      <c r="A20" s="387" t="s">
        <v>121</v>
      </c>
      <c r="B20" s="388"/>
      <c r="C20" s="388"/>
      <c r="D20" s="388"/>
      <c r="E20" s="389"/>
      <c r="F20" s="212"/>
      <c r="G20" s="211"/>
      <c r="H20" s="229">
        <f>SUM(H21:H25)</f>
        <v>3671.99</v>
      </c>
    </row>
    <row r="21" spans="1:11" s="210" customFormat="1" x14ac:dyDescent="0.25">
      <c r="A21" s="262">
        <f>A19+1</f>
        <v>7</v>
      </c>
      <c r="B21" s="256"/>
      <c r="C21" s="258" t="s">
        <v>122</v>
      </c>
      <c r="D21" s="259" t="s">
        <v>123</v>
      </c>
      <c r="E21" s="252" t="s">
        <v>124</v>
      </c>
      <c r="F21" s="252">
        <v>23.41</v>
      </c>
      <c r="G21" s="260">
        <v>82.22</v>
      </c>
      <c r="H21" s="192">
        <f>ROUND(F21*G21,2)</f>
        <v>1924.77</v>
      </c>
      <c r="J21" s="298"/>
      <c r="K21" s="310"/>
    </row>
    <row r="22" spans="1:11" s="210" customFormat="1" ht="25.5" customHeight="1" x14ac:dyDescent="0.25">
      <c r="A22" s="262">
        <f>A21+1</f>
        <v>8</v>
      </c>
      <c r="B22" s="256"/>
      <c r="C22" s="258" t="s">
        <v>125</v>
      </c>
      <c r="D22" s="259" t="s">
        <v>126</v>
      </c>
      <c r="E22" s="252" t="s">
        <v>124</v>
      </c>
      <c r="F22" s="252">
        <v>9.99</v>
      </c>
      <c r="G22" s="260">
        <v>111.99</v>
      </c>
      <c r="H22" s="192">
        <f>ROUND(F22*G22,2)</f>
        <v>1118.78</v>
      </c>
      <c r="J22" s="298"/>
      <c r="K22" s="4"/>
    </row>
    <row r="23" spans="1:11" s="210" customFormat="1" x14ac:dyDescent="0.25">
      <c r="A23" s="262">
        <f>A22+1</f>
        <v>9</v>
      </c>
      <c r="B23" s="256"/>
      <c r="C23" s="258" t="s">
        <v>127</v>
      </c>
      <c r="D23" s="259" t="s">
        <v>128</v>
      </c>
      <c r="E23" s="252" t="s">
        <v>124</v>
      </c>
      <c r="F23" s="258">
        <v>8.0399999999999991</v>
      </c>
      <c r="G23" s="260">
        <v>65.709999999999994</v>
      </c>
      <c r="H23" s="192">
        <f>ROUND(F23*G23,2)</f>
        <v>528.30999999999995</v>
      </c>
      <c r="J23" s="298"/>
      <c r="K23" s="4"/>
    </row>
    <row r="24" spans="1:11" s="210" customFormat="1" ht="25.5" customHeight="1" x14ac:dyDescent="0.25">
      <c r="A24" s="262">
        <f>A23+1</f>
        <v>10</v>
      </c>
      <c r="B24" s="256"/>
      <c r="C24" s="258" t="s">
        <v>129</v>
      </c>
      <c r="D24" s="259" t="s">
        <v>130</v>
      </c>
      <c r="E24" s="252" t="s">
        <v>124</v>
      </c>
      <c r="F24" s="252">
        <v>5.5</v>
      </c>
      <c r="G24" s="260">
        <v>14</v>
      </c>
      <c r="H24" s="192">
        <f>ROUND(F24*G24,2)</f>
        <v>77</v>
      </c>
      <c r="J24" s="298"/>
      <c r="K24" s="4"/>
    </row>
    <row r="25" spans="1:11" s="210" customFormat="1" ht="25.5" customHeight="1" x14ac:dyDescent="0.25">
      <c r="A25" s="262">
        <f>A24+1</f>
        <v>11</v>
      </c>
      <c r="B25" s="256"/>
      <c r="C25" s="258" t="s">
        <v>131</v>
      </c>
      <c r="D25" s="259" t="s">
        <v>132</v>
      </c>
      <c r="E25" s="252" t="s">
        <v>124</v>
      </c>
      <c r="F25" s="252">
        <v>0.31</v>
      </c>
      <c r="G25" s="260">
        <v>74.61</v>
      </c>
      <c r="H25" s="192">
        <f>ROUND(F25*G25,2)</f>
        <v>23.13</v>
      </c>
      <c r="J25" s="298"/>
      <c r="K25" s="4"/>
    </row>
    <row r="26" spans="1:11" ht="15" customHeight="1" x14ac:dyDescent="0.25">
      <c r="A26" s="391" t="s">
        <v>43</v>
      </c>
      <c r="B26" s="391"/>
      <c r="C26" s="391"/>
      <c r="D26" s="391"/>
      <c r="E26" s="391"/>
      <c r="F26" s="230"/>
      <c r="G26" s="230"/>
      <c r="H26" s="229">
        <f>SUM(H27:H29)</f>
        <v>1048938</v>
      </c>
      <c r="J26" s="139"/>
      <c r="K26" s="139"/>
    </row>
    <row r="27" spans="1:11" ht="25.5" customHeight="1" x14ac:dyDescent="0.25">
      <c r="A27" s="252">
        <v>12</v>
      </c>
      <c r="B27" s="255"/>
      <c r="C27" s="307" t="s">
        <v>133</v>
      </c>
      <c r="D27" s="259" t="s">
        <v>134</v>
      </c>
      <c r="E27" s="299" t="s">
        <v>135</v>
      </c>
      <c r="F27" s="299">
        <v>3</v>
      </c>
      <c r="G27" s="316">
        <v>345047.92</v>
      </c>
      <c r="H27" s="269">
        <v>1035143.76</v>
      </c>
      <c r="J27" s="298"/>
      <c r="K27" s="311"/>
    </row>
    <row r="28" spans="1:11" ht="38.25" customHeight="1" x14ac:dyDescent="0.25">
      <c r="A28" s="252">
        <v>13</v>
      </c>
      <c r="B28" s="255"/>
      <c r="C28" s="258" t="s">
        <v>133</v>
      </c>
      <c r="D28" s="259" t="s">
        <v>136</v>
      </c>
      <c r="E28" s="299" t="s">
        <v>135</v>
      </c>
      <c r="F28" s="299">
        <v>3</v>
      </c>
      <c r="G28" s="316">
        <v>2627.02</v>
      </c>
      <c r="H28" s="269">
        <v>7881.06</v>
      </c>
      <c r="J28" s="298"/>
      <c r="K28" s="139"/>
    </row>
    <row r="29" spans="1:11" ht="25.5" customHeight="1" x14ac:dyDescent="0.25">
      <c r="A29" s="252">
        <v>14</v>
      </c>
      <c r="B29" s="255"/>
      <c r="C29" s="258" t="s">
        <v>133</v>
      </c>
      <c r="D29" s="259" t="s">
        <v>137</v>
      </c>
      <c r="E29" s="299" t="s">
        <v>138</v>
      </c>
      <c r="F29" s="299">
        <v>18</v>
      </c>
      <c r="G29" s="316">
        <v>328.51</v>
      </c>
      <c r="H29" s="269">
        <v>5913.18</v>
      </c>
      <c r="J29" s="298"/>
      <c r="K29" s="139"/>
    </row>
    <row r="30" spans="1:11" x14ac:dyDescent="0.25">
      <c r="A30" s="384" t="s">
        <v>139</v>
      </c>
      <c r="B30" s="385"/>
      <c r="C30" s="386"/>
      <c r="D30" s="386"/>
      <c r="E30" s="385"/>
      <c r="F30" s="212"/>
      <c r="G30" s="211"/>
      <c r="H30" s="229">
        <v>23764.7</v>
      </c>
      <c r="J30" s="312"/>
      <c r="K30" s="4"/>
    </row>
    <row r="31" spans="1:11" ht="25.5" customHeight="1" x14ac:dyDescent="0.25">
      <c r="A31" s="148">
        <v>15</v>
      </c>
      <c r="B31" s="257"/>
      <c r="C31" s="252" t="s">
        <v>140</v>
      </c>
      <c r="D31" s="259" t="s">
        <v>141</v>
      </c>
      <c r="E31" s="299" t="s">
        <v>138</v>
      </c>
      <c r="F31" s="299">
        <v>27</v>
      </c>
      <c r="G31" s="260">
        <v>535.92999999999995</v>
      </c>
      <c r="H31" s="192">
        <v>14470.11</v>
      </c>
      <c r="J31" s="298"/>
      <c r="K31" s="313"/>
    </row>
    <row r="32" spans="1:11" x14ac:dyDescent="0.25">
      <c r="A32" s="148">
        <v>16</v>
      </c>
      <c r="B32" s="257"/>
      <c r="C32" s="252" t="s">
        <v>142</v>
      </c>
      <c r="D32" s="259" t="s">
        <v>143</v>
      </c>
      <c r="E32" s="252" t="s">
        <v>144</v>
      </c>
      <c r="F32" s="299">
        <v>0.18</v>
      </c>
      <c r="G32" s="181">
        <v>10668</v>
      </c>
      <c r="H32" s="192">
        <v>1920.24</v>
      </c>
      <c r="J32" s="298"/>
      <c r="K32" s="4"/>
    </row>
    <row r="33" spans="1:11" ht="25.5" customHeight="1" x14ac:dyDescent="0.25">
      <c r="A33" s="148">
        <v>17</v>
      </c>
      <c r="B33" s="257"/>
      <c r="C33" s="252" t="s">
        <v>145</v>
      </c>
      <c r="D33" s="259" t="s">
        <v>146</v>
      </c>
      <c r="E33" s="252" t="s">
        <v>144</v>
      </c>
      <c r="F33" s="299">
        <v>0.18</v>
      </c>
      <c r="G33" s="181">
        <v>9563</v>
      </c>
      <c r="H33" s="192">
        <v>1721.34</v>
      </c>
      <c r="J33" s="298"/>
      <c r="K33" s="4"/>
    </row>
    <row r="34" spans="1:11" x14ac:dyDescent="0.25">
      <c r="A34" s="148">
        <v>18</v>
      </c>
      <c r="B34" s="257"/>
      <c r="C34" s="252" t="s">
        <v>147</v>
      </c>
      <c r="D34" s="259" t="s">
        <v>148</v>
      </c>
      <c r="E34" s="252" t="s">
        <v>144</v>
      </c>
      <c r="F34" s="299">
        <v>0.09</v>
      </c>
      <c r="G34" s="181">
        <v>16232.1</v>
      </c>
      <c r="H34" s="192">
        <v>1460.89</v>
      </c>
      <c r="J34" s="298"/>
      <c r="K34" s="4"/>
    </row>
    <row r="35" spans="1:11" x14ac:dyDescent="0.25">
      <c r="A35" s="148">
        <v>19</v>
      </c>
      <c r="B35" s="257"/>
      <c r="C35" s="252" t="s">
        <v>149</v>
      </c>
      <c r="D35" s="259" t="s">
        <v>150</v>
      </c>
      <c r="E35" s="299" t="s">
        <v>138</v>
      </c>
      <c r="F35" s="299">
        <v>24</v>
      </c>
      <c r="G35" s="260">
        <v>46.72</v>
      </c>
      <c r="H35" s="192">
        <v>1121.28</v>
      </c>
      <c r="J35" s="298"/>
      <c r="K35" s="4"/>
    </row>
    <row r="36" spans="1:11" ht="25.5" customHeight="1" x14ac:dyDescent="0.25">
      <c r="A36" s="148">
        <v>20</v>
      </c>
      <c r="B36" s="257"/>
      <c r="C36" s="252" t="s">
        <v>151</v>
      </c>
      <c r="D36" s="259" t="s">
        <v>152</v>
      </c>
      <c r="E36" s="299" t="s">
        <v>153</v>
      </c>
      <c r="F36" s="299">
        <v>2.1999999999999999E-2</v>
      </c>
      <c r="G36" s="181">
        <v>31957.37</v>
      </c>
      <c r="H36" s="192">
        <v>703.06</v>
      </c>
      <c r="J36" s="298"/>
      <c r="K36" s="4"/>
    </row>
    <row r="37" spans="1:11" x14ac:dyDescent="0.25">
      <c r="A37" s="148">
        <v>21</v>
      </c>
      <c r="B37" s="301"/>
      <c r="C37" s="252" t="s">
        <v>154</v>
      </c>
      <c r="D37" s="259" t="s">
        <v>155</v>
      </c>
      <c r="E37" s="299" t="s">
        <v>156</v>
      </c>
      <c r="F37" s="299">
        <v>0.05</v>
      </c>
      <c r="G37" s="181">
        <v>10392.39</v>
      </c>
      <c r="H37" s="192">
        <v>519.62</v>
      </c>
      <c r="J37" s="298"/>
      <c r="K37" s="297"/>
    </row>
    <row r="38" spans="1:11" ht="25.5" customHeight="1" x14ac:dyDescent="0.25">
      <c r="A38" s="148">
        <v>22</v>
      </c>
      <c r="B38" s="257"/>
      <c r="C38" s="252" t="s">
        <v>157</v>
      </c>
      <c r="D38" s="259" t="s">
        <v>158</v>
      </c>
      <c r="E38" s="299" t="s">
        <v>153</v>
      </c>
      <c r="F38" s="299">
        <v>0.06</v>
      </c>
      <c r="G38" s="181">
        <v>5299.6</v>
      </c>
      <c r="H38" s="192">
        <v>317.98</v>
      </c>
      <c r="J38" s="298"/>
      <c r="K38" s="4"/>
    </row>
    <row r="39" spans="1:11" x14ac:dyDescent="0.25">
      <c r="A39" s="148">
        <v>23</v>
      </c>
      <c r="B39" s="257"/>
      <c r="C39" s="252" t="s">
        <v>159</v>
      </c>
      <c r="D39" s="259" t="s">
        <v>160</v>
      </c>
      <c r="E39" s="252" t="s">
        <v>144</v>
      </c>
      <c r="F39" s="299">
        <v>0.09</v>
      </c>
      <c r="G39" s="181">
        <v>3516</v>
      </c>
      <c r="H39" s="192">
        <v>316.44</v>
      </c>
      <c r="J39" s="298"/>
      <c r="K39" s="4"/>
    </row>
    <row r="40" spans="1:11" x14ac:dyDescent="0.25">
      <c r="A40" s="148">
        <v>24</v>
      </c>
      <c r="B40" s="257"/>
      <c r="C40" s="252" t="s">
        <v>161</v>
      </c>
      <c r="D40" s="259" t="s">
        <v>162</v>
      </c>
      <c r="E40" s="252" t="s">
        <v>163</v>
      </c>
      <c r="F40" s="299">
        <v>3</v>
      </c>
      <c r="G40" s="260">
        <v>101.1</v>
      </c>
      <c r="H40" s="192">
        <v>303.3</v>
      </c>
      <c r="J40" s="298"/>
      <c r="K40" s="4"/>
    </row>
    <row r="41" spans="1:11" ht="25.5" customHeight="1" x14ac:dyDescent="0.25">
      <c r="A41" s="148">
        <v>25</v>
      </c>
      <c r="B41" s="257"/>
      <c r="C41" s="252" t="s">
        <v>164</v>
      </c>
      <c r="D41" s="259" t="s">
        <v>165</v>
      </c>
      <c r="E41" s="299" t="s">
        <v>153</v>
      </c>
      <c r="F41" s="299">
        <v>4.4350000000000001E-2</v>
      </c>
      <c r="G41" s="181">
        <v>5390.19</v>
      </c>
      <c r="H41" s="192">
        <v>239.05</v>
      </c>
      <c r="J41" s="298"/>
      <c r="K41" s="4"/>
    </row>
    <row r="42" spans="1:11" x14ac:dyDescent="0.25">
      <c r="A42" s="148">
        <v>26</v>
      </c>
      <c r="B42" s="257"/>
      <c r="C42" s="252" t="s">
        <v>166</v>
      </c>
      <c r="D42" s="259" t="s">
        <v>167</v>
      </c>
      <c r="E42" s="252" t="s">
        <v>144</v>
      </c>
      <c r="F42" s="299">
        <v>0.09</v>
      </c>
      <c r="G42" s="181">
        <v>2089</v>
      </c>
      <c r="H42" s="192">
        <v>188.01</v>
      </c>
      <c r="J42" s="298"/>
      <c r="K42" s="4"/>
    </row>
    <row r="43" spans="1:11" ht="25.5" customHeight="1" x14ac:dyDescent="0.25">
      <c r="A43" s="148">
        <v>27</v>
      </c>
      <c r="B43" s="257"/>
      <c r="C43" s="252" t="s">
        <v>168</v>
      </c>
      <c r="D43" s="259" t="s">
        <v>169</v>
      </c>
      <c r="E43" s="252" t="s">
        <v>144</v>
      </c>
      <c r="F43" s="299">
        <v>0.03</v>
      </c>
      <c r="G43" s="181">
        <v>3611.54</v>
      </c>
      <c r="H43" s="192">
        <v>108.35</v>
      </c>
      <c r="J43" s="298"/>
      <c r="K43" s="4"/>
    </row>
    <row r="44" spans="1:11" ht="25.5" customHeight="1" x14ac:dyDescent="0.25">
      <c r="A44" s="148">
        <v>28</v>
      </c>
      <c r="B44" s="257"/>
      <c r="C44" s="252" t="s">
        <v>170</v>
      </c>
      <c r="D44" s="259" t="s">
        <v>171</v>
      </c>
      <c r="E44" s="252" t="s">
        <v>153</v>
      </c>
      <c r="F44" s="299">
        <v>1.6E-2</v>
      </c>
      <c r="G44" s="181">
        <v>6726.18</v>
      </c>
      <c r="H44" s="192">
        <v>107.62</v>
      </c>
      <c r="J44" s="298"/>
      <c r="K44" s="4"/>
    </row>
    <row r="45" spans="1:11" x14ac:dyDescent="0.25">
      <c r="A45" s="148">
        <v>29</v>
      </c>
      <c r="B45" s="257"/>
      <c r="C45" s="252" t="s">
        <v>172</v>
      </c>
      <c r="D45" s="259" t="s">
        <v>173</v>
      </c>
      <c r="E45" s="252" t="s">
        <v>138</v>
      </c>
      <c r="F45" s="299">
        <v>6</v>
      </c>
      <c r="G45" s="260">
        <v>12.53</v>
      </c>
      <c r="H45" s="192">
        <v>75.180000000000007</v>
      </c>
      <c r="J45" s="298"/>
      <c r="K45" s="4"/>
    </row>
    <row r="46" spans="1:11" ht="25.5" customHeight="1" x14ac:dyDescent="0.25">
      <c r="A46" s="148">
        <v>30</v>
      </c>
      <c r="B46" s="257"/>
      <c r="C46" s="252" t="s">
        <v>174</v>
      </c>
      <c r="D46" s="259" t="s">
        <v>175</v>
      </c>
      <c r="E46" s="299" t="s">
        <v>138</v>
      </c>
      <c r="F46" s="299">
        <v>4</v>
      </c>
      <c r="G46" s="260">
        <v>18.64</v>
      </c>
      <c r="H46" s="192">
        <v>74.56</v>
      </c>
      <c r="J46" s="298"/>
      <c r="K46" s="4"/>
    </row>
    <row r="47" spans="1:11" ht="25.5" customHeight="1" x14ac:dyDescent="0.25">
      <c r="A47" s="148">
        <v>31</v>
      </c>
      <c r="B47" s="257"/>
      <c r="C47" s="252" t="s">
        <v>176</v>
      </c>
      <c r="D47" s="259" t="s">
        <v>177</v>
      </c>
      <c r="E47" s="299" t="s">
        <v>153</v>
      </c>
      <c r="F47" s="299">
        <v>3.0000000000000001E-3</v>
      </c>
      <c r="G47" s="181">
        <v>13722.4</v>
      </c>
      <c r="H47" s="192">
        <v>41.17</v>
      </c>
      <c r="J47" s="298"/>
      <c r="K47" s="4"/>
    </row>
    <row r="48" spans="1:11" x14ac:dyDescent="0.25">
      <c r="A48" s="148">
        <v>32</v>
      </c>
      <c r="B48" s="257"/>
      <c r="C48" s="252" t="s">
        <v>178</v>
      </c>
      <c r="D48" s="259" t="s">
        <v>179</v>
      </c>
      <c r="E48" s="299" t="s">
        <v>138</v>
      </c>
      <c r="F48" s="299">
        <v>3</v>
      </c>
      <c r="G48" s="260">
        <v>8.6</v>
      </c>
      <c r="H48" s="192">
        <v>25.8</v>
      </c>
      <c r="J48" s="298"/>
      <c r="K48" s="4"/>
    </row>
    <row r="49" spans="1:11" x14ac:dyDescent="0.25">
      <c r="A49" s="148">
        <v>33</v>
      </c>
      <c r="B49" s="257"/>
      <c r="C49" s="258" t="s">
        <v>180</v>
      </c>
      <c r="D49" s="259" t="s">
        <v>181</v>
      </c>
      <c r="E49" s="299" t="s">
        <v>153</v>
      </c>
      <c r="F49" s="299">
        <v>1.2999999999999999E-3</v>
      </c>
      <c r="G49" s="300">
        <v>10315.01</v>
      </c>
      <c r="H49" s="192">
        <v>13.41</v>
      </c>
      <c r="J49" s="298"/>
      <c r="K49" s="4"/>
    </row>
    <row r="50" spans="1:11" ht="25.5" customHeight="1" x14ac:dyDescent="0.25">
      <c r="A50" s="148">
        <v>34</v>
      </c>
      <c r="B50" s="257"/>
      <c r="C50" s="258" t="s">
        <v>182</v>
      </c>
      <c r="D50" s="259" t="s">
        <v>183</v>
      </c>
      <c r="E50" s="299" t="s">
        <v>138</v>
      </c>
      <c r="F50" s="299">
        <v>0.1394</v>
      </c>
      <c r="G50" s="300">
        <v>88.14</v>
      </c>
      <c r="H50" s="192">
        <v>12.29</v>
      </c>
      <c r="J50" s="298"/>
      <c r="K50" s="4"/>
    </row>
    <row r="51" spans="1:11" x14ac:dyDescent="0.25">
      <c r="A51" s="148">
        <v>35</v>
      </c>
      <c r="B51" s="257"/>
      <c r="C51" s="258" t="s">
        <v>184</v>
      </c>
      <c r="D51" s="259" t="s">
        <v>185</v>
      </c>
      <c r="E51" s="299" t="s">
        <v>186</v>
      </c>
      <c r="F51" s="299">
        <v>0.6341</v>
      </c>
      <c r="G51" s="304">
        <v>14.4</v>
      </c>
      <c r="H51" s="192">
        <v>9.1300000000000008</v>
      </c>
      <c r="J51" s="298"/>
      <c r="K51" s="4"/>
    </row>
    <row r="52" spans="1:11" x14ac:dyDescent="0.25">
      <c r="A52" s="148">
        <v>36</v>
      </c>
      <c r="B52" s="257"/>
      <c r="C52" s="258" t="s">
        <v>187</v>
      </c>
      <c r="D52" s="259" t="s">
        <v>188</v>
      </c>
      <c r="E52" s="299" t="s">
        <v>153</v>
      </c>
      <c r="F52" s="299">
        <v>8.9999999999999998E-4</v>
      </c>
      <c r="G52" s="300">
        <v>9550.01</v>
      </c>
      <c r="H52" s="192">
        <v>8.6</v>
      </c>
      <c r="J52" s="298"/>
      <c r="K52" s="4"/>
    </row>
    <row r="53" spans="1:11" x14ac:dyDescent="0.25">
      <c r="A53" s="148">
        <v>37</v>
      </c>
      <c r="B53" s="257"/>
      <c r="C53" s="258" t="s">
        <v>189</v>
      </c>
      <c r="D53" s="259" t="s">
        <v>190</v>
      </c>
      <c r="E53" s="299" t="s">
        <v>153</v>
      </c>
      <c r="F53" s="299">
        <v>5.9999999999999995E-4</v>
      </c>
      <c r="G53" s="300">
        <v>6667</v>
      </c>
      <c r="H53" s="192">
        <v>4</v>
      </c>
      <c r="J53" s="298"/>
      <c r="K53" s="4"/>
    </row>
    <row r="54" spans="1:11" x14ac:dyDescent="0.25">
      <c r="A54" s="148">
        <v>38</v>
      </c>
      <c r="B54" s="257"/>
      <c r="C54" s="258" t="s">
        <v>191</v>
      </c>
      <c r="D54" s="259" t="s">
        <v>192</v>
      </c>
      <c r="E54" s="299" t="s">
        <v>153</v>
      </c>
      <c r="F54" s="299">
        <v>2.9999999999999997E-4</v>
      </c>
      <c r="G54" s="300">
        <v>9661.5</v>
      </c>
      <c r="H54" s="192">
        <v>2.9</v>
      </c>
      <c r="J54" s="298"/>
      <c r="K54" s="4"/>
    </row>
    <row r="55" spans="1:11" x14ac:dyDescent="0.25">
      <c r="A55" s="148">
        <v>39</v>
      </c>
      <c r="B55" s="257"/>
      <c r="C55" s="258" t="s">
        <v>193</v>
      </c>
      <c r="D55" s="259" t="s">
        <v>194</v>
      </c>
      <c r="E55" s="299" t="s">
        <v>186</v>
      </c>
      <c r="F55" s="299">
        <v>0.18210000000000001</v>
      </c>
      <c r="G55" s="300">
        <v>1.82</v>
      </c>
      <c r="H55" s="192">
        <v>0.33</v>
      </c>
      <c r="J55" s="298"/>
      <c r="K55" s="4"/>
    </row>
    <row r="56" spans="1:11" x14ac:dyDescent="0.25">
      <c r="A56" s="148">
        <v>40</v>
      </c>
      <c r="B56" s="257"/>
      <c r="C56" s="252" t="s">
        <v>195</v>
      </c>
      <c r="D56" s="259" t="s">
        <v>196</v>
      </c>
      <c r="E56" s="299" t="s">
        <v>153</v>
      </c>
      <c r="F56" s="299">
        <v>4.0000000000000001E-3</v>
      </c>
      <c r="G56" s="260">
        <v>9.5</v>
      </c>
      <c r="H56" s="192">
        <v>0.04</v>
      </c>
      <c r="J56" s="298"/>
      <c r="K56" s="4"/>
    </row>
    <row r="57" spans="1:11" x14ac:dyDescent="0.25">
      <c r="J57" s="314"/>
    </row>
    <row r="59" spans="1:11" x14ac:dyDescent="0.25">
      <c r="B59" s="198" t="s">
        <v>76</v>
      </c>
    </row>
    <row r="60" spans="1:11" x14ac:dyDescent="0.25">
      <c r="B60" s="199" t="s">
        <v>77</v>
      </c>
    </row>
    <row r="62" spans="1:11" x14ac:dyDescent="0.25">
      <c r="B62" s="198" t="s">
        <v>78</v>
      </c>
    </row>
    <row r="63" spans="1:11" x14ac:dyDescent="0.25">
      <c r="B63" s="199" t="s">
        <v>79</v>
      </c>
    </row>
  </sheetData>
  <mergeCells count="16">
    <mergeCell ref="A18:E18"/>
    <mergeCell ref="A30:E30"/>
    <mergeCell ref="A12:E12"/>
    <mergeCell ref="A20:E20"/>
    <mergeCell ref="A3:H3"/>
    <mergeCell ref="A4:H4"/>
    <mergeCell ref="A7:H7"/>
    <mergeCell ref="A9:A10"/>
    <mergeCell ref="B9:B10"/>
    <mergeCell ref="C9:C10"/>
    <mergeCell ref="D9:D10"/>
    <mergeCell ref="E9:E10"/>
    <mergeCell ref="F9:F10"/>
    <mergeCell ref="G9:H9"/>
    <mergeCell ref="A26:E26"/>
    <mergeCell ref="C5:H5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54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0"/>
  <sheetViews>
    <sheetView view="pageBreakPreview" topLeftCell="A29" workbookViewId="0">
      <selection activeCell="D44" sqref="D44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9.140625" style="52" customWidth="1"/>
    <col min="7" max="7" width="13.42578125" style="52" customWidth="1"/>
    <col min="8" max="11" width="9.140625" style="52" customWidth="1"/>
    <col min="12" max="12" width="13.5703125" style="52" customWidth="1"/>
    <col min="13" max="13" width="9.140625" style="52" customWidth="1"/>
  </cols>
  <sheetData>
    <row r="1" spans="2:5" x14ac:dyDescent="0.25">
      <c r="B1" s="214"/>
      <c r="C1" s="214"/>
      <c r="D1" s="214"/>
      <c r="E1" s="214"/>
    </row>
    <row r="2" spans="2:5" x14ac:dyDescent="0.25">
      <c r="B2" s="214"/>
      <c r="C2" s="214"/>
      <c r="D2" s="214"/>
      <c r="E2" s="225" t="s">
        <v>197</v>
      </c>
    </row>
    <row r="3" spans="2:5" x14ac:dyDescent="0.25">
      <c r="B3" s="214"/>
      <c r="C3" s="214"/>
      <c r="D3" s="214"/>
      <c r="E3" s="214"/>
    </row>
    <row r="4" spans="2:5" x14ac:dyDescent="0.25">
      <c r="B4" s="214"/>
      <c r="C4" s="214"/>
      <c r="D4" s="214"/>
      <c r="E4" s="214"/>
    </row>
    <row r="5" spans="2:5" x14ac:dyDescent="0.25">
      <c r="B5" s="367" t="s">
        <v>198</v>
      </c>
      <c r="C5" s="367"/>
      <c r="D5" s="367"/>
      <c r="E5" s="367"/>
    </row>
    <row r="6" spans="2:5" x14ac:dyDescent="0.25">
      <c r="B6" s="224"/>
      <c r="C6" s="214"/>
      <c r="D6" s="214"/>
      <c r="E6" s="214"/>
    </row>
    <row r="7" spans="2:5" ht="25.5" customHeight="1" x14ac:dyDescent="0.25">
      <c r="B7" s="393" t="s">
        <v>199</v>
      </c>
      <c r="C7" s="393"/>
      <c r="D7" s="393"/>
      <c r="E7" s="393"/>
    </row>
    <row r="8" spans="2:5" x14ac:dyDescent="0.25">
      <c r="B8" s="394" t="s">
        <v>50</v>
      </c>
      <c r="C8" s="394"/>
      <c r="D8" s="394"/>
      <c r="E8" s="394"/>
    </row>
    <row r="9" spans="2:5" x14ac:dyDescent="0.25">
      <c r="B9" s="224"/>
      <c r="C9" s="214"/>
      <c r="D9" s="214"/>
      <c r="E9" s="214"/>
    </row>
    <row r="10" spans="2:5" ht="51" customHeight="1" x14ac:dyDescent="0.25">
      <c r="B10" s="223" t="s">
        <v>200</v>
      </c>
      <c r="C10" s="223" t="s">
        <v>201</v>
      </c>
      <c r="D10" s="223" t="s">
        <v>202</v>
      </c>
      <c r="E10" s="223" t="s">
        <v>203</v>
      </c>
    </row>
    <row r="11" spans="2:5" x14ac:dyDescent="0.25">
      <c r="B11" s="216" t="s">
        <v>204</v>
      </c>
      <c r="C11" s="217">
        <f>'Прил.5 Расчет СМР и ОБ'!J14</f>
        <v>68439</v>
      </c>
      <c r="D11" s="218">
        <f t="shared" ref="D11:D18" si="0">C11/$C$24</f>
        <v>0.14502352778361036</v>
      </c>
      <c r="E11" s="218">
        <f t="shared" ref="E11:E18" si="1">C11/$C$40</f>
        <v>8.0797695236387284E-3</v>
      </c>
    </row>
    <row r="12" spans="2:5" x14ac:dyDescent="0.25">
      <c r="B12" s="216" t="s">
        <v>205</v>
      </c>
      <c r="C12" s="217">
        <f>'Прил.5 Расчет СМР и ОБ'!J22</f>
        <v>41862.170000000006</v>
      </c>
      <c r="D12" s="218">
        <f t="shared" si="0"/>
        <v>8.8706725318564286E-2</v>
      </c>
      <c r="E12" s="218">
        <f t="shared" si="1"/>
        <v>4.9421628802201007E-3</v>
      </c>
    </row>
    <row r="13" spans="2:5" x14ac:dyDescent="0.25">
      <c r="B13" s="216" t="s">
        <v>206</v>
      </c>
      <c r="C13" s="217">
        <f>'Прил.5 Расчет СМР и ОБ'!J25</f>
        <v>1173.51</v>
      </c>
      <c r="D13" s="218">
        <f t="shared" si="0"/>
        <v>2.4866897542241209E-3</v>
      </c>
      <c r="E13" s="218">
        <f t="shared" si="1"/>
        <v>1.3854221034330255E-4</v>
      </c>
    </row>
    <row r="14" spans="2:5" x14ac:dyDescent="0.25">
      <c r="B14" s="216" t="s">
        <v>207</v>
      </c>
      <c r="C14" s="217">
        <f>C13+C12</f>
        <v>43035.680000000008</v>
      </c>
      <c r="D14" s="218">
        <f t="shared" si="0"/>
        <v>9.1193415072788414E-2</v>
      </c>
      <c r="E14" s="218">
        <f t="shared" si="1"/>
        <v>5.0807050905634036E-3</v>
      </c>
    </row>
    <row r="15" spans="2:5" x14ac:dyDescent="0.25">
      <c r="B15" s="216" t="s">
        <v>208</v>
      </c>
      <c r="C15" s="217">
        <f>'Прил.5 Расчет СМР и ОБ'!J16</f>
        <v>20719.689999999999</v>
      </c>
      <c r="D15" s="218">
        <f t="shared" si="0"/>
        <v>4.3905412679653325E-2</v>
      </c>
      <c r="E15" s="218">
        <f t="shared" si="1"/>
        <v>2.4461245751872776E-3</v>
      </c>
    </row>
    <row r="16" spans="2:5" x14ac:dyDescent="0.25">
      <c r="B16" s="216" t="s">
        <v>209</v>
      </c>
      <c r="C16" s="217">
        <f>'Прил.5 Расчет СМР и ОБ'!J43</f>
        <v>160170.45000000001</v>
      </c>
      <c r="D16" s="218">
        <f t="shared" si="0"/>
        <v>0.33940419505966446</v>
      </c>
      <c r="E16" s="218">
        <f t="shared" si="1"/>
        <v>1.8909398449677827E-2</v>
      </c>
    </row>
    <row r="17" spans="2:7" x14ac:dyDescent="0.25">
      <c r="B17" s="216" t="s">
        <v>210</v>
      </c>
      <c r="C17" s="217">
        <f>'Прил.5 Расчет СМР и ОБ'!J65</f>
        <v>23737.190000000002</v>
      </c>
      <c r="D17" s="218">
        <f t="shared" si="0"/>
        <v>5.0299551914403169E-2</v>
      </c>
      <c r="E17" s="218">
        <f t="shared" si="1"/>
        <v>2.8023645047242363E-3</v>
      </c>
      <c r="G17" s="222"/>
    </row>
    <row r="18" spans="2:7" x14ac:dyDescent="0.25">
      <c r="B18" s="216" t="s">
        <v>211</v>
      </c>
      <c r="C18" s="217">
        <f>C17+C16</f>
        <v>183907.64</v>
      </c>
      <c r="D18" s="218">
        <f t="shared" si="0"/>
        <v>0.38970374697406762</v>
      </c>
      <c r="E18" s="218">
        <f t="shared" si="1"/>
        <v>2.1711762954402063E-2</v>
      </c>
    </row>
    <row r="19" spans="2:7" x14ac:dyDescent="0.25">
      <c r="B19" s="216" t="s">
        <v>212</v>
      </c>
      <c r="C19" s="217">
        <f>C18+C14+C11</f>
        <v>295382.32</v>
      </c>
      <c r="D19" s="218"/>
      <c r="E19" s="216"/>
    </row>
    <row r="20" spans="2:7" x14ac:dyDescent="0.25">
      <c r="B20" s="216" t="s">
        <v>213</v>
      </c>
      <c r="C20" s="217">
        <f>ROUND(C21*(C11+C15),2)</f>
        <v>64194.26</v>
      </c>
      <c r="D20" s="218">
        <f>C20/$C$24</f>
        <v>0.13602884391441003</v>
      </c>
      <c r="E20" s="218">
        <f>C20/$C$40</f>
        <v>7.5786441289402342E-3</v>
      </c>
    </row>
    <row r="21" spans="2:7" x14ac:dyDescent="0.25">
      <c r="B21" s="216" t="s">
        <v>214</v>
      </c>
      <c r="C21" s="221">
        <f>'Прил.5 Расчет СМР и ОБ'!D69</f>
        <v>0.72</v>
      </c>
      <c r="D21" s="218"/>
      <c r="E21" s="216"/>
    </row>
    <row r="22" spans="2:7" x14ac:dyDescent="0.25">
      <c r="B22" s="216" t="s">
        <v>215</v>
      </c>
      <c r="C22" s="217">
        <f>ROUND(C23*(C11+C15),2)</f>
        <v>112339.95</v>
      </c>
      <c r="D22" s="218">
        <f>C22/$C$24</f>
        <v>0.23805046625512352</v>
      </c>
      <c r="E22" s="218">
        <f>C22/$C$40</f>
        <v>1.3262626635355551E-2</v>
      </c>
    </row>
    <row r="23" spans="2:7" x14ac:dyDescent="0.25">
      <c r="B23" s="216" t="s">
        <v>216</v>
      </c>
      <c r="C23" s="221">
        <f>'Прил.5 Расчет СМР и ОБ'!D68</f>
        <v>1.26</v>
      </c>
      <c r="D23" s="218"/>
      <c r="E23" s="216"/>
    </row>
    <row r="24" spans="2:7" x14ac:dyDescent="0.25">
      <c r="B24" s="216" t="s">
        <v>217</v>
      </c>
      <c r="C24" s="217">
        <f>C19+C20+C22</f>
        <v>471916.53</v>
      </c>
      <c r="D24" s="218">
        <f>C24/$C$24</f>
        <v>1</v>
      </c>
      <c r="E24" s="218">
        <f>C24/$C$40</f>
        <v>5.571350833289998E-2</v>
      </c>
    </row>
    <row r="25" spans="2:7" ht="25.5" customHeight="1" x14ac:dyDescent="0.25">
      <c r="B25" s="216" t="s">
        <v>218</v>
      </c>
      <c r="C25" s="217">
        <f>'Прил.5 Расчет СМР и ОБ'!J34</f>
        <v>7267387.6800000006</v>
      </c>
      <c r="D25" s="218"/>
      <c r="E25" s="218">
        <f>C25/$C$40</f>
        <v>0.85797304889509729</v>
      </c>
    </row>
    <row r="26" spans="2:7" ht="25.5" customHeight="1" x14ac:dyDescent="0.25">
      <c r="B26" s="216" t="s">
        <v>219</v>
      </c>
      <c r="C26" s="217">
        <f>'Прил.5 Расчет СМР и ОБ'!J35</f>
        <v>7267387.6800000006</v>
      </c>
      <c r="D26" s="218"/>
      <c r="E26" s="218">
        <f>C26/$C$40</f>
        <v>0.85797304889509729</v>
      </c>
    </row>
    <row r="27" spans="2:7" x14ac:dyDescent="0.25">
      <c r="B27" s="216" t="s">
        <v>220</v>
      </c>
      <c r="C27" s="220">
        <f>C24+C25</f>
        <v>7739304.2100000009</v>
      </c>
      <c r="D27" s="218"/>
      <c r="E27" s="218">
        <f>C27/$C$40</f>
        <v>0.9136865572279973</v>
      </c>
      <c r="G27" s="219"/>
    </row>
    <row r="28" spans="2:7" ht="33" customHeight="1" x14ac:dyDescent="0.25">
      <c r="B28" s="216" t="s">
        <v>221</v>
      </c>
      <c r="C28" s="216"/>
      <c r="D28" s="216"/>
      <c r="E28" s="216"/>
    </row>
    <row r="29" spans="2:7" ht="25.5" customHeight="1" x14ac:dyDescent="0.25">
      <c r="B29" s="216" t="s">
        <v>222</v>
      </c>
      <c r="C29" s="220">
        <f>ROUND(C24*2.5%,2)</f>
        <v>11797.91</v>
      </c>
      <c r="D29" s="216"/>
      <c r="E29" s="218">
        <f t="shared" ref="E29:E38" si="2">C29/$C$40</f>
        <v>1.3928373246340914E-3</v>
      </c>
    </row>
    <row r="30" spans="2:7" ht="38.25" customHeight="1" x14ac:dyDescent="0.25">
      <c r="B30" s="216" t="s">
        <v>223</v>
      </c>
      <c r="C30" s="220">
        <f>ROUND((C24+C29)*1.9%,2)</f>
        <v>9190.57</v>
      </c>
      <c r="D30" s="216"/>
      <c r="E30" s="218">
        <f t="shared" si="2"/>
        <v>1.0850200527603908E-3</v>
      </c>
    </row>
    <row r="31" spans="2:7" x14ac:dyDescent="0.25">
      <c r="B31" s="315" t="s">
        <v>224</v>
      </c>
      <c r="C31" s="316">
        <v>275376.42</v>
      </c>
      <c r="D31" s="216"/>
      <c r="E31" s="218">
        <f t="shared" si="2"/>
        <v>3.2510381593020617E-2</v>
      </c>
    </row>
    <row r="32" spans="2:7" ht="25.5" customHeight="1" x14ac:dyDescent="0.25">
      <c r="B32" s="216" t="s">
        <v>225</v>
      </c>
      <c r="C32" s="220">
        <v>0</v>
      </c>
      <c r="D32" s="216"/>
      <c r="E32" s="218">
        <f t="shared" si="2"/>
        <v>0</v>
      </c>
    </row>
    <row r="33" spans="2:12" ht="25.5" customHeight="1" x14ac:dyDescent="0.25">
      <c r="B33" s="216" t="s">
        <v>226</v>
      </c>
      <c r="C33" s="220">
        <f>ROUND(C27*0%,2)</f>
        <v>0</v>
      </c>
      <c r="D33" s="216"/>
      <c r="E33" s="218">
        <f t="shared" si="2"/>
        <v>0</v>
      </c>
    </row>
    <row r="34" spans="2:12" ht="51" customHeight="1" x14ac:dyDescent="0.25">
      <c r="B34" s="216" t="s">
        <v>227</v>
      </c>
      <c r="C34" s="220">
        <v>0</v>
      </c>
      <c r="D34" s="216"/>
      <c r="E34" s="218">
        <f t="shared" si="2"/>
        <v>0</v>
      </c>
    </row>
    <row r="35" spans="2:12" ht="76.5" customHeight="1" x14ac:dyDescent="0.25">
      <c r="B35" s="216" t="s">
        <v>228</v>
      </c>
      <c r="C35" s="220">
        <f>ROUND(C27*0%,2)</f>
        <v>0</v>
      </c>
      <c r="D35" s="216"/>
      <c r="E35" s="218">
        <f t="shared" si="2"/>
        <v>0</v>
      </c>
    </row>
    <row r="36" spans="2:12" ht="25.5" customHeight="1" x14ac:dyDescent="0.25">
      <c r="B36" s="216" t="s">
        <v>229</v>
      </c>
      <c r="C36" s="220">
        <f>ROUND((C27+C32+C33+C34+C35+C29+C31+C30)*2.14%,2)</f>
        <v>171963.32</v>
      </c>
      <c r="D36" s="216"/>
      <c r="E36" s="218">
        <f t="shared" si="2"/>
        <v>2.0301640762134664E-2</v>
      </c>
      <c r="G36" s="329"/>
      <c r="L36" s="219"/>
    </row>
    <row r="37" spans="2:12" x14ac:dyDescent="0.25">
      <c r="B37" s="216" t="s">
        <v>230</v>
      </c>
      <c r="C37" s="220">
        <f>ROUND((C27+C32+C33+C34+C35+C29+C31+C30)*0.2%,2)</f>
        <v>16071.34</v>
      </c>
      <c r="D37" s="216"/>
      <c r="E37" s="218">
        <f t="shared" si="2"/>
        <v>1.8973498025400143E-3</v>
      </c>
      <c r="G37" s="333"/>
      <c r="L37" s="219"/>
    </row>
    <row r="38" spans="2:12" ht="38.25" customHeight="1" x14ac:dyDescent="0.25">
      <c r="B38" s="216" t="s">
        <v>231</v>
      </c>
      <c r="C38" s="217">
        <f>C27+C32+C33+C34+C35+C29+C31+C30+C36+C37</f>
        <v>8223703.7700000014</v>
      </c>
      <c r="D38" s="216"/>
      <c r="E38" s="218">
        <f t="shared" si="2"/>
        <v>0.97087378676308722</v>
      </c>
    </row>
    <row r="39" spans="2:12" ht="13.5" customHeight="1" x14ac:dyDescent="0.25">
      <c r="B39" s="216" t="s">
        <v>232</v>
      </c>
      <c r="C39" s="217">
        <f>ROUND(C38*3%,2)</f>
        <v>246711.11</v>
      </c>
      <c r="D39" s="216"/>
      <c r="E39" s="218">
        <f>C39/$C$38</f>
        <v>2.9999999623040889E-2</v>
      </c>
    </row>
    <row r="40" spans="2:12" x14ac:dyDescent="0.25">
      <c r="B40" s="216" t="s">
        <v>233</v>
      </c>
      <c r="C40" s="217">
        <f>C39+C38</f>
        <v>8470414.8800000008</v>
      </c>
      <c r="D40" s="216"/>
      <c r="E40" s="218">
        <f>C40/$C$40</f>
        <v>1</v>
      </c>
    </row>
    <row r="41" spans="2:12" x14ac:dyDescent="0.25">
      <c r="B41" s="216" t="s">
        <v>234</v>
      </c>
      <c r="C41" s="217">
        <f>C40/'Прил.5 Расчет СМР и ОБ'!E72</f>
        <v>2823471.6266666669</v>
      </c>
      <c r="D41" s="216"/>
      <c r="E41" s="216"/>
    </row>
    <row r="42" spans="2:12" x14ac:dyDescent="0.25">
      <c r="B42" s="215"/>
      <c r="C42" s="214"/>
      <c r="D42" s="214"/>
      <c r="E42" s="214"/>
    </row>
    <row r="43" spans="2:12" x14ac:dyDescent="0.25">
      <c r="B43" s="215" t="s">
        <v>235</v>
      </c>
      <c r="C43" s="214"/>
      <c r="D43" s="214"/>
      <c r="E43" s="214"/>
    </row>
    <row r="44" spans="2:12" x14ac:dyDescent="0.25">
      <c r="B44" s="215" t="s">
        <v>236</v>
      </c>
      <c r="C44" s="214"/>
      <c r="D44" s="214"/>
      <c r="E44" s="214"/>
    </row>
    <row r="45" spans="2:12" x14ac:dyDescent="0.25">
      <c r="B45" s="215"/>
      <c r="C45" s="214"/>
      <c r="E45" s="214"/>
    </row>
    <row r="46" spans="2:12" x14ac:dyDescent="0.25">
      <c r="B46" s="215" t="s">
        <v>237</v>
      </c>
      <c r="C46" s="214"/>
      <c r="D46" s="214"/>
      <c r="E46" s="214"/>
    </row>
    <row r="47" spans="2:12" x14ac:dyDescent="0.25">
      <c r="B47" s="394" t="s">
        <v>238</v>
      </c>
      <c r="C47" s="394"/>
      <c r="D47" s="214"/>
      <c r="E47" s="214"/>
    </row>
    <row r="49" spans="2:5" x14ac:dyDescent="0.25">
      <c r="B49" s="214"/>
      <c r="C49" s="214"/>
      <c r="D49" s="214"/>
      <c r="E49" s="214"/>
    </row>
    <row r="50" spans="2:5" x14ac:dyDescent="0.25">
      <c r="B50" s="214"/>
      <c r="C50" s="214"/>
      <c r="D50" s="214"/>
      <c r="E50" s="21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8"/>
  <sheetViews>
    <sheetView tabSelected="1" view="pageBreakPreview" zoomScale="115" zoomScaleSheetLayoutView="115" workbookViewId="0">
      <selection activeCell="J15" sqref="J15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3.5703125" style="14" customWidth="1"/>
    <col min="5" max="5" width="12.7109375" style="14" customWidth="1"/>
    <col min="6" max="6" width="14.570312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13.85546875" style="14" customWidth="1"/>
    <col min="13" max="13" width="9.140625" style="5"/>
  </cols>
  <sheetData>
    <row r="1" spans="1:14" s="169" customFormat="1" x14ac:dyDescent="0.25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4" s="169" customFormat="1" ht="15.75" customHeight="1" x14ac:dyDescent="0.25">
      <c r="A2" s="168"/>
      <c r="B2" s="168"/>
      <c r="C2" s="168"/>
      <c r="D2" s="168"/>
      <c r="E2" s="168"/>
      <c r="F2" s="168"/>
      <c r="G2" s="168"/>
      <c r="H2" s="395" t="s">
        <v>239</v>
      </c>
      <c r="I2" s="395"/>
      <c r="J2" s="395"/>
      <c r="K2" s="168"/>
      <c r="L2" s="168"/>
      <c r="M2" s="168"/>
      <c r="N2" s="168"/>
    </row>
    <row r="3" spans="1:14" s="169" customFormat="1" x14ac:dyDescent="0.25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</row>
    <row r="4" spans="1:14" s="171" customFormat="1" ht="12.75" customHeight="1" x14ac:dyDescent="0.2">
      <c r="A4" s="367" t="s">
        <v>240</v>
      </c>
      <c r="B4" s="367"/>
      <c r="C4" s="367"/>
      <c r="D4" s="367"/>
      <c r="E4" s="367"/>
      <c r="F4" s="367"/>
      <c r="G4" s="367"/>
      <c r="H4" s="367"/>
      <c r="I4" s="367"/>
      <c r="J4" s="367"/>
    </row>
    <row r="5" spans="1:14" s="171" customFormat="1" ht="12.75" customHeight="1" x14ac:dyDescent="0.2">
      <c r="A5" s="170"/>
      <c r="B5" s="170"/>
      <c r="C5" s="172"/>
      <c r="D5" s="170"/>
      <c r="E5" s="170"/>
      <c r="F5" s="170"/>
      <c r="G5" s="170"/>
      <c r="H5" s="170"/>
      <c r="I5" s="170"/>
      <c r="J5" s="170"/>
    </row>
    <row r="6" spans="1:14" s="171" customFormat="1" ht="12.75" customHeight="1" x14ac:dyDescent="0.2">
      <c r="A6" s="194" t="s">
        <v>241</v>
      </c>
      <c r="B6" s="193"/>
      <c r="C6" s="193"/>
      <c r="D6" s="370" t="s">
        <v>242</v>
      </c>
      <c r="E6" s="370"/>
      <c r="F6" s="370"/>
      <c r="G6" s="370"/>
      <c r="H6" s="370"/>
      <c r="I6" s="370"/>
      <c r="J6" s="370"/>
    </row>
    <row r="7" spans="1:14" s="171" customFormat="1" ht="12.75" customHeight="1" x14ac:dyDescent="0.2">
      <c r="A7" s="370" t="s">
        <v>50</v>
      </c>
      <c r="B7" s="393"/>
      <c r="C7" s="393"/>
      <c r="D7" s="393"/>
      <c r="E7" s="393"/>
      <c r="F7" s="393"/>
      <c r="G7" s="393"/>
      <c r="H7" s="393"/>
      <c r="I7" s="173"/>
      <c r="J7" s="173"/>
    </row>
    <row r="8" spans="1:14" s="4" customFormat="1" ht="13.5" customHeight="1" x14ac:dyDescent="0.2">
      <c r="A8" s="370"/>
      <c r="B8" s="393"/>
      <c r="C8" s="393"/>
      <c r="D8" s="393"/>
      <c r="E8" s="393"/>
      <c r="F8" s="393"/>
      <c r="G8" s="393"/>
      <c r="H8" s="393"/>
    </row>
    <row r="9" spans="1:14" s="169" customFormat="1" ht="27" customHeight="1" x14ac:dyDescent="0.25">
      <c r="A9" s="398" t="s">
        <v>13</v>
      </c>
      <c r="B9" s="398" t="s">
        <v>100</v>
      </c>
      <c r="C9" s="398" t="s">
        <v>200</v>
      </c>
      <c r="D9" s="398" t="s">
        <v>102</v>
      </c>
      <c r="E9" s="399" t="s">
        <v>243</v>
      </c>
      <c r="F9" s="396" t="s">
        <v>104</v>
      </c>
      <c r="G9" s="397"/>
      <c r="H9" s="399" t="s">
        <v>244</v>
      </c>
      <c r="I9" s="396" t="s">
        <v>245</v>
      </c>
      <c r="J9" s="397"/>
      <c r="K9" s="168"/>
      <c r="L9" s="168"/>
      <c r="M9" s="168"/>
      <c r="N9" s="168"/>
    </row>
    <row r="10" spans="1:14" s="169" customFormat="1" ht="28.5" customHeight="1" x14ac:dyDescent="0.25">
      <c r="A10" s="398"/>
      <c r="B10" s="398"/>
      <c r="C10" s="398"/>
      <c r="D10" s="398"/>
      <c r="E10" s="400"/>
      <c r="F10" s="153" t="s">
        <v>246</v>
      </c>
      <c r="G10" s="153" t="s">
        <v>106</v>
      </c>
      <c r="H10" s="400"/>
      <c r="I10" s="153" t="s">
        <v>246</v>
      </c>
      <c r="J10" s="153" t="s">
        <v>106</v>
      </c>
      <c r="K10" s="168"/>
      <c r="L10" s="168"/>
      <c r="M10" s="168"/>
      <c r="N10" s="168"/>
    </row>
    <row r="11" spans="1:14" s="169" customFormat="1" x14ac:dyDescent="0.25">
      <c r="A11" s="153">
        <v>1</v>
      </c>
      <c r="B11" s="153">
        <v>2</v>
      </c>
      <c r="C11" s="153">
        <v>3</v>
      </c>
      <c r="D11" s="153">
        <v>4</v>
      </c>
      <c r="E11" s="153">
        <v>5</v>
      </c>
      <c r="F11" s="153">
        <v>6</v>
      </c>
      <c r="G11" s="153">
        <v>7</v>
      </c>
      <c r="H11" s="153">
        <v>8</v>
      </c>
      <c r="I11" s="174">
        <v>9</v>
      </c>
      <c r="J11" s="174">
        <v>10</v>
      </c>
      <c r="K11" s="168"/>
      <c r="L11" s="168"/>
      <c r="M11" s="168"/>
      <c r="N11" s="168"/>
    </row>
    <row r="12" spans="1:14" x14ac:dyDescent="0.25">
      <c r="A12" s="2"/>
      <c r="B12" s="405" t="s">
        <v>247</v>
      </c>
      <c r="C12" s="401"/>
      <c r="D12" s="398"/>
      <c r="E12" s="402"/>
      <c r="F12" s="403"/>
      <c r="G12" s="403"/>
      <c r="H12" s="406"/>
      <c r="I12" s="179"/>
      <c r="J12" s="179"/>
    </row>
    <row r="13" spans="1:14" ht="25.5" customHeight="1" x14ac:dyDescent="0.25">
      <c r="A13" s="2">
        <v>1</v>
      </c>
      <c r="B13" s="258" t="s">
        <v>248</v>
      </c>
      <c r="C13" s="259" t="s">
        <v>249</v>
      </c>
      <c r="D13" s="196" t="s">
        <v>250</v>
      </c>
      <c r="E13" s="264">
        <f>G13/F13</f>
        <v>157.77127659574467</v>
      </c>
      <c r="F13" s="260">
        <v>9.4</v>
      </c>
      <c r="G13" s="28">
        <v>1483.05</v>
      </c>
      <c r="H13" s="191">
        <f>G13/G14</f>
        <v>1</v>
      </c>
      <c r="I13" s="181">
        <f>ФОТр.тек.!E13</f>
        <v>433.78619657747998</v>
      </c>
      <c r="J13" s="181">
        <f>ROUND(I13*E13,2)</f>
        <v>68439</v>
      </c>
    </row>
    <row r="14" spans="1:14" s="14" customFormat="1" ht="25.5" customHeight="1" x14ac:dyDescent="0.2">
      <c r="A14" s="2"/>
      <c r="B14" s="2"/>
      <c r="C14" s="175" t="s">
        <v>251</v>
      </c>
      <c r="D14" s="2" t="s">
        <v>250</v>
      </c>
      <c r="E14" s="180">
        <f>SUM(E13:E13)</f>
        <v>157.77127659574467</v>
      </c>
      <c r="F14" s="28"/>
      <c r="G14" s="28">
        <f>SUM(G13:G13)</f>
        <v>1483.05</v>
      </c>
      <c r="H14" s="178">
        <f>H13</f>
        <v>1</v>
      </c>
      <c r="I14" s="296"/>
      <c r="J14" s="182">
        <f>SUM(J13:J13)</f>
        <v>68439</v>
      </c>
    </row>
    <row r="15" spans="1:14" s="14" customFormat="1" ht="14.25" customHeight="1" x14ac:dyDescent="0.2">
      <c r="A15" s="2"/>
      <c r="B15" s="401" t="s">
        <v>120</v>
      </c>
      <c r="C15" s="401"/>
      <c r="D15" s="398"/>
      <c r="E15" s="402"/>
      <c r="F15" s="403"/>
      <c r="G15" s="403"/>
      <c r="H15" s="406"/>
      <c r="I15" s="179"/>
      <c r="J15" s="179"/>
    </row>
    <row r="16" spans="1:14" s="14" customFormat="1" ht="14.25" customHeight="1" x14ac:dyDescent="0.2">
      <c r="A16" s="2">
        <v>2</v>
      </c>
      <c r="B16" s="2">
        <v>2</v>
      </c>
      <c r="C16" s="9" t="s">
        <v>120</v>
      </c>
      <c r="D16" s="2" t="s">
        <v>250</v>
      </c>
      <c r="E16" s="247">
        <v>41.75</v>
      </c>
      <c r="F16" s="28">
        <f>G16/E16</f>
        <v>11.205235928143713</v>
      </c>
      <c r="G16" s="261">
        <v>467.8186</v>
      </c>
      <c r="H16" s="178">
        <v>1</v>
      </c>
      <c r="I16" s="181">
        <f>ROUND(F16*Прил.10!$D$11,2)</f>
        <v>496.28</v>
      </c>
      <c r="J16" s="181">
        <f>ROUND(I16*E16,2)</f>
        <v>20719.689999999999</v>
      </c>
    </row>
    <row r="17" spans="1:12" s="14" customFormat="1" ht="14.25" customHeight="1" x14ac:dyDescent="0.2">
      <c r="A17" s="2"/>
      <c r="B17" s="405" t="s">
        <v>121</v>
      </c>
      <c r="C17" s="401"/>
      <c r="D17" s="398"/>
      <c r="E17" s="402"/>
      <c r="F17" s="403"/>
      <c r="G17" s="403"/>
      <c r="H17" s="406"/>
      <c r="I17" s="179"/>
      <c r="J17" s="179"/>
    </row>
    <row r="18" spans="1:12" s="14" customFormat="1" ht="14.25" customHeight="1" x14ac:dyDescent="0.2">
      <c r="A18" s="249"/>
      <c r="B18" s="407" t="s">
        <v>252</v>
      </c>
      <c r="C18" s="407"/>
      <c r="D18" s="399"/>
      <c r="E18" s="408"/>
      <c r="F18" s="409"/>
      <c r="G18" s="409"/>
      <c r="H18" s="410"/>
      <c r="I18" s="265"/>
      <c r="J18" s="265"/>
    </row>
    <row r="19" spans="1:12" s="14" customFormat="1" ht="25.5" customHeight="1" x14ac:dyDescent="0.2">
      <c r="A19" s="196">
        <v>3</v>
      </c>
      <c r="B19" s="258" t="s">
        <v>122</v>
      </c>
      <c r="C19" s="259" t="s">
        <v>123</v>
      </c>
      <c r="D19" s="252" t="s">
        <v>124</v>
      </c>
      <c r="E19" s="252">
        <v>23.41</v>
      </c>
      <c r="F19" s="260">
        <v>82.22</v>
      </c>
      <c r="G19" s="185">
        <f>ROUND(E19*F19,2)</f>
        <v>1924.77</v>
      </c>
      <c r="H19" s="184">
        <f>G19/$G$26</f>
        <v>0.52417626409657969</v>
      </c>
      <c r="I19" s="269">
        <f>ROUND(F19*Прил.10!$D$12,2)</f>
        <v>963.62</v>
      </c>
      <c r="J19" s="269">
        <f>ROUND(I19*E19,2)</f>
        <v>22558.34</v>
      </c>
    </row>
    <row r="20" spans="1:12" s="14" customFormat="1" ht="25.5" customHeight="1" x14ac:dyDescent="0.2">
      <c r="A20" s="196">
        <v>4</v>
      </c>
      <c r="B20" s="258" t="s">
        <v>125</v>
      </c>
      <c r="C20" s="259" t="s">
        <v>126</v>
      </c>
      <c r="D20" s="252" t="s">
        <v>124</v>
      </c>
      <c r="E20" s="252">
        <v>9.99</v>
      </c>
      <c r="F20" s="260">
        <v>111.99</v>
      </c>
      <c r="G20" s="185">
        <f>ROUND(E20*F20,2)</f>
        <v>1118.78</v>
      </c>
      <c r="H20" s="267">
        <f>G20/$G$26</f>
        <v>0.30467947897461589</v>
      </c>
      <c r="I20" s="268">
        <f>ROUND(F20*Прил.10!$D$12,2)</f>
        <v>1312.52</v>
      </c>
      <c r="J20" s="268">
        <f>ROUND(I20*E20,2)</f>
        <v>13112.07</v>
      </c>
    </row>
    <row r="21" spans="1:12" s="14" customFormat="1" ht="25.5" customHeight="1" x14ac:dyDescent="0.2">
      <c r="A21" s="196">
        <v>5</v>
      </c>
      <c r="B21" s="258" t="s">
        <v>127</v>
      </c>
      <c r="C21" s="259" t="s">
        <v>128</v>
      </c>
      <c r="D21" s="252" t="s">
        <v>124</v>
      </c>
      <c r="E21" s="258">
        <v>8.0399999999999991</v>
      </c>
      <c r="F21" s="260">
        <v>65.709999999999994</v>
      </c>
      <c r="G21" s="185">
        <f>ROUND(E21*F21,2)</f>
        <v>528.30999999999995</v>
      </c>
      <c r="H21" s="267">
        <f>G21/$G$26</f>
        <v>0.14387566414941214</v>
      </c>
      <c r="I21" s="268">
        <f>ROUND(F21*Прил.10!$D$12,2)</f>
        <v>770.12</v>
      </c>
      <c r="J21" s="268">
        <f>ROUND(I21*E21,2)</f>
        <v>6191.76</v>
      </c>
    </row>
    <row r="22" spans="1:12" s="14" customFormat="1" ht="14.25" customHeight="1" x14ac:dyDescent="0.2">
      <c r="A22" s="249"/>
      <c r="B22" s="291"/>
      <c r="C22" s="292" t="s">
        <v>253</v>
      </c>
      <c r="D22" s="249"/>
      <c r="E22" s="270"/>
      <c r="F22" s="248"/>
      <c r="G22" s="185">
        <f>SUM(G19:G21)</f>
        <v>3571.86</v>
      </c>
      <c r="H22" s="184">
        <f>G22/G26</f>
        <v>0.97273140722060791</v>
      </c>
      <c r="I22" s="185"/>
      <c r="J22" s="185">
        <f>SUM(J19:J21)</f>
        <v>41862.170000000006</v>
      </c>
    </row>
    <row r="23" spans="1:12" s="14" customFormat="1" ht="38.25" hidden="1" customHeight="1" outlineLevel="1" x14ac:dyDescent="0.2">
      <c r="A23" s="196">
        <v>6</v>
      </c>
      <c r="B23" s="258" t="s">
        <v>129</v>
      </c>
      <c r="C23" s="259" t="s">
        <v>130</v>
      </c>
      <c r="D23" s="252" t="s">
        <v>124</v>
      </c>
      <c r="E23" s="252">
        <v>5.5</v>
      </c>
      <c r="F23" s="260">
        <v>14</v>
      </c>
      <c r="G23" s="185">
        <f>ROUND(E23*F23,2)</f>
        <v>77</v>
      </c>
      <c r="H23" s="184">
        <f>G23/$G$26</f>
        <v>2.0969556017309415E-2</v>
      </c>
      <c r="I23" s="269">
        <f>ROUND(F23*Прил.10!$D$12,2)</f>
        <v>164.08</v>
      </c>
      <c r="J23" s="269">
        <f>ROUND(I23*E23,2)</f>
        <v>902.44</v>
      </c>
    </row>
    <row r="24" spans="1:12" s="14" customFormat="1" ht="25.5" hidden="1" customHeight="1" outlineLevel="1" x14ac:dyDescent="0.2">
      <c r="A24" s="196">
        <v>7</v>
      </c>
      <c r="B24" s="258" t="s">
        <v>131</v>
      </c>
      <c r="C24" s="259" t="s">
        <v>132</v>
      </c>
      <c r="D24" s="252" t="s">
        <v>124</v>
      </c>
      <c r="E24" s="252">
        <v>0.31</v>
      </c>
      <c r="F24" s="260">
        <v>74.61</v>
      </c>
      <c r="G24" s="266">
        <f>ROUND(E24*F24,2)</f>
        <v>23.13</v>
      </c>
      <c r="H24" s="267">
        <f>G24/$G$26</f>
        <v>6.2990367620826843E-3</v>
      </c>
      <c r="I24" s="268">
        <f>ROUND(F24*Прил.10!$D$12,2)</f>
        <v>874.43</v>
      </c>
      <c r="J24" s="268">
        <f>ROUND(I24*E24,2)</f>
        <v>271.07</v>
      </c>
    </row>
    <row r="25" spans="1:12" s="14" customFormat="1" ht="14.25" customHeight="1" collapsed="1" x14ac:dyDescent="0.2">
      <c r="A25" s="2"/>
      <c r="B25" s="2"/>
      <c r="C25" s="9" t="s">
        <v>254</v>
      </c>
      <c r="D25" s="2"/>
      <c r="E25" s="176"/>
      <c r="F25" s="28"/>
      <c r="G25" s="183">
        <f>SUM(G23:G24)</f>
        <v>100.13</v>
      </c>
      <c r="H25" s="184">
        <f>G25/G26</f>
        <v>2.7268592779392097E-2</v>
      </c>
      <c r="I25" s="185"/>
      <c r="J25" s="183">
        <f>SUM(J23:J24)</f>
        <v>1173.51</v>
      </c>
    </row>
    <row r="26" spans="1:12" s="14" customFormat="1" ht="25.5" customHeight="1" x14ac:dyDescent="0.2">
      <c r="A26" s="2"/>
      <c r="B26" s="2"/>
      <c r="C26" s="175" t="s">
        <v>255</v>
      </c>
      <c r="D26" s="2"/>
      <c r="E26" s="176"/>
      <c r="F26" s="28"/>
      <c r="G26" s="28">
        <f>G25+G22</f>
        <v>3671.9900000000002</v>
      </c>
      <c r="H26" s="186">
        <v>1</v>
      </c>
      <c r="I26" s="187"/>
      <c r="J26" s="28">
        <f>J25+J22</f>
        <v>43035.680000000008</v>
      </c>
    </row>
    <row r="27" spans="1:12" s="14" customFormat="1" ht="14.25" customHeight="1" x14ac:dyDescent="0.2">
      <c r="A27" s="2"/>
      <c r="B27" s="405" t="s">
        <v>43</v>
      </c>
      <c r="C27" s="405"/>
      <c r="D27" s="411"/>
      <c r="E27" s="412"/>
      <c r="F27" s="413"/>
      <c r="G27" s="413"/>
      <c r="H27" s="414"/>
      <c r="I27" s="179"/>
      <c r="J27" s="179"/>
    </row>
    <row r="28" spans="1:12" x14ac:dyDescent="0.25">
      <c r="A28" s="232"/>
      <c r="B28" s="407" t="s">
        <v>256</v>
      </c>
      <c r="C28" s="407"/>
      <c r="D28" s="399"/>
      <c r="E28" s="408"/>
      <c r="F28" s="409"/>
      <c r="G28" s="409"/>
      <c r="H28" s="410"/>
      <c r="I28" s="271"/>
      <c r="J28" s="271"/>
      <c r="K28" s="188"/>
      <c r="L28" s="188"/>
    </row>
    <row r="29" spans="1:12" ht="25.5" customHeight="1" x14ac:dyDescent="0.25">
      <c r="A29" s="240">
        <v>8</v>
      </c>
      <c r="B29" s="258" t="s">
        <v>257</v>
      </c>
      <c r="C29" s="259" t="s">
        <v>258</v>
      </c>
      <c r="D29" s="299" t="s">
        <v>135</v>
      </c>
      <c r="E29" s="299">
        <v>3</v>
      </c>
      <c r="F29" s="305">
        <f>ROUND(I29/Прил.10!$D$14,2)</f>
        <v>361685.45</v>
      </c>
      <c r="G29" s="269">
        <f>ROUND(E29*F29,2)</f>
        <v>1085056.3500000001</v>
      </c>
      <c r="H29" s="274">
        <f t="shared" ref="H29:H34" si="0">G29/$G$34</f>
        <v>0.93464853863101471</v>
      </c>
      <c r="I29" s="269">
        <v>2264150.94</v>
      </c>
      <c r="J29" s="269">
        <f>ROUND(I29*E29,2)</f>
        <v>6792452.8200000003</v>
      </c>
      <c r="K29" s="188"/>
      <c r="L29" s="344"/>
    </row>
    <row r="30" spans="1:12" x14ac:dyDescent="0.25">
      <c r="A30" s="275"/>
      <c r="B30" s="278"/>
      <c r="C30" s="279" t="s">
        <v>259</v>
      </c>
      <c r="D30" s="280"/>
      <c r="E30" s="281"/>
      <c r="F30" s="282"/>
      <c r="G30" s="277">
        <f>SUM(G29:G29)</f>
        <v>1085056.3500000001</v>
      </c>
      <c r="H30" s="274">
        <f t="shared" si="0"/>
        <v>0.93464853863101471</v>
      </c>
      <c r="I30" s="276"/>
      <c r="J30" s="277">
        <f>SUM(J29:J29)</f>
        <v>6792452.8200000003</v>
      </c>
      <c r="K30" s="188"/>
      <c r="L30" s="188"/>
    </row>
    <row r="31" spans="1:12" ht="25.5" hidden="1" customHeight="1" outlineLevel="1" x14ac:dyDescent="0.25">
      <c r="A31" s="240">
        <v>9</v>
      </c>
      <c r="B31" s="258" t="s">
        <v>260</v>
      </c>
      <c r="C31" s="259" t="s">
        <v>261</v>
      </c>
      <c r="D31" s="299" t="s">
        <v>135</v>
      </c>
      <c r="E31" s="299">
        <v>3</v>
      </c>
      <c r="F31" s="305">
        <f>ROUND(I31/Прил.10!$D$14,2)</f>
        <v>23245.11</v>
      </c>
      <c r="G31" s="269">
        <f>ROUND(E31*F31,2)</f>
        <v>69735.33</v>
      </c>
      <c r="H31" s="274">
        <f t="shared" si="0"/>
        <v>6.0068792072827885E-2</v>
      </c>
      <c r="I31" s="269">
        <v>145514.4</v>
      </c>
      <c r="J31" s="269">
        <f>ROUND(I31*E31,2)</f>
        <v>436543.2</v>
      </c>
      <c r="K31" s="188"/>
      <c r="L31" s="188"/>
    </row>
    <row r="32" spans="1:12" hidden="1" outlineLevel="1" x14ac:dyDescent="0.25">
      <c r="A32" s="196">
        <v>10</v>
      </c>
      <c r="B32" s="258" t="s">
        <v>262</v>
      </c>
      <c r="C32" s="259" t="s">
        <v>263</v>
      </c>
      <c r="D32" s="299" t="s">
        <v>138</v>
      </c>
      <c r="E32" s="299">
        <v>18</v>
      </c>
      <c r="F32" s="305">
        <f>ROUND(I32/Прил.10!$D$14,2)</f>
        <v>340.71</v>
      </c>
      <c r="G32" s="263">
        <f>E32*F32</f>
        <v>6132.78</v>
      </c>
      <c r="H32" s="274">
        <f t="shared" si="0"/>
        <v>5.2826692961573047E-3</v>
      </c>
      <c r="I32" s="269">
        <v>2132.87</v>
      </c>
      <c r="J32" s="269">
        <f>ROUND(I32*E32,2)</f>
        <v>38391.660000000003</v>
      </c>
      <c r="K32" s="188"/>
      <c r="L32" s="188"/>
    </row>
    <row r="33" spans="1:12" collapsed="1" x14ac:dyDescent="0.25">
      <c r="A33" s="275"/>
      <c r="B33" s="250"/>
      <c r="C33" s="272" t="s">
        <v>264</v>
      </c>
      <c r="D33" s="250"/>
      <c r="E33" s="283"/>
      <c r="F33" s="306"/>
      <c r="G33" s="273">
        <f>SUM(G31:G32)</f>
        <v>75868.11</v>
      </c>
      <c r="H33" s="274">
        <f t="shared" si="0"/>
        <v>6.5351461368985189E-2</v>
      </c>
      <c r="I33" s="276"/>
      <c r="J33" s="277">
        <f>SUM(J31:J32)</f>
        <v>474934.86</v>
      </c>
      <c r="K33" s="188"/>
      <c r="L33" s="188"/>
    </row>
    <row r="34" spans="1:12" x14ac:dyDescent="0.25">
      <c r="A34" s="232"/>
      <c r="B34" s="232"/>
      <c r="C34" s="235" t="s">
        <v>265</v>
      </c>
      <c r="D34" s="232"/>
      <c r="E34" s="236"/>
      <c r="F34" s="237"/>
      <c r="G34" s="238">
        <f>G30+G33</f>
        <v>1160924.4600000002</v>
      </c>
      <c r="H34" s="274">
        <f t="shared" si="0"/>
        <v>1</v>
      </c>
      <c r="I34" s="239"/>
      <c r="J34" s="238">
        <f>J30+J33</f>
        <v>7267387.6800000006</v>
      </c>
      <c r="K34" s="188"/>
      <c r="L34" s="188"/>
    </row>
    <row r="35" spans="1:12" ht="25.5" customHeight="1" x14ac:dyDescent="0.25">
      <c r="A35" s="240"/>
      <c r="B35" s="240"/>
      <c r="C35" s="241" t="s">
        <v>266</v>
      </c>
      <c r="D35" s="240"/>
      <c r="E35" s="242"/>
      <c r="F35" s="243"/>
      <c r="G35" s="245">
        <f>'Прил.6 Расчет ОБ'!G15</f>
        <v>1160924.4600000002</v>
      </c>
      <c r="H35" s="244"/>
      <c r="I35" s="245"/>
      <c r="J35" s="245">
        <f>J34</f>
        <v>7267387.6800000006</v>
      </c>
      <c r="K35" s="188"/>
      <c r="L35" s="188"/>
    </row>
    <row r="36" spans="1:12" s="14" customFormat="1" ht="14.25" customHeight="1" x14ac:dyDescent="0.2">
      <c r="A36" s="196"/>
      <c r="B36" s="405" t="s">
        <v>139</v>
      </c>
      <c r="C36" s="405"/>
      <c r="D36" s="411"/>
      <c r="E36" s="412"/>
      <c r="F36" s="413"/>
      <c r="G36" s="413"/>
      <c r="H36" s="415"/>
      <c r="I36" s="179"/>
      <c r="J36" s="179"/>
    </row>
    <row r="37" spans="1:12" s="14" customFormat="1" ht="14.25" customHeight="1" x14ac:dyDescent="0.2">
      <c r="A37" s="196"/>
      <c r="B37" s="401" t="s">
        <v>267</v>
      </c>
      <c r="C37" s="401"/>
      <c r="D37" s="398"/>
      <c r="E37" s="402"/>
      <c r="F37" s="403"/>
      <c r="G37" s="403"/>
      <c r="H37" s="404"/>
      <c r="I37" s="179"/>
      <c r="J37" s="179"/>
    </row>
    <row r="38" spans="1:12" s="14" customFormat="1" ht="25.5" customHeight="1" x14ac:dyDescent="0.2">
      <c r="A38" s="196">
        <v>11</v>
      </c>
      <c r="B38" s="252" t="s">
        <v>140</v>
      </c>
      <c r="C38" s="259" t="s">
        <v>141</v>
      </c>
      <c r="D38" s="299" t="s">
        <v>138</v>
      </c>
      <c r="E38" s="299">
        <v>27</v>
      </c>
      <c r="F38" s="260">
        <v>535.92999999999995</v>
      </c>
      <c r="G38" s="266">
        <f>ROUND(E38*F38,2)</f>
        <v>14470.11</v>
      </c>
      <c r="H38" s="184">
        <f t="shared" ref="H38:H60" si="1">G38/$G$66</f>
        <v>0.60889091804230644</v>
      </c>
      <c r="I38" s="254">
        <f>ROUND(F38*Прил.10!$D$13,2)</f>
        <v>4148.1000000000004</v>
      </c>
      <c r="J38" s="254">
        <f>ROUND(I38*E38,2)</f>
        <v>111998.7</v>
      </c>
    </row>
    <row r="39" spans="1:12" s="14" customFormat="1" ht="14.25" customHeight="1" x14ac:dyDescent="0.2">
      <c r="A39" s="196">
        <v>12</v>
      </c>
      <c r="B39" s="252" t="s">
        <v>142</v>
      </c>
      <c r="C39" s="259" t="s">
        <v>143</v>
      </c>
      <c r="D39" s="252" t="s">
        <v>144</v>
      </c>
      <c r="E39" s="299">
        <v>0.18</v>
      </c>
      <c r="F39" s="181">
        <v>10668</v>
      </c>
      <c r="G39" s="266">
        <f>ROUND(E39*F39,2)</f>
        <v>1920.24</v>
      </c>
      <c r="H39" s="184">
        <f t="shared" si="1"/>
        <v>8.08021982183659E-2</v>
      </c>
      <c r="I39" s="254">
        <f>ROUND(F39*Прил.10!$D$13,2)</f>
        <v>82570.320000000007</v>
      </c>
      <c r="J39" s="254">
        <f>ROUND(I39*E39,2)</f>
        <v>14862.66</v>
      </c>
    </row>
    <row r="40" spans="1:12" s="14" customFormat="1" ht="38.25" customHeight="1" x14ac:dyDescent="0.2">
      <c r="A40" s="196">
        <v>13</v>
      </c>
      <c r="B40" s="252" t="s">
        <v>145</v>
      </c>
      <c r="C40" s="259" t="s">
        <v>146</v>
      </c>
      <c r="D40" s="252" t="s">
        <v>144</v>
      </c>
      <c r="E40" s="299">
        <v>0.18</v>
      </c>
      <c r="F40" s="181">
        <v>9563</v>
      </c>
      <c r="G40" s="266">
        <f>ROUND(E40*F40,2)</f>
        <v>1721.34</v>
      </c>
      <c r="H40" s="184">
        <f t="shared" si="1"/>
        <v>7.243264169124794E-2</v>
      </c>
      <c r="I40" s="254">
        <f>ROUND(F40*Прил.10!$D$13,2)</f>
        <v>74017.62</v>
      </c>
      <c r="J40" s="254">
        <f>ROUND(I40*E40,2)</f>
        <v>13323.17</v>
      </c>
    </row>
    <row r="41" spans="1:12" s="14" customFormat="1" ht="25.5" customHeight="1" x14ac:dyDescent="0.2">
      <c r="A41" s="196">
        <v>14</v>
      </c>
      <c r="B41" s="252" t="s">
        <v>147</v>
      </c>
      <c r="C41" s="259" t="s">
        <v>148</v>
      </c>
      <c r="D41" s="252" t="s">
        <v>144</v>
      </c>
      <c r="E41" s="299">
        <v>0.09</v>
      </c>
      <c r="F41" s="181">
        <v>16232.1</v>
      </c>
      <c r="G41" s="266">
        <f>ROUND(E41*F41,2)</f>
        <v>1460.89</v>
      </c>
      <c r="H41" s="184">
        <f t="shared" si="1"/>
        <v>6.1473109275522103E-2</v>
      </c>
      <c r="I41" s="254">
        <f>ROUND(F41*Прил.10!$D$13,2)</f>
        <v>125636.45</v>
      </c>
      <c r="J41" s="254">
        <f>ROUND(I41*E41,2)</f>
        <v>11307.28</v>
      </c>
    </row>
    <row r="42" spans="1:12" s="14" customFormat="1" ht="25.5" customHeight="1" x14ac:dyDescent="0.2">
      <c r="A42" s="196">
        <v>15</v>
      </c>
      <c r="B42" s="252" t="s">
        <v>149</v>
      </c>
      <c r="C42" s="259" t="s">
        <v>150</v>
      </c>
      <c r="D42" s="299" t="s">
        <v>138</v>
      </c>
      <c r="E42" s="299">
        <v>24</v>
      </c>
      <c r="F42" s="260">
        <v>46.72</v>
      </c>
      <c r="G42" s="266">
        <f>ROUND(E42*F42,2)</f>
        <v>1121.28</v>
      </c>
      <c r="H42" s="184">
        <f t="shared" si="1"/>
        <v>4.7182585936283647E-2</v>
      </c>
      <c r="I42" s="254">
        <f>ROUND(F42*Прил.10!$D$13,2)</f>
        <v>361.61</v>
      </c>
      <c r="J42" s="254">
        <f>ROUND(I42*E42,2)</f>
        <v>8678.64</v>
      </c>
    </row>
    <row r="43" spans="1:12" s="14" customFormat="1" ht="14.25" customHeight="1" x14ac:dyDescent="0.2">
      <c r="A43" s="284"/>
      <c r="B43" s="285"/>
      <c r="C43" s="286" t="s">
        <v>268</v>
      </c>
      <c r="D43" s="287"/>
      <c r="E43" s="288"/>
      <c r="F43" s="289"/>
      <c r="G43" s="266">
        <f>SUM(G38:G42)</f>
        <v>20693.86</v>
      </c>
      <c r="H43" s="267">
        <f t="shared" si="1"/>
        <v>0.87078145316372602</v>
      </c>
      <c r="I43" s="290"/>
      <c r="J43" s="266">
        <f>SUM(J38:J42)</f>
        <v>160170.45000000001</v>
      </c>
    </row>
    <row r="44" spans="1:12" s="14" customFormat="1" ht="25.5" hidden="1" customHeight="1" outlineLevel="1" x14ac:dyDescent="0.2">
      <c r="A44" s="284">
        <v>16</v>
      </c>
      <c r="B44" s="252" t="s">
        <v>151</v>
      </c>
      <c r="C44" s="259" t="s">
        <v>152</v>
      </c>
      <c r="D44" s="299" t="s">
        <v>153</v>
      </c>
      <c r="E44" s="299">
        <v>2.1999999999999999E-2</v>
      </c>
      <c r="F44" s="181">
        <v>31957.37</v>
      </c>
      <c r="G44" s="266">
        <f t="shared" ref="G44:G64" si="2">ROUND(E44*F44,2)</f>
        <v>703.06</v>
      </c>
      <c r="H44" s="184">
        <f t="shared" si="1"/>
        <v>2.958421524361763E-2</v>
      </c>
      <c r="I44" s="254">
        <f>ROUND(F44*Прил.10!$D$13,2)</f>
        <v>247350.04</v>
      </c>
      <c r="J44" s="254">
        <f t="shared" ref="J44:J60" si="3">ROUND(I44*E44,2)</f>
        <v>5441.7</v>
      </c>
    </row>
    <row r="45" spans="1:12" s="14" customFormat="1" ht="25.5" hidden="1" customHeight="1" outlineLevel="1" x14ac:dyDescent="0.2">
      <c r="A45" s="284">
        <v>17</v>
      </c>
      <c r="B45" s="252" t="s">
        <v>154</v>
      </c>
      <c r="C45" s="259" t="s">
        <v>155</v>
      </c>
      <c r="D45" s="299" t="s">
        <v>156</v>
      </c>
      <c r="E45" s="299">
        <v>0.05</v>
      </c>
      <c r="F45" s="181">
        <v>10392.39</v>
      </c>
      <c r="G45" s="266">
        <f t="shared" si="2"/>
        <v>519.62</v>
      </c>
      <c r="H45" s="184">
        <f t="shared" si="1"/>
        <v>2.1865203431981048E-2</v>
      </c>
      <c r="I45" s="254">
        <f>ROUND(F45*Прил.10!$D$13,2)</f>
        <v>80437.100000000006</v>
      </c>
      <c r="J45" s="254">
        <f t="shared" si="3"/>
        <v>4021.86</v>
      </c>
    </row>
    <row r="46" spans="1:12" s="14" customFormat="1" ht="25.5" hidden="1" customHeight="1" outlineLevel="1" x14ac:dyDescent="0.2">
      <c r="A46" s="284">
        <v>18</v>
      </c>
      <c r="B46" s="252" t="s">
        <v>157</v>
      </c>
      <c r="C46" s="259" t="s">
        <v>158</v>
      </c>
      <c r="D46" s="299" t="s">
        <v>153</v>
      </c>
      <c r="E46" s="299">
        <v>0.06</v>
      </c>
      <c r="F46" s="181">
        <v>5299.6</v>
      </c>
      <c r="G46" s="266">
        <f t="shared" si="2"/>
        <v>317.98</v>
      </c>
      <c r="H46" s="184">
        <f t="shared" si="1"/>
        <v>1.338034984662125E-2</v>
      </c>
      <c r="I46" s="254">
        <f>ROUND(F46*Прил.10!$D$13,2)</f>
        <v>41018.9</v>
      </c>
      <c r="J46" s="254">
        <f t="shared" si="3"/>
        <v>2461.13</v>
      </c>
    </row>
    <row r="47" spans="1:12" s="14" customFormat="1" ht="14.25" hidden="1" customHeight="1" outlineLevel="1" x14ac:dyDescent="0.2">
      <c r="A47" s="284">
        <v>19</v>
      </c>
      <c r="B47" s="252" t="s">
        <v>159</v>
      </c>
      <c r="C47" s="259" t="s">
        <v>160</v>
      </c>
      <c r="D47" s="252" t="s">
        <v>144</v>
      </c>
      <c r="E47" s="299">
        <v>0.09</v>
      </c>
      <c r="F47" s="181">
        <v>3516</v>
      </c>
      <c r="G47" s="266">
        <f t="shared" si="2"/>
        <v>316.44</v>
      </c>
      <c r="H47" s="184">
        <f t="shared" si="1"/>
        <v>1.3315547850383131E-2</v>
      </c>
      <c r="I47" s="254">
        <f>ROUND(F47*Прил.10!$D$13,2)</f>
        <v>27213.84</v>
      </c>
      <c r="J47" s="254">
        <f t="shared" si="3"/>
        <v>2449.25</v>
      </c>
    </row>
    <row r="48" spans="1:12" s="14" customFormat="1" ht="25.5" hidden="1" customHeight="1" outlineLevel="1" x14ac:dyDescent="0.2">
      <c r="A48" s="284">
        <v>20</v>
      </c>
      <c r="B48" s="252" t="s">
        <v>161</v>
      </c>
      <c r="C48" s="259" t="s">
        <v>162</v>
      </c>
      <c r="D48" s="252" t="s">
        <v>163</v>
      </c>
      <c r="E48" s="299">
        <v>3</v>
      </c>
      <c r="F48" s="260">
        <v>101.1</v>
      </c>
      <c r="G48" s="266">
        <f t="shared" si="2"/>
        <v>303.3</v>
      </c>
      <c r="H48" s="184">
        <f t="shared" si="1"/>
        <v>1.2762626921442307E-2</v>
      </c>
      <c r="I48" s="254">
        <f>ROUND(F48*Прил.10!$D$13,2)</f>
        <v>782.51</v>
      </c>
      <c r="J48" s="254">
        <f t="shared" si="3"/>
        <v>2347.5300000000002</v>
      </c>
    </row>
    <row r="49" spans="1:10" s="14" customFormat="1" ht="25.5" hidden="1" customHeight="1" outlineLevel="1" x14ac:dyDescent="0.2">
      <c r="A49" s="284">
        <v>21</v>
      </c>
      <c r="B49" s="252" t="s">
        <v>164</v>
      </c>
      <c r="C49" s="259" t="s">
        <v>165</v>
      </c>
      <c r="D49" s="299" t="s">
        <v>153</v>
      </c>
      <c r="E49" s="299">
        <v>4.4350000000000001E-2</v>
      </c>
      <c r="F49" s="181">
        <v>5390.19</v>
      </c>
      <c r="G49" s="266">
        <f t="shared" si="2"/>
        <v>239.05</v>
      </c>
      <c r="H49" s="184">
        <f t="shared" si="1"/>
        <v>1.0059037143326026E-2</v>
      </c>
      <c r="I49" s="254">
        <f>ROUND(F49*Прил.10!$D$13,2)</f>
        <v>41720.07</v>
      </c>
      <c r="J49" s="254">
        <f t="shared" si="3"/>
        <v>1850.29</v>
      </c>
    </row>
    <row r="50" spans="1:10" s="14" customFormat="1" ht="14.25" hidden="1" customHeight="1" outlineLevel="1" x14ac:dyDescent="0.2">
      <c r="A50" s="284">
        <v>22</v>
      </c>
      <c r="B50" s="252" t="s">
        <v>166</v>
      </c>
      <c r="C50" s="259" t="s">
        <v>167</v>
      </c>
      <c r="D50" s="252" t="s">
        <v>144</v>
      </c>
      <c r="E50" s="299">
        <v>0.09</v>
      </c>
      <c r="F50" s="181">
        <v>2089</v>
      </c>
      <c r="G50" s="266">
        <f t="shared" si="2"/>
        <v>188.01</v>
      </c>
      <c r="H50" s="184">
        <f t="shared" si="1"/>
        <v>7.9113138394341174E-3</v>
      </c>
      <c r="I50" s="254">
        <f>ROUND(F50*Прил.10!$D$13,2)</f>
        <v>16168.86</v>
      </c>
      <c r="J50" s="254">
        <f t="shared" si="3"/>
        <v>1455.2</v>
      </c>
    </row>
    <row r="51" spans="1:10" s="14" customFormat="1" ht="25.5" hidden="1" customHeight="1" outlineLevel="1" x14ac:dyDescent="0.2">
      <c r="A51" s="284">
        <v>23</v>
      </c>
      <c r="B51" s="252" t="s">
        <v>168</v>
      </c>
      <c r="C51" s="259" t="s">
        <v>169</v>
      </c>
      <c r="D51" s="252" t="s">
        <v>144</v>
      </c>
      <c r="E51" s="299">
        <v>0.03</v>
      </c>
      <c r="F51" s="181">
        <v>3611.54</v>
      </c>
      <c r="G51" s="266">
        <f t="shared" si="2"/>
        <v>108.35</v>
      </c>
      <c r="H51" s="184">
        <f t="shared" si="1"/>
        <v>4.5592833067532937E-3</v>
      </c>
      <c r="I51" s="254">
        <f>ROUND(F51*Прил.10!$D$13,2)</f>
        <v>27953.32</v>
      </c>
      <c r="J51" s="254">
        <f t="shared" si="3"/>
        <v>838.6</v>
      </c>
    </row>
    <row r="52" spans="1:10" s="14" customFormat="1" ht="25.5" hidden="1" customHeight="1" outlineLevel="1" x14ac:dyDescent="0.2">
      <c r="A52" s="284">
        <v>24</v>
      </c>
      <c r="B52" s="252" t="s">
        <v>170</v>
      </c>
      <c r="C52" s="259" t="s">
        <v>171</v>
      </c>
      <c r="D52" s="252" t="s">
        <v>153</v>
      </c>
      <c r="E52" s="299">
        <v>1.6E-2</v>
      </c>
      <c r="F52" s="181">
        <v>6726.18</v>
      </c>
      <c r="G52" s="266">
        <f t="shared" si="2"/>
        <v>107.62</v>
      </c>
      <c r="H52" s="184">
        <f t="shared" si="1"/>
        <v>4.5285654773676923E-3</v>
      </c>
      <c r="I52" s="254">
        <f>ROUND(F52*Прил.10!$D$13,2)</f>
        <v>52060.63</v>
      </c>
      <c r="J52" s="254">
        <f t="shared" si="3"/>
        <v>832.97</v>
      </c>
    </row>
    <row r="53" spans="1:10" s="14" customFormat="1" ht="25.5" hidden="1" customHeight="1" outlineLevel="1" x14ac:dyDescent="0.2">
      <c r="A53" s="284">
        <v>25</v>
      </c>
      <c r="B53" s="252" t="s">
        <v>172</v>
      </c>
      <c r="C53" s="259" t="s">
        <v>173</v>
      </c>
      <c r="D53" s="252" t="s">
        <v>138</v>
      </c>
      <c r="E53" s="299">
        <v>6</v>
      </c>
      <c r="F53" s="260">
        <v>12.53</v>
      </c>
      <c r="G53" s="266">
        <f t="shared" si="2"/>
        <v>75.180000000000007</v>
      </c>
      <c r="H53" s="184">
        <f t="shared" si="1"/>
        <v>3.1635156345335732E-3</v>
      </c>
      <c r="I53" s="254">
        <f>ROUND(F53*Прил.10!$D$13,2)</f>
        <v>96.98</v>
      </c>
      <c r="J53" s="254">
        <f t="shared" si="3"/>
        <v>581.88</v>
      </c>
    </row>
    <row r="54" spans="1:10" s="14" customFormat="1" ht="38.25" hidden="1" customHeight="1" outlineLevel="1" x14ac:dyDescent="0.2">
      <c r="A54" s="284">
        <v>26</v>
      </c>
      <c r="B54" s="252" t="s">
        <v>174</v>
      </c>
      <c r="C54" s="259" t="s">
        <v>175</v>
      </c>
      <c r="D54" s="299" t="s">
        <v>138</v>
      </c>
      <c r="E54" s="299">
        <v>4</v>
      </c>
      <c r="F54" s="260">
        <v>18.64</v>
      </c>
      <c r="G54" s="266">
        <f t="shared" si="2"/>
        <v>74.56</v>
      </c>
      <c r="H54" s="184">
        <f t="shared" si="1"/>
        <v>3.1374265191649801E-3</v>
      </c>
      <c r="I54" s="254">
        <f>ROUND(F54*Прил.10!$D$13,2)</f>
        <v>144.27000000000001</v>
      </c>
      <c r="J54" s="254">
        <f t="shared" si="3"/>
        <v>577.08000000000004</v>
      </c>
    </row>
    <row r="55" spans="1:10" s="14" customFormat="1" ht="25.5" hidden="1" customHeight="1" outlineLevel="1" x14ac:dyDescent="0.2">
      <c r="A55" s="284">
        <v>27</v>
      </c>
      <c r="B55" s="252" t="s">
        <v>176</v>
      </c>
      <c r="C55" s="259" t="s">
        <v>177</v>
      </c>
      <c r="D55" s="299" t="s">
        <v>153</v>
      </c>
      <c r="E55" s="299">
        <v>3.0000000000000001E-3</v>
      </c>
      <c r="F55" s="181">
        <v>13722.4</v>
      </c>
      <c r="G55" s="266">
        <f t="shared" si="2"/>
        <v>41.17</v>
      </c>
      <c r="H55" s="184">
        <f t="shared" si="1"/>
        <v>1.7324014189112422E-3</v>
      </c>
      <c r="I55" s="254">
        <f>ROUND(F55*Прил.10!$D$13,2)</f>
        <v>106211.38</v>
      </c>
      <c r="J55" s="254">
        <f t="shared" si="3"/>
        <v>318.63</v>
      </c>
    </row>
    <row r="56" spans="1:10" s="14" customFormat="1" ht="25.5" hidden="1" customHeight="1" outlineLevel="1" x14ac:dyDescent="0.2">
      <c r="A56" s="284">
        <v>28</v>
      </c>
      <c r="B56" s="252" t="s">
        <v>178</v>
      </c>
      <c r="C56" s="259" t="s">
        <v>179</v>
      </c>
      <c r="D56" s="299" t="s">
        <v>138</v>
      </c>
      <c r="E56" s="299">
        <v>3</v>
      </c>
      <c r="F56" s="260">
        <v>8.6</v>
      </c>
      <c r="G56" s="266">
        <f t="shared" si="2"/>
        <v>25.8</v>
      </c>
      <c r="H56" s="184">
        <f t="shared" si="1"/>
        <v>1.0856438330801568E-3</v>
      </c>
      <c r="I56" s="254">
        <f>ROUND(F56*Прил.10!$D$13,2)</f>
        <v>66.56</v>
      </c>
      <c r="J56" s="254">
        <f t="shared" si="3"/>
        <v>199.68</v>
      </c>
    </row>
    <row r="57" spans="1:10" s="14" customFormat="1" ht="14.25" hidden="1" customHeight="1" outlineLevel="1" x14ac:dyDescent="0.2">
      <c r="A57" s="284">
        <v>29</v>
      </c>
      <c r="B57" s="258" t="s">
        <v>180</v>
      </c>
      <c r="C57" s="259" t="s">
        <v>181</v>
      </c>
      <c r="D57" s="299" t="s">
        <v>153</v>
      </c>
      <c r="E57" s="299">
        <v>1.2999999999999999E-3</v>
      </c>
      <c r="F57" s="300">
        <v>10315.01</v>
      </c>
      <c r="G57" s="266">
        <f t="shared" si="2"/>
        <v>13.41</v>
      </c>
      <c r="H57" s="184">
        <f t="shared" si="1"/>
        <v>5.642823178916628E-4</v>
      </c>
      <c r="I57" s="254">
        <f>ROUND(F57*Прил.10!$D$13,2)</f>
        <v>79838.179999999993</v>
      </c>
      <c r="J57" s="254">
        <f t="shared" si="3"/>
        <v>103.79</v>
      </c>
    </row>
    <row r="58" spans="1:10" s="14" customFormat="1" ht="38.25" hidden="1" customHeight="1" outlineLevel="1" x14ac:dyDescent="0.2">
      <c r="A58" s="284">
        <v>30</v>
      </c>
      <c r="B58" s="258" t="s">
        <v>182</v>
      </c>
      <c r="C58" s="259" t="s">
        <v>183</v>
      </c>
      <c r="D58" s="299" t="s">
        <v>138</v>
      </c>
      <c r="E58" s="299">
        <v>0.1394</v>
      </c>
      <c r="F58" s="300">
        <v>88.14</v>
      </c>
      <c r="G58" s="266">
        <f t="shared" si="2"/>
        <v>12.29</v>
      </c>
      <c r="H58" s="184">
        <f t="shared" si="1"/>
        <v>5.1715359335484975E-4</v>
      </c>
      <c r="I58" s="254">
        <f>ROUND(F58*Прил.10!$D$13,2)</f>
        <v>682.2</v>
      </c>
      <c r="J58" s="254">
        <f t="shared" si="3"/>
        <v>95.1</v>
      </c>
    </row>
    <row r="59" spans="1:10" s="14" customFormat="1" ht="14.25" hidden="1" customHeight="1" outlineLevel="1" x14ac:dyDescent="0.2">
      <c r="A59" s="284">
        <v>31</v>
      </c>
      <c r="B59" s="258" t="s">
        <v>184</v>
      </c>
      <c r="C59" s="259" t="s">
        <v>185</v>
      </c>
      <c r="D59" s="299" t="s">
        <v>186</v>
      </c>
      <c r="E59" s="299">
        <v>0.6341</v>
      </c>
      <c r="F59" s="304">
        <v>14.4</v>
      </c>
      <c r="G59" s="266">
        <f t="shared" si="2"/>
        <v>9.1300000000000008</v>
      </c>
      <c r="H59" s="184">
        <f t="shared" si="1"/>
        <v>3.8418326341169888E-4</v>
      </c>
      <c r="I59" s="254">
        <f>ROUND(F59*Прил.10!$D$13,2)</f>
        <v>111.46</v>
      </c>
      <c r="J59" s="254">
        <f t="shared" si="3"/>
        <v>70.680000000000007</v>
      </c>
    </row>
    <row r="60" spans="1:10" s="14" customFormat="1" ht="14.25" hidden="1" customHeight="1" outlineLevel="1" x14ac:dyDescent="0.2">
      <c r="A60" s="284">
        <v>32</v>
      </c>
      <c r="B60" s="258" t="s">
        <v>187</v>
      </c>
      <c r="C60" s="259" t="s">
        <v>188</v>
      </c>
      <c r="D60" s="299" t="s">
        <v>153</v>
      </c>
      <c r="E60" s="299">
        <v>8.9999999999999998E-4</v>
      </c>
      <c r="F60" s="300">
        <v>9550.01</v>
      </c>
      <c r="G60" s="266">
        <f t="shared" si="2"/>
        <v>8.6</v>
      </c>
      <c r="H60" s="184">
        <f t="shared" si="1"/>
        <v>3.6188127769338553E-4</v>
      </c>
      <c r="I60" s="254">
        <f>ROUND(F60*Прил.10!$D$13,2)</f>
        <v>73917.08</v>
      </c>
      <c r="J60" s="254">
        <f t="shared" si="3"/>
        <v>66.53</v>
      </c>
    </row>
    <row r="61" spans="1:10" s="14" customFormat="1" ht="14.25" hidden="1" customHeight="1" outlineLevel="1" x14ac:dyDescent="0.2">
      <c r="A61" s="284">
        <v>33</v>
      </c>
      <c r="B61" s="258" t="s">
        <v>189</v>
      </c>
      <c r="C61" s="259" t="s">
        <v>190</v>
      </c>
      <c r="D61" s="299" t="s">
        <v>153</v>
      </c>
      <c r="E61" s="299">
        <v>5.9999999999999995E-4</v>
      </c>
      <c r="F61" s="300">
        <v>6667</v>
      </c>
      <c r="G61" s="266">
        <f t="shared" si="2"/>
        <v>4</v>
      </c>
      <c r="H61" s="184"/>
      <c r="I61" s="254"/>
      <c r="J61" s="254"/>
    </row>
    <row r="62" spans="1:10" s="14" customFormat="1" ht="14.25" hidden="1" customHeight="1" outlineLevel="1" x14ac:dyDescent="0.2">
      <c r="A62" s="284">
        <v>34</v>
      </c>
      <c r="B62" s="258" t="s">
        <v>191</v>
      </c>
      <c r="C62" s="259" t="s">
        <v>192</v>
      </c>
      <c r="D62" s="299" t="s">
        <v>153</v>
      </c>
      <c r="E62" s="299">
        <v>2.9999999999999997E-4</v>
      </c>
      <c r="F62" s="300">
        <v>9661.5</v>
      </c>
      <c r="G62" s="266">
        <f t="shared" si="2"/>
        <v>2.9</v>
      </c>
      <c r="H62" s="184">
        <f>G62/$G$66</f>
        <v>1.2202973317567652E-4</v>
      </c>
      <c r="I62" s="254">
        <f>ROUND(F62*Прил.10!$D$13,2)</f>
        <v>74780.009999999995</v>
      </c>
      <c r="J62" s="254">
        <f>ROUND(I62*E62,2)</f>
        <v>22.43</v>
      </c>
    </row>
    <row r="63" spans="1:10" s="14" customFormat="1" ht="14.25" hidden="1" customHeight="1" outlineLevel="1" x14ac:dyDescent="0.2">
      <c r="A63" s="284">
        <v>35</v>
      </c>
      <c r="B63" s="258" t="s">
        <v>193</v>
      </c>
      <c r="C63" s="259" t="s">
        <v>194</v>
      </c>
      <c r="D63" s="299" t="s">
        <v>186</v>
      </c>
      <c r="E63" s="299">
        <v>0.18210000000000001</v>
      </c>
      <c r="F63" s="300">
        <v>1.82</v>
      </c>
      <c r="G63" s="266">
        <f t="shared" si="2"/>
        <v>0.33</v>
      </c>
      <c r="H63" s="184">
        <f>G63/$G$66</f>
        <v>1.388614205102526E-5</v>
      </c>
      <c r="I63" s="254">
        <f>ROUND(F63*Прил.10!$D$13,2)</f>
        <v>14.09</v>
      </c>
      <c r="J63" s="254">
        <f>ROUND(I63*E63,2)</f>
        <v>2.57</v>
      </c>
    </row>
    <row r="64" spans="1:10" s="14" customFormat="1" ht="14.25" hidden="1" customHeight="1" outlineLevel="1" x14ac:dyDescent="0.2">
      <c r="A64" s="284">
        <v>36</v>
      </c>
      <c r="B64" s="252" t="s">
        <v>195</v>
      </c>
      <c r="C64" s="259" t="s">
        <v>196</v>
      </c>
      <c r="D64" s="299" t="s">
        <v>153</v>
      </c>
      <c r="E64" s="299">
        <v>4.0000000000000001E-3</v>
      </c>
      <c r="F64" s="260">
        <v>9.5</v>
      </c>
      <c r="G64" s="266">
        <f t="shared" si="2"/>
        <v>0.04</v>
      </c>
      <c r="H64" s="184">
        <f>G64/$G$66</f>
        <v>1.6831687334576072E-6</v>
      </c>
      <c r="I64" s="254">
        <f>ROUND(F64*Прил.10!$D$13,2)</f>
        <v>73.53</v>
      </c>
      <c r="J64" s="254">
        <f>ROUND(I64*E64,2)</f>
        <v>0.28999999999999998</v>
      </c>
    </row>
    <row r="65" spans="1:10" s="14" customFormat="1" ht="14.25" customHeight="1" collapsed="1" x14ac:dyDescent="0.2">
      <c r="A65" s="196"/>
      <c r="B65" s="2"/>
      <c r="C65" s="9" t="s">
        <v>269</v>
      </c>
      <c r="D65" s="2"/>
      <c r="E65" s="176"/>
      <c r="F65" s="177"/>
      <c r="G65" s="195">
        <f>SUM(G44:G64)</f>
        <v>3070.8399999999997</v>
      </c>
      <c r="H65" s="184">
        <f>G65/$G$66</f>
        <v>0.12921854683627396</v>
      </c>
      <c r="I65" s="28"/>
      <c r="J65" s="195">
        <f>SUM(J44:J64)</f>
        <v>23737.190000000002</v>
      </c>
    </row>
    <row r="66" spans="1:10" s="14" customFormat="1" ht="14.25" customHeight="1" x14ac:dyDescent="0.2">
      <c r="A66" s="2"/>
      <c r="B66" s="2"/>
      <c r="C66" s="175" t="s">
        <v>270</v>
      </c>
      <c r="D66" s="2"/>
      <c r="E66" s="176"/>
      <c r="F66" s="177"/>
      <c r="G66" s="28">
        <f>G43+G65</f>
        <v>23764.7</v>
      </c>
      <c r="H66" s="184">
        <f>G66/$G$66</f>
        <v>1</v>
      </c>
      <c r="I66" s="28"/>
      <c r="J66" s="28">
        <f>J43+J65</f>
        <v>183907.64</v>
      </c>
    </row>
    <row r="67" spans="1:10" s="14" customFormat="1" ht="14.25" customHeight="1" x14ac:dyDescent="0.2">
      <c r="A67" s="2"/>
      <c r="B67" s="2"/>
      <c r="C67" s="9" t="s">
        <v>271</v>
      </c>
      <c r="D67" s="2"/>
      <c r="E67" s="176"/>
      <c r="F67" s="177"/>
      <c r="G67" s="28">
        <f>G14+G26+G66</f>
        <v>28919.74</v>
      </c>
      <c r="H67" s="178"/>
      <c r="I67" s="28"/>
      <c r="J67" s="28">
        <f>J14+J26+J66</f>
        <v>295382.32</v>
      </c>
    </row>
    <row r="68" spans="1:10" s="14" customFormat="1" ht="14.25" customHeight="1" x14ac:dyDescent="0.2">
      <c r="A68" s="2"/>
      <c r="B68" s="2"/>
      <c r="C68" s="9" t="s">
        <v>272</v>
      </c>
      <c r="D68" s="189">
        <f>ROUND(G68/(G$16+$G$14),2)</f>
        <v>1.26</v>
      </c>
      <c r="E68" s="176"/>
      <c r="F68" s="177"/>
      <c r="G68" s="28">
        <v>2458</v>
      </c>
      <c r="H68" s="178"/>
      <c r="I68" s="28"/>
      <c r="J68" s="182">
        <f>ROUND(D68*(J14+J16),2)</f>
        <v>112339.95</v>
      </c>
    </row>
    <row r="69" spans="1:10" s="14" customFormat="1" ht="14.25" customHeight="1" x14ac:dyDescent="0.2">
      <c r="A69" s="2"/>
      <c r="B69" s="2"/>
      <c r="C69" s="9" t="s">
        <v>273</v>
      </c>
      <c r="D69" s="189">
        <f>ROUND(G69/(G$14+G$16),2)</f>
        <v>0.72</v>
      </c>
      <c r="E69" s="176"/>
      <c r="F69" s="177"/>
      <c r="G69" s="28">
        <v>1405</v>
      </c>
      <c r="H69" s="178"/>
      <c r="I69" s="28"/>
      <c r="J69" s="182">
        <f>ROUND(D69*(J14+J16),2)</f>
        <v>64194.26</v>
      </c>
    </row>
    <row r="70" spans="1:10" s="14" customFormat="1" ht="14.25" customHeight="1" x14ac:dyDescent="0.2">
      <c r="A70" s="2"/>
      <c r="B70" s="2"/>
      <c r="C70" s="9" t="s">
        <v>274</v>
      </c>
      <c r="D70" s="2"/>
      <c r="E70" s="176"/>
      <c r="F70" s="177"/>
      <c r="G70" s="28">
        <f>ROUND((G14+G26+G66+G68+G69),2)</f>
        <v>32782.74</v>
      </c>
      <c r="H70" s="178"/>
      <c r="I70" s="28"/>
      <c r="J70" s="28">
        <f>ROUND((J14+J26+J66+J68+J69),2)</f>
        <v>471916.53</v>
      </c>
    </row>
    <row r="71" spans="1:10" s="14" customFormat="1" ht="14.25" customHeight="1" x14ac:dyDescent="0.2">
      <c r="A71" s="2"/>
      <c r="B71" s="2"/>
      <c r="C71" s="9" t="s">
        <v>275</v>
      </c>
      <c r="D71" s="2"/>
      <c r="E71" s="176"/>
      <c r="F71" s="177"/>
      <c r="G71" s="28">
        <f>G70+G34</f>
        <v>1193707.2000000002</v>
      </c>
      <c r="H71" s="178"/>
      <c r="I71" s="28"/>
      <c r="J71" s="28">
        <f>J70+J34</f>
        <v>7739304.2100000009</v>
      </c>
    </row>
    <row r="72" spans="1:10" s="14" customFormat="1" ht="34.5" customHeight="1" x14ac:dyDescent="0.2">
      <c r="A72" s="2"/>
      <c r="B72" s="2"/>
      <c r="C72" s="9" t="s">
        <v>234</v>
      </c>
      <c r="D72" s="2" t="s">
        <v>276</v>
      </c>
      <c r="E72" s="176">
        <v>3</v>
      </c>
      <c r="F72" s="177"/>
      <c r="G72" s="28">
        <f>G71/E72</f>
        <v>397902.40000000008</v>
      </c>
      <c r="H72" s="178"/>
      <c r="I72" s="28"/>
      <c r="J72" s="28">
        <f>J71/E72</f>
        <v>2579768.0700000003</v>
      </c>
    </row>
    <row r="74" spans="1:10" s="14" customFormat="1" ht="14.25" customHeight="1" x14ac:dyDescent="0.2">
      <c r="A74" s="4" t="s">
        <v>277</v>
      </c>
    </row>
    <row r="75" spans="1:10" s="14" customFormat="1" ht="14.25" customHeight="1" x14ac:dyDescent="0.2">
      <c r="A75" s="29" t="s">
        <v>77</v>
      </c>
    </row>
    <row r="76" spans="1:10" s="14" customFormat="1" ht="14.25" customHeight="1" x14ac:dyDescent="0.2">
      <c r="A76" s="4"/>
    </row>
    <row r="77" spans="1:10" s="14" customFormat="1" ht="14.25" customHeight="1" x14ac:dyDescent="0.2">
      <c r="A77" s="4" t="s">
        <v>278</v>
      </c>
    </row>
    <row r="78" spans="1:10" s="14" customFormat="1" ht="14.25" customHeight="1" x14ac:dyDescent="0.2">
      <c r="A78" s="29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7:H37"/>
    <mergeCell ref="B12:H12"/>
    <mergeCell ref="B15:H15"/>
    <mergeCell ref="B17:H17"/>
    <mergeCell ref="B18:H18"/>
    <mergeCell ref="B28:H28"/>
    <mergeCell ref="B27:H27"/>
    <mergeCell ref="B36:H3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2"/>
  <sheetViews>
    <sheetView view="pageBreakPreview" topLeftCell="A7" workbookViewId="0">
      <selection activeCell="D21" sqref="D21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7.85546875" customWidth="1"/>
  </cols>
  <sheetData>
    <row r="1" spans="1:7" x14ac:dyDescent="0.25">
      <c r="A1" s="416" t="s">
        <v>279</v>
      </c>
      <c r="B1" s="416"/>
      <c r="C1" s="416"/>
      <c r="D1" s="416"/>
      <c r="E1" s="416"/>
      <c r="F1" s="416"/>
      <c r="G1" s="416"/>
    </row>
    <row r="2" spans="1:7" ht="21.75" customHeight="1" x14ac:dyDescent="0.25">
      <c r="A2" s="144"/>
      <c r="B2" s="144"/>
      <c r="C2" s="144"/>
      <c r="D2" s="144"/>
      <c r="E2" s="144"/>
      <c r="G2" s="144"/>
    </row>
    <row r="3" spans="1:7" x14ac:dyDescent="0.25">
      <c r="A3" s="367" t="s">
        <v>280</v>
      </c>
      <c r="B3" s="367"/>
      <c r="C3" s="367"/>
      <c r="D3" s="367"/>
      <c r="E3" s="367"/>
      <c r="F3" s="367"/>
      <c r="G3" s="367"/>
    </row>
    <row r="4" spans="1:7" ht="25.5" customHeight="1" x14ac:dyDescent="0.25">
      <c r="A4" s="370" t="s">
        <v>199</v>
      </c>
      <c r="B4" s="370"/>
      <c r="C4" s="370"/>
      <c r="D4" s="370"/>
      <c r="E4" s="370"/>
      <c r="F4" s="370"/>
      <c r="G4" s="370"/>
    </row>
    <row r="5" spans="1:7" x14ac:dyDescent="0.25">
      <c r="A5" s="139"/>
      <c r="B5" s="139"/>
      <c r="C5" s="139"/>
      <c r="D5" s="139"/>
      <c r="E5" s="139"/>
      <c r="F5" s="139"/>
      <c r="G5" s="139"/>
    </row>
    <row r="6" spans="1:7" ht="30" customHeight="1" x14ac:dyDescent="0.25">
      <c r="A6" s="398" t="s">
        <v>13</v>
      </c>
      <c r="B6" s="398" t="s">
        <v>100</v>
      </c>
      <c r="C6" s="398" t="s">
        <v>200</v>
      </c>
      <c r="D6" s="398" t="s">
        <v>102</v>
      </c>
      <c r="E6" s="399" t="s">
        <v>243</v>
      </c>
      <c r="F6" s="421" t="s">
        <v>104</v>
      </c>
      <c r="G6" s="421"/>
    </row>
    <row r="7" spans="1:7" x14ac:dyDescent="0.25">
      <c r="A7" s="398"/>
      <c r="B7" s="398"/>
      <c r="C7" s="398"/>
      <c r="D7" s="398"/>
      <c r="E7" s="400"/>
      <c r="F7" s="136" t="s">
        <v>246</v>
      </c>
      <c r="G7" s="136" t="s">
        <v>106</v>
      </c>
    </row>
    <row r="8" spans="1:7" x14ac:dyDescent="0.25">
      <c r="A8" s="136">
        <v>1</v>
      </c>
      <c r="B8" s="136">
        <v>2</v>
      </c>
      <c r="C8" s="136">
        <v>3</v>
      </c>
      <c r="D8" s="136">
        <v>4</v>
      </c>
      <c r="E8" s="136">
        <v>5</v>
      </c>
      <c r="F8" s="136">
        <v>6</v>
      </c>
      <c r="G8" s="136">
        <v>7</v>
      </c>
    </row>
    <row r="9" spans="1:7" ht="15" customHeight="1" x14ac:dyDescent="0.25">
      <c r="A9" s="140"/>
      <c r="B9" s="417" t="s">
        <v>281</v>
      </c>
      <c r="C9" s="418"/>
      <c r="D9" s="418"/>
      <c r="E9" s="418"/>
      <c r="F9" s="418"/>
      <c r="G9" s="419"/>
    </row>
    <row r="10" spans="1:7" ht="27" customHeight="1" x14ac:dyDescent="0.25">
      <c r="A10" s="250"/>
      <c r="B10" s="293"/>
      <c r="C10" s="272" t="s">
        <v>282</v>
      </c>
      <c r="D10" s="293"/>
      <c r="E10" s="294"/>
      <c r="F10" s="295"/>
      <c r="G10" s="273"/>
    </row>
    <row r="11" spans="1:7" x14ac:dyDescent="0.25">
      <c r="A11" s="136"/>
      <c r="B11" s="401" t="s">
        <v>283</v>
      </c>
      <c r="C11" s="401"/>
      <c r="D11" s="401"/>
      <c r="E11" s="420"/>
      <c r="F11" s="403"/>
      <c r="G11" s="403"/>
    </row>
    <row r="12" spans="1:7" ht="25.5" customHeight="1" x14ac:dyDescent="0.25">
      <c r="A12" s="136"/>
      <c r="B12" s="307" t="str">
        <f>'Прил.5 Расчет СМР и ОБ'!B29</f>
        <v>БЦ.115.23</v>
      </c>
      <c r="C12" s="137" t="str">
        <f>'Прил.5 Расчет СМР и ОБ'!C29</f>
        <v>Реклоузер 10 кВ с ПКУ и интеграцией в АСУТП</v>
      </c>
      <c r="D12" s="136" t="str">
        <f>'Прил.5 Расчет СМР и ОБ'!D29</f>
        <v>компл</v>
      </c>
      <c r="E12" s="250">
        <f>'Прил.5 Расчет СМР и ОБ'!E31</f>
        <v>3</v>
      </c>
      <c r="F12" s="306">
        <f>'Прил.5 Расчет СМР и ОБ'!F29</f>
        <v>361685.45</v>
      </c>
      <c r="G12" s="306">
        <f>'Прил.5 Расчет СМР и ОБ'!G29</f>
        <v>1085056.3500000001</v>
      </c>
    </row>
    <row r="13" spans="1:7" ht="25.5" customHeight="1" x14ac:dyDescent="0.25">
      <c r="A13" s="136"/>
      <c r="B13" s="307" t="str">
        <f>'Прил.5 Расчет СМР и ОБ'!B31</f>
        <v>БЦ.63.66</v>
      </c>
      <c r="C13" s="137" t="str">
        <f>'Прил.5 Расчет СМР и ОБ'!C31</f>
        <v>Разъединитель с одним комплектом заземляющих ножей 10 кВ</v>
      </c>
      <c r="D13" s="136" t="str">
        <f>'Прил.5 Расчет СМР и ОБ'!D31</f>
        <v>компл</v>
      </c>
      <c r="E13" s="250">
        <f>'Прил.5 Расчет СМР и ОБ'!E31</f>
        <v>3</v>
      </c>
      <c r="F13" s="306">
        <f>'Прил.5 Расчет СМР и ОБ'!F31</f>
        <v>23245.11</v>
      </c>
      <c r="G13" s="306">
        <f>'Прил.5 Расчет СМР и ОБ'!G31</f>
        <v>69735.33</v>
      </c>
    </row>
    <row r="14" spans="1:7" x14ac:dyDescent="0.25">
      <c r="A14" s="136"/>
      <c r="B14" s="307" t="str">
        <f>'Прил.5 Расчет СМР и ОБ'!B32</f>
        <v>БЦ.60.26</v>
      </c>
      <c r="C14" s="137" t="str">
        <f>'Прил.5 Расчет СМР и ОБ'!C32</f>
        <v>Ограничитель перенапряжения 10 кВ</v>
      </c>
      <c r="D14" s="136" t="str">
        <f>'Прил.5 Расчет СМР и ОБ'!D32</f>
        <v>шт</v>
      </c>
      <c r="E14" s="250">
        <f>'Прил.5 Расчет СМР и ОБ'!E32</f>
        <v>18</v>
      </c>
      <c r="F14" s="306">
        <f>'Прил.5 Расчет СМР и ОБ'!F32</f>
        <v>340.71</v>
      </c>
      <c r="G14" s="306">
        <f>'Прил.5 Расчет СМР и ОБ'!G32</f>
        <v>6132.78</v>
      </c>
    </row>
    <row r="15" spans="1:7" ht="25.5" customHeight="1" x14ac:dyDescent="0.25">
      <c r="A15" s="136"/>
      <c r="B15" s="137"/>
      <c r="C15" s="137" t="s">
        <v>284</v>
      </c>
      <c r="D15" s="137"/>
      <c r="E15" s="141"/>
      <c r="F15" s="138"/>
      <c r="G15" s="162">
        <f>SUM(G12:G14)</f>
        <v>1160924.4600000002</v>
      </c>
    </row>
    <row r="16" spans="1:7" ht="19.5" customHeight="1" x14ac:dyDescent="0.25">
      <c r="A16" s="136"/>
      <c r="B16" s="137"/>
      <c r="C16" s="137" t="s">
        <v>285</v>
      </c>
      <c r="D16" s="137"/>
      <c r="E16" s="141"/>
      <c r="F16" s="138"/>
      <c r="G16" s="162">
        <f>G10+G15</f>
        <v>1160924.4600000002</v>
      </c>
    </row>
    <row r="17" spans="1:7" x14ac:dyDescent="0.25">
      <c r="A17" s="142"/>
      <c r="B17" s="143"/>
      <c r="C17" s="142"/>
      <c r="D17" s="142"/>
      <c r="E17" s="142"/>
      <c r="F17" s="142"/>
      <c r="G17" s="142"/>
    </row>
    <row r="18" spans="1:7" x14ac:dyDescent="0.25">
      <c r="A18" s="4" t="s">
        <v>286</v>
      </c>
      <c r="B18" s="14"/>
      <c r="C18" s="14"/>
      <c r="D18" s="142"/>
      <c r="E18" s="142"/>
      <c r="F18" s="142"/>
      <c r="G18" s="142"/>
    </row>
    <row r="19" spans="1:7" x14ac:dyDescent="0.25">
      <c r="A19" s="29" t="s">
        <v>77</v>
      </c>
      <c r="B19" s="14"/>
      <c r="C19" s="14"/>
      <c r="D19" s="142"/>
      <c r="E19" s="142"/>
      <c r="F19" s="142"/>
      <c r="G19" s="142"/>
    </row>
    <row r="20" spans="1:7" x14ac:dyDescent="0.25">
      <c r="A20" s="4"/>
      <c r="B20" s="14"/>
      <c r="C20" s="14"/>
      <c r="D20" s="142"/>
      <c r="E20" s="142"/>
      <c r="F20" s="142"/>
      <c r="G20" s="142"/>
    </row>
    <row r="21" spans="1:7" x14ac:dyDescent="0.25">
      <c r="A21" s="4" t="s">
        <v>278</v>
      </c>
      <c r="B21" s="14"/>
      <c r="C21" s="14"/>
      <c r="D21" s="142"/>
      <c r="E21" s="142"/>
      <c r="F21" s="142"/>
      <c r="G21" s="142"/>
    </row>
    <row r="22" spans="1:7" x14ac:dyDescent="0.25">
      <c r="A22" s="29" t="s">
        <v>79</v>
      </c>
      <c r="B22" s="14"/>
      <c r="C22" s="14"/>
      <c r="D22" s="142"/>
      <c r="E22" s="142"/>
      <c r="F22" s="142"/>
      <c r="G22" s="14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4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4.7 Прил.6 Расчет Прочие</vt:lpstr>
      <vt:lpstr>4.8 Прил. 6.1 Расчет ПНР</vt:lpstr>
      <vt:lpstr>4.9 Прил 6.2 Расчет ПИР</vt:lpstr>
      <vt:lpstr>ФОТр.тек.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2023-12-01T13:26:40Z</cp:lastPrinted>
  <dcterms:created xsi:type="dcterms:W3CDTF">2020-09-30T08:50:27Z</dcterms:created>
  <dcterms:modified xsi:type="dcterms:W3CDTF">2023-12-01T13:26:49Z</dcterms:modified>
  <cp:category/>
</cp:coreProperties>
</file>