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891" firstSheet="0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xlnm.Print_Area" localSheetId="1">'Прил.2 Расч стоим'!$A$1:$J$28</definedName>
    <definedName name="_Toc132270799" localSheetId="2">Прил.3!$A$3</definedName>
    <definedName name="_xlnm.Print_Titles" localSheetId="2">'Прил.3'!$8:$10</definedName>
    <definedName name="_xlnm.Print_Area" localSheetId="2">'Прил.3'!$A$1:$H$62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ОБ'!$A$1:$J$85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Стоимость_УНЦП" localSheetId="6">#REF!</definedName>
    <definedName name="a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#,##0.0000"/>
    <numFmt numFmtId="165" formatCode="_-* #,##0.0\ _₽_-;\-* #,##0.0\ _₽_-;_-* &quot;-&quot;??\ _₽_-;_-@_-"/>
    <numFmt numFmtId="166" formatCode="0.0_ ;\-0.0\ "/>
    <numFmt numFmtId="167" formatCode="0.0000"/>
    <numFmt numFmtId="168" formatCode="#,##0.00_ ;\-#,##0.00\ "/>
    <numFmt numFmtId="169" formatCode="#,##0.00000"/>
    <numFmt numFmtId="170" formatCode="0.000"/>
    <numFmt numFmtId="171" formatCode="#,##0.0"/>
    <numFmt numFmtId="172" formatCode="#,##0.000"/>
  </numFmts>
  <fonts count="23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Arial"/>
      <i val="1"/>
      <color rgb="FF000000"/>
      <sz val="10"/>
    </font>
    <font>
      <name val="Times New Roman"/>
      <b val="1"/>
      <color rgb="FF000000"/>
      <sz val="14"/>
    </font>
    <font>
      <name val="Arial"/>
      <color rgb="FFFF0000"/>
      <sz val="11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b val="1"/>
      <color rgb="FF000000"/>
      <sz val="11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10" fontId="6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43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65" fontId="8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pivotButton="0" quotePrefix="0" xfId="0">
      <alignment vertical="center" wrapText="1"/>
    </xf>
    <xf numFmtId="166" fontId="9" fillId="2" borderId="0" pivotButton="0" quotePrefix="0" xfId="0"/>
    <xf numFmtId="0" fontId="6" fillId="0" borderId="0" applyAlignment="1" pivotButton="0" quotePrefix="0" xfId="0">
      <alignment horizontal="right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167" fontId="0" fillId="4" borderId="7" applyAlignment="1" pivotButton="0" quotePrefix="0" xfId="0">
      <alignment horizontal="center" vertical="center"/>
    </xf>
    <xf numFmtId="167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67" fontId="0" fillId="4" borderId="9" applyAlignment="1" pivotButton="0" quotePrefix="0" xfId="0">
      <alignment horizontal="center" vertical="center"/>
    </xf>
    <xf numFmtId="167" fontId="0" fillId="0" borderId="9" applyAlignment="1" pivotButton="0" quotePrefix="0" xfId="0">
      <alignment horizontal="center" vertical="center"/>
    </xf>
    <xf numFmtId="167" fontId="0" fillId="4" borderId="5" applyAlignment="1" pivotButton="0" quotePrefix="0" xfId="0">
      <alignment horizontal="center" vertical="center"/>
    </xf>
    <xf numFmtId="167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4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0" fillId="5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7" fillId="0" borderId="0" pivotButton="0" quotePrefix="0" xfId="0"/>
    <xf numFmtId="0" fontId="10" fillId="0" borderId="0" applyAlignment="1" pivotButton="0" quotePrefix="0" xfId="0">
      <alignment vertical="center"/>
    </xf>
    <xf numFmtId="168" fontId="11" fillId="0" borderId="0" pivotButton="0" quotePrefix="0" xfId="0"/>
    <xf numFmtId="0" fontId="12" fillId="0" borderId="0" applyAlignment="1" pivotButton="0" quotePrefix="0" xfId="0">
      <alignment vertical="top"/>
    </xf>
    <xf numFmtId="0" fontId="13" fillId="0" borderId="0" applyAlignment="1" pivotButton="0" quotePrefix="0" xfId="0">
      <alignment horizontal="center" vertical="center"/>
    </xf>
    <xf numFmtId="2" fontId="0" fillId="0" borderId="0" pivotButton="0" quotePrefix="0" xfId="0"/>
    <xf numFmtId="2" fontId="1" fillId="0" borderId="0" pivotButton="0" quotePrefix="0" xfId="0"/>
    <xf numFmtId="0" fontId="14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43" fontId="3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horizontal="center" vertical="center" wrapText="1"/>
    </xf>
    <xf numFmtId="169" fontId="2" fillId="2" borderId="1" applyAlignment="1" pivotButton="0" quotePrefix="0" xfId="0">
      <alignment horizontal="center" vertical="center" wrapText="1"/>
    </xf>
    <xf numFmtId="10" fontId="2" fillId="2" borderId="0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3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left" vertical="center" wrapText="1"/>
    </xf>
    <xf numFmtId="2" fontId="2" fillId="2" borderId="11" applyAlignment="1" pivotButton="0" quotePrefix="0" xfId="0">
      <alignment horizontal="center" vertical="center" wrapText="1"/>
    </xf>
    <xf numFmtId="4" fontId="2" fillId="2" borderId="11" applyAlignment="1" pivotButton="0" quotePrefix="0" xfId="0">
      <alignment horizontal="right" vertical="center" wrapText="1"/>
    </xf>
    <xf numFmtId="10" fontId="2" fillId="2" borderId="11" applyAlignment="1" pivotButton="0" quotePrefix="0" xfId="0">
      <alignment horizontal="right" vertical="center" wrapText="1"/>
    </xf>
    <xf numFmtId="0" fontId="6" fillId="0" borderId="2" applyAlignment="1" pivotButton="0" quotePrefix="0" xfId="0">
      <alignment horizontal="center" vertical="center" wrapText="1"/>
    </xf>
    <xf numFmtId="0" fontId="15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4" fontId="16" fillId="0" borderId="2" applyAlignment="1" pivotButton="0" quotePrefix="0" xfId="0">
      <alignment vertical="center" wrapText="1"/>
    </xf>
    <xf numFmtId="4" fontId="16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horizontal="center" vertical="center"/>
    </xf>
    <xf numFmtId="170" fontId="2" fillId="2" borderId="1" applyAlignment="1" pivotButton="0" quotePrefix="0" xfId="0">
      <alignment horizontal="center" vertical="center" wrapText="1"/>
    </xf>
    <xf numFmtId="1" fontId="2" fillId="2" borderId="1" applyAlignment="1" pivotButton="0" quotePrefix="0" xfId="0">
      <alignment horizontal="center" vertical="center" wrapText="1"/>
    </xf>
    <xf numFmtId="43" fontId="2" fillId="2" borderId="1" applyAlignment="1" pivotButton="0" quotePrefix="0" xfId="0">
      <alignment horizontal="right" vertical="center" wrapText="1"/>
    </xf>
    <xf numFmtId="1" fontId="2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right" vertical="center" wrapText="1"/>
    </xf>
    <xf numFmtId="49" fontId="6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171" fontId="6" fillId="0" borderId="1" applyAlignment="1" pivotButton="0" quotePrefix="0" xfId="0">
      <alignment horizontal="center" vertical="center"/>
    </xf>
    <xf numFmtId="172" fontId="6" fillId="0" borderId="1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 wrapText="1"/>
    </xf>
    <xf numFmtId="0" fontId="21" fillId="0" borderId="0" pivotButton="0" quotePrefix="0" xfId="0"/>
    <xf numFmtId="0" fontId="6" fillId="0" borderId="11" applyAlignment="1" pivotButton="0" quotePrefix="0" xfId="0">
      <alignment vertical="center" wrapText="1"/>
    </xf>
    <xf numFmtId="167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wrapText="1"/>
    </xf>
    <xf numFmtId="49" fontId="6" fillId="0" borderId="18" applyAlignment="1" pivotButton="0" quotePrefix="0" xfId="0">
      <alignment horizontal="center" vertical="center"/>
    </xf>
    <xf numFmtId="0" fontId="15" fillId="0" borderId="18" applyAlignment="1" pivotButton="0" quotePrefix="0" xfId="0">
      <alignment vertical="center" wrapText="1"/>
    </xf>
    <xf numFmtId="0" fontId="6" fillId="0" borderId="18" applyAlignment="1" pivotButton="0" quotePrefix="0" xfId="0">
      <alignment horizontal="center" vertical="center" wrapText="1"/>
    </xf>
    <xf numFmtId="4" fontId="15" fillId="0" borderId="18" applyAlignment="1" pivotButton="0" quotePrefix="0" xfId="0">
      <alignment horizontal="center" vertical="center"/>
    </xf>
    <xf numFmtId="0" fontId="6" fillId="0" borderId="18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15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0" borderId="2" applyAlignment="1" pivotButton="0" quotePrefix="0" xfId="0">
      <alignment horizontal="right" vertical="center" wrapText="1"/>
    </xf>
    <xf numFmtId="0" fontId="15" fillId="2" borderId="1" applyAlignment="1" pivotButton="0" quotePrefix="0" xfId="0">
      <alignment horizontal="left" vertical="center" wrapText="1"/>
    </xf>
    <xf numFmtId="0" fontId="15" fillId="0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15" fillId="2" borderId="3" applyAlignment="1" pivotButton="0" quotePrefix="0" xfId="0">
      <alignment horizontal="left" vertical="center" wrapText="1"/>
    </xf>
    <xf numFmtId="0" fontId="15" fillId="2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4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3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center"/>
    </xf>
    <xf numFmtId="2" fontId="18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5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19" pivotButton="0" quotePrefix="0" xfId="0"/>
    <xf numFmtId="0" fontId="0" fillId="0" borderId="20" pivotButton="0" quotePrefix="0" xfId="0"/>
    <xf numFmtId="165" fontId="8" fillId="2" borderId="0" pivotButton="0" quotePrefix="0" xfId="0"/>
    <xf numFmtId="43" fontId="3" fillId="2" borderId="1" applyAlignment="1" pivotButton="0" quotePrefix="0" xfId="0">
      <alignment vertical="center" wrapText="1"/>
    </xf>
    <xf numFmtId="166" fontId="9" fillId="2" borderId="0" pivotButton="0" quotePrefix="0" xfId="0"/>
    <xf numFmtId="170" fontId="2" fillId="2" borderId="1" applyAlignment="1" pivotButton="0" quotePrefix="0" xfId="0">
      <alignment horizontal="center" vertical="center" wrapText="1"/>
    </xf>
    <xf numFmtId="43" fontId="2" fillId="2" borderId="1" applyAlignment="1" pivotButton="0" quotePrefix="0" xfId="0">
      <alignment horizontal="right" vertical="center" wrapText="1"/>
    </xf>
    <xf numFmtId="164" fontId="2" fillId="0" borderId="1" applyAlignment="1" pivotButton="0" quotePrefix="0" xfId="0">
      <alignment horizontal="center" vertical="center" wrapText="1"/>
    </xf>
    <xf numFmtId="43" fontId="3" fillId="0" borderId="1" applyAlignment="1" pivotButton="0" quotePrefix="0" xfId="0">
      <alignment vertical="center" wrapText="1"/>
    </xf>
    <xf numFmtId="168" fontId="11" fillId="0" borderId="0" pivotButton="0" quotePrefix="0" xfId="0"/>
    <xf numFmtId="43" fontId="0" fillId="0" borderId="0" pivotButton="0" quotePrefix="0" xfId="0"/>
    <xf numFmtId="164" fontId="2" fillId="2" borderId="1" applyAlignment="1" pivotButton="0" quotePrefix="0" xfId="0">
      <alignment horizontal="center" vertical="center" wrapText="1"/>
    </xf>
    <xf numFmtId="43" fontId="1" fillId="0" borderId="0" pivotButton="0" quotePrefix="0" xfId="0"/>
    <xf numFmtId="169" fontId="2" fillId="2" borderId="1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left" vertical="center" wrapText="1"/>
    </xf>
    <xf numFmtId="0" fontId="0" fillId="0" borderId="14" pivotButton="0" quotePrefix="0" xfId="0"/>
    <xf numFmtId="43" fontId="2" fillId="0" borderId="1" applyAlignment="1" pivotButton="0" quotePrefix="0" xfId="0">
      <alignment horizontal="right" vertical="center" wrapText="1"/>
    </xf>
    <xf numFmtId="171" fontId="6" fillId="0" borderId="1" applyAlignment="1" pivotButton="0" quotePrefix="0" xfId="0">
      <alignment horizontal="center" vertical="center"/>
    </xf>
    <xf numFmtId="172" fontId="6" fillId="0" borderId="1" applyAlignment="1" pivotButton="0" quotePrefix="0" xfId="0">
      <alignment horizontal="center" vertical="center"/>
    </xf>
    <xf numFmtId="167" fontId="6" fillId="0" borderId="1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G32"/>
  <sheetViews>
    <sheetView view="pageBreakPreview" topLeftCell="A22" zoomScale="145" zoomScaleNormal="85" zoomScaleSheetLayoutView="145" workbookViewId="0">
      <selection activeCell="D26" sqref="D26"/>
    </sheetView>
  </sheetViews>
  <sheetFormatPr baseColWidth="8" defaultRowHeight="15"/>
  <cols>
    <col width="36.85546875" customWidth="1" min="3" max="3"/>
    <col width="39.42578125" customWidth="1" min="4" max="4"/>
    <col width="14.28515625" customWidth="1" min="7" max="7"/>
    <col width="15" customWidth="1" min="10" max="10"/>
  </cols>
  <sheetData>
    <row r="3" ht="15.75" customHeight="1">
      <c r="B3" s="137" t="inlineStr">
        <is>
          <t>Приложение № 1</t>
        </is>
      </c>
    </row>
    <row r="4" ht="18.75" customHeight="1">
      <c r="B4" s="138" t="inlineStr">
        <is>
          <t>Сравнительная таблица отбора объекта-представителя</t>
        </is>
      </c>
    </row>
    <row r="5" ht="84" customHeight="1">
      <c r="B5" s="13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70" t="n"/>
      <c r="C6" s="70" t="n"/>
      <c r="D6" s="70" t="n"/>
    </row>
    <row r="7" ht="36" customHeight="1">
      <c r="B7" s="140" t="inlineStr">
        <is>
          <t>Наименование разрабатываемого показателя УНЦ — Ячейка выключателя РП (СП, ТП, РТП) 6-15 кВ, ном. ток 3150 А, ном. ток отключения 20 кА</t>
        </is>
      </c>
    </row>
    <row r="8" ht="15.6" customHeight="1">
      <c r="B8" s="140" t="inlineStr">
        <is>
          <t>Сопоставимый уровень цен: 3 квартал 2018 года</t>
        </is>
      </c>
    </row>
    <row r="9" ht="15.75" customHeight="1">
      <c r="B9" s="140" t="inlineStr">
        <is>
          <t>Единица измерения  — 1 ячейка</t>
        </is>
      </c>
    </row>
    <row r="10" ht="18.75" customHeight="1">
      <c r="B10" s="22" t="n"/>
    </row>
    <row r="11" ht="15.75" customHeight="1">
      <c r="B11" s="142" t="inlineStr">
        <is>
          <t>№ п/п</t>
        </is>
      </c>
      <c r="C11" s="142" t="inlineStr">
        <is>
          <t>Параметр</t>
        </is>
      </c>
      <c r="D11" s="142" t="inlineStr">
        <is>
          <t xml:space="preserve">Объект-представитель </t>
        </is>
      </c>
    </row>
    <row r="12" ht="93.59999999999999" customHeight="1">
      <c r="B12" s="142" t="n">
        <v>1</v>
      </c>
      <c r="C12" s="50" t="inlineStr">
        <is>
          <t>Наименование объекта-представителя</t>
        </is>
      </c>
      <c r="D12" s="104" t="inlineStr">
        <is>
          <t>Строительство ПС 110/15 кВ Индустриальная с двумя трансформаторами 2х40 МВА, строительство заходов ВЛ 110 кВ протяженностью 3,3 км, трех РП 15 кВ и КЛ 15 кВ протяженностью 5,9 км</t>
        </is>
      </c>
    </row>
    <row r="13" ht="31.5" customHeight="1">
      <c r="B13" s="142" t="n">
        <v>2</v>
      </c>
      <c r="C13" s="50" t="inlineStr">
        <is>
          <t>Наименование субъекта Российской Федерации</t>
        </is>
      </c>
      <c r="D13" s="142" t="inlineStr">
        <is>
          <t>Калининградская область</t>
        </is>
      </c>
    </row>
    <row r="14" ht="15.75" customHeight="1">
      <c r="B14" s="142" t="n">
        <v>3</v>
      </c>
      <c r="C14" s="50" t="inlineStr">
        <is>
          <t>Климатический район и подрайон</t>
        </is>
      </c>
      <c r="D14" s="142" t="inlineStr">
        <is>
          <t>IIБ</t>
        </is>
      </c>
    </row>
    <row r="15" ht="15.75" customHeight="1">
      <c r="B15" s="142" t="n">
        <v>4</v>
      </c>
      <c r="C15" s="50" t="inlineStr">
        <is>
          <t>Мощность объекта</t>
        </is>
      </c>
      <c r="D15" s="142" t="n">
        <v>1</v>
      </c>
    </row>
    <row r="16" ht="94.5" customHeight="1">
      <c r="B16" s="142" t="n">
        <v>5</v>
      </c>
      <c r="C16" s="2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2" t="inlineStr">
        <is>
          <t>Ячейка выключателя РП 6-15 кВ, ном. ток 3150 А, ном. ток отключения 20 кА</t>
        </is>
      </c>
    </row>
    <row r="17" ht="78.75" customHeight="1">
      <c r="B17" s="142" t="n">
        <v>6</v>
      </c>
      <c r="C17" s="2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08">
        <f>D18+D19+D20+D21</f>
        <v/>
      </c>
    </row>
    <row r="18" ht="15.75" customHeight="1">
      <c r="B18" s="71" t="inlineStr">
        <is>
          <t>6.1</t>
        </is>
      </c>
      <c r="C18" s="50" t="inlineStr">
        <is>
          <t>строительно-монтажные работы</t>
        </is>
      </c>
      <c r="D18" s="108" t="n">
        <v>1862.17</v>
      </c>
    </row>
    <row r="19" ht="15.75" customHeight="1">
      <c r="B19" s="71" t="inlineStr">
        <is>
          <t>6.2</t>
        </is>
      </c>
      <c r="C19" s="50" t="inlineStr">
        <is>
          <t>оборудование и инвентарь</t>
        </is>
      </c>
      <c r="D19" s="108" t="n">
        <v>1224.32</v>
      </c>
    </row>
    <row r="20" ht="15.75" customHeight="1">
      <c r="B20" s="71" t="inlineStr">
        <is>
          <t>6.3</t>
        </is>
      </c>
      <c r="C20" s="50" t="inlineStr">
        <is>
          <t>пусконаладочные работы</t>
        </is>
      </c>
      <c r="D20" s="108" t="n"/>
    </row>
    <row r="21" ht="15.75" customHeight="1">
      <c r="B21" s="71" t="inlineStr">
        <is>
          <t>6.4</t>
        </is>
      </c>
      <c r="C21" s="50" t="inlineStr">
        <is>
          <t>прочие и лимитированные затраты</t>
        </is>
      </c>
      <c r="D21" s="108" t="n">
        <v>391.24</v>
      </c>
    </row>
    <row r="22" ht="15.75" customHeight="1">
      <c r="B22" s="142" t="n">
        <v>7</v>
      </c>
      <c r="C22" s="50" t="inlineStr">
        <is>
          <t>Сопоставимый уровень цен</t>
        </is>
      </c>
      <c r="D22" s="109" t="inlineStr">
        <is>
          <t>3 квартал 2018 года</t>
        </is>
      </c>
      <c r="G22" s="78" t="n"/>
    </row>
    <row r="23" ht="110.25" customHeight="1">
      <c r="B23" s="142" t="n">
        <v>8</v>
      </c>
      <c r="C23" s="2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08">
        <f>D17</f>
        <v/>
      </c>
    </row>
    <row r="24" ht="47.25" customHeight="1">
      <c r="B24" s="142" t="n">
        <v>9</v>
      </c>
      <c r="C24" s="24" t="inlineStr">
        <is>
          <t>Приведенная сметная стоимость на единицу мощности, тыс. руб. (строка 8/строку 4)</t>
        </is>
      </c>
      <c r="D24" s="108">
        <f>D23/D15</f>
        <v/>
      </c>
      <c r="G24" s="78" t="n"/>
    </row>
    <row r="25" hidden="1" ht="110.25" customHeight="1">
      <c r="B25" s="142" t="n">
        <v>10</v>
      </c>
      <c r="C25" s="50" t="inlineStr">
        <is>
          <t>Примечание</t>
        </is>
      </c>
      <c r="D25" s="50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>
      <c r="B26" s="72" t="n"/>
      <c r="C26" s="73" t="n"/>
      <c r="D26" s="73" t="n"/>
    </row>
    <row r="27">
      <c r="B27" s="6" t="inlineStr">
        <is>
          <t>Составил ______________________        Е.А. Князева</t>
        </is>
      </c>
      <c r="C27" s="1" t="n"/>
    </row>
    <row r="28">
      <c r="B28" s="74" t="inlineStr">
        <is>
          <t xml:space="preserve">                         (подпись, инициалы, фамилия)</t>
        </is>
      </c>
      <c r="C28" s="1" t="n"/>
    </row>
    <row r="29">
      <c r="B29" s="74" t="n"/>
      <c r="C29" s="1" t="n"/>
    </row>
    <row r="30">
      <c r="B30" s="6" t="inlineStr">
        <is>
          <t>Проверил ______________________        А.В. Костянецкая</t>
        </is>
      </c>
      <c r="C30" s="1" t="n"/>
    </row>
    <row r="31">
      <c r="B31" s="74" t="inlineStr">
        <is>
          <t xml:space="preserve">                        (подпись, инициалы, фамилия)</t>
        </is>
      </c>
      <c r="C31" s="1" t="n"/>
    </row>
    <row r="32" ht="15.75" customHeight="1">
      <c r="B32" s="73" t="n"/>
      <c r="C32" s="73" t="n"/>
      <c r="D32" s="73" t="n"/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80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2"/>
  <sheetViews>
    <sheetView view="pageBreakPreview" topLeftCell="A15" zoomScale="145" zoomScaleNormal="100" zoomScaleSheetLayoutView="145" workbookViewId="0">
      <selection activeCell="F18" sqref="F18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9.710937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width="18" customWidth="1" min="11" max="11"/>
  </cols>
  <sheetData>
    <row r="3" ht="15.75" customHeight="1">
      <c r="B3" s="137" t="inlineStr">
        <is>
          <t>Приложение № 2</t>
        </is>
      </c>
    </row>
    <row r="4" ht="15.75" customHeight="1">
      <c r="B4" s="143" t="inlineStr">
        <is>
          <t>Расчет стоимости основных видов работ для выбора объекта-представителя</t>
        </is>
      </c>
    </row>
    <row r="5" ht="15.75" customHeight="1"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</row>
    <row r="6" ht="15.75" customHeight="1">
      <c r="B6" s="140">
        <f>'Прил.1 Сравнит табл'!B7</f>
        <v/>
      </c>
    </row>
    <row r="7" ht="15.75" customHeight="1">
      <c r="B7" s="140">
        <f>'Прил.1 Сравнит табл'!B9</f>
        <v/>
      </c>
    </row>
    <row r="8" ht="18.75" customHeight="1">
      <c r="B8" s="22" t="n"/>
    </row>
    <row r="9" ht="15.75" customHeight="1">
      <c r="B9" s="142" t="inlineStr">
        <is>
          <t>№ п/п</t>
        </is>
      </c>
      <c r="C9" s="14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2" t="inlineStr">
        <is>
          <t>Объект-представитель 1</t>
        </is>
      </c>
      <c r="E9" s="186" t="n"/>
      <c r="F9" s="186" t="n"/>
      <c r="G9" s="186" t="n"/>
      <c r="H9" s="186" t="n"/>
      <c r="I9" s="186" t="n"/>
      <c r="J9" s="187" t="n"/>
    </row>
    <row r="10" ht="15.75" customHeight="1">
      <c r="B10" s="188" t="n"/>
      <c r="C10" s="188" t="n"/>
      <c r="D10" s="142" t="inlineStr">
        <is>
          <t>Номер сметы</t>
        </is>
      </c>
      <c r="E10" s="142" t="inlineStr">
        <is>
          <t>Наименование сметы</t>
        </is>
      </c>
      <c r="F10" s="142" t="inlineStr">
        <is>
          <t>Сметная стоимость в уровне цен 3 кв. 2018 г., тыс. руб.</t>
        </is>
      </c>
      <c r="G10" s="186" t="n"/>
      <c r="H10" s="186" t="n"/>
      <c r="I10" s="186" t="n"/>
      <c r="J10" s="187" t="n"/>
    </row>
    <row r="11" ht="31.5" customHeight="1">
      <c r="B11" s="189" t="n"/>
      <c r="C11" s="189" t="n"/>
      <c r="D11" s="189" t="n"/>
      <c r="E11" s="189" t="n"/>
      <c r="F11" s="142" t="inlineStr">
        <is>
          <t>Строительные работы</t>
        </is>
      </c>
      <c r="G11" s="142" t="inlineStr">
        <is>
          <t>Монтажные работы</t>
        </is>
      </c>
      <c r="H11" s="142" t="inlineStr">
        <is>
          <t>Оборудование</t>
        </is>
      </c>
      <c r="I11" s="142" t="inlineStr">
        <is>
          <t>Прочее</t>
        </is>
      </c>
      <c r="J11" s="142" t="inlineStr">
        <is>
          <t>Всего</t>
        </is>
      </c>
    </row>
    <row r="12" ht="78" customHeight="1">
      <c r="B12" s="142" t="n">
        <v>1</v>
      </c>
      <c r="C12" s="142" t="inlineStr">
        <is>
          <t>Ячейка выключателя РП 6-15 кВ, ном. ток 3150 А, ном. ток отключения 20 кА</t>
        </is>
      </c>
      <c r="D12" s="71" t="inlineStr">
        <is>
          <t>02-01-06</t>
        </is>
      </c>
      <c r="E12" s="142" t="inlineStr">
        <is>
          <t>Система электроснабжения.
Собственные нужды. Система переменного тока</t>
        </is>
      </c>
      <c r="F12" s="108">
        <f>232481*8.01/1000</f>
        <v/>
      </c>
      <c r="G12" s="108" t="n"/>
      <c r="H12" s="108">
        <f>270270*4.53/1000</f>
        <v/>
      </c>
      <c r="I12" s="108">
        <f>43812*8.93/1000</f>
        <v/>
      </c>
      <c r="J12" s="108">
        <f>SUM(F12:I12)</f>
        <v/>
      </c>
    </row>
    <row r="13" ht="15" customHeight="1">
      <c r="B13" s="144" t="inlineStr">
        <is>
          <t>Всего по объекту:</t>
        </is>
      </c>
      <c r="C13" s="190" t="n"/>
      <c r="D13" s="190" t="n"/>
      <c r="E13" s="191" t="n"/>
      <c r="F13" s="110">
        <f>SUM(F12)</f>
        <v/>
      </c>
      <c r="G13" s="110" t="n"/>
      <c r="H13" s="110">
        <f>SUM(H12)</f>
        <v/>
      </c>
      <c r="I13" s="110">
        <f>SUM(I12)</f>
        <v/>
      </c>
      <c r="J13" s="110">
        <f>SUM(J12)</f>
        <v/>
      </c>
    </row>
    <row r="14" ht="15.75" customHeight="1">
      <c r="B14" s="141" t="inlineStr">
        <is>
          <t>Всего по объекту в сопоставимом уровне цен 3 кв. 2018 г:</t>
        </is>
      </c>
      <c r="C14" s="186" t="n"/>
      <c r="D14" s="186" t="n"/>
      <c r="E14" s="187" t="n"/>
      <c r="F14" s="111">
        <f>F13</f>
        <v/>
      </c>
      <c r="G14" s="111" t="n"/>
      <c r="H14" s="111">
        <f>H13</f>
        <v/>
      </c>
      <c r="I14" s="111">
        <f>I13</f>
        <v/>
      </c>
      <c r="J14" s="111">
        <f>J13</f>
        <v/>
      </c>
    </row>
    <row r="18">
      <c r="C18" s="6" t="inlineStr">
        <is>
          <t>Составил ______________________        Е.А. Князева</t>
        </is>
      </c>
      <c r="D18" s="1" t="n"/>
    </row>
    <row r="19">
      <c r="C19" s="74" t="inlineStr">
        <is>
          <t xml:space="preserve">                         (подпись, инициалы, фамилия)</t>
        </is>
      </c>
      <c r="D19" s="1" t="n"/>
    </row>
    <row r="20">
      <c r="C20" s="6" t="n"/>
      <c r="D20" s="1" t="n"/>
    </row>
    <row r="21">
      <c r="C21" s="6" t="inlineStr">
        <is>
          <t>Проверил ______________________        А.В. Костянецкая</t>
        </is>
      </c>
      <c r="D21" s="1" t="n"/>
    </row>
    <row r="22">
      <c r="C22" s="74" t="inlineStr">
        <is>
          <t xml:space="preserve">                        (подпись, инициалы, фамилия)</t>
        </is>
      </c>
      <c r="D22" s="1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7" fitToHeight="0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61"/>
  <sheetViews>
    <sheetView view="pageBreakPreview" topLeftCell="A47" zoomScale="160" zoomScaleSheetLayoutView="160" workbookViewId="0">
      <selection activeCell="E56" sqref="E56"/>
    </sheetView>
  </sheetViews>
  <sheetFormatPr baseColWidth="8" defaultRowHeight="15"/>
  <cols>
    <col width="12.5703125" customWidth="1" min="2" max="2"/>
    <col width="17" customWidth="1" min="3" max="3"/>
    <col width="49.7109375" customWidth="1" min="4" max="4"/>
    <col width="16.28515625" customWidth="1" min="5" max="5"/>
    <col width="20.7109375" customWidth="1" min="6" max="6"/>
    <col width="16.140625" customWidth="1" min="7" max="7"/>
    <col width="16.7109375" customWidth="1" min="8" max="8"/>
    <col width="4.5703125" customWidth="1" min="9" max="9"/>
    <col width="5.140625" customWidth="1" min="10" max="10"/>
    <col width="13" customWidth="1" min="11" max="11"/>
    <col width="9.140625" customWidth="1" min="12" max="12"/>
  </cols>
  <sheetData>
    <row r="2" ht="15.75" customHeight="1">
      <c r="A2" s="137" t="inlineStr">
        <is>
          <t xml:space="preserve">Приложение № 3 </t>
        </is>
      </c>
    </row>
    <row r="3" ht="18.75" customHeight="1">
      <c r="A3" s="138" t="inlineStr">
        <is>
          <t>Объектная ресурсная ведомость</t>
        </is>
      </c>
    </row>
    <row r="4">
      <c r="B4" s="76" t="n"/>
    </row>
    <row r="5" ht="18.75" customHeight="1">
      <c r="A5" s="138" t="n"/>
      <c r="B5" s="138" t="n"/>
      <c r="C5" s="150" t="n"/>
    </row>
    <row r="6" ht="18.75" customHeight="1">
      <c r="A6" s="22" t="n"/>
    </row>
    <row r="7" ht="15.6" customHeight="1">
      <c r="A7" s="147">
        <f>'Прил.1 Сравнит табл'!B7</f>
        <v/>
      </c>
    </row>
    <row r="8" ht="15.75" customHeight="1">
      <c r="A8" s="26" t="n"/>
      <c r="B8" s="26" t="n"/>
      <c r="C8" s="26" t="n"/>
      <c r="D8" s="26" t="n"/>
      <c r="E8" s="26" t="n"/>
      <c r="F8" s="26" t="n"/>
      <c r="G8" s="26" t="n"/>
      <c r="H8" s="192" t="n"/>
    </row>
    <row r="9" ht="38.25" customHeight="1">
      <c r="A9" s="142" t="inlineStr">
        <is>
          <t>п/п</t>
        </is>
      </c>
      <c r="B9" s="142" t="inlineStr">
        <is>
          <t>№ЛСР</t>
        </is>
      </c>
      <c r="C9" s="142" t="inlineStr">
        <is>
          <t>Код ресурса</t>
        </is>
      </c>
      <c r="D9" s="142" t="inlineStr">
        <is>
          <t>Наименование ресурса</t>
        </is>
      </c>
      <c r="E9" s="142" t="inlineStr">
        <is>
          <t>Ед. изм.</t>
        </is>
      </c>
      <c r="F9" s="142" t="inlineStr">
        <is>
          <t>Кол-во единиц по данным объекта-представителя</t>
        </is>
      </c>
      <c r="G9" s="142" t="inlineStr">
        <is>
          <t>Сметная стоимость в ценах на 01.01.2000 (руб.)</t>
        </is>
      </c>
      <c r="H9" s="187" t="n"/>
    </row>
    <row r="10" ht="40.5" customHeight="1">
      <c r="A10" s="189" t="n"/>
      <c r="B10" s="189" t="n"/>
      <c r="C10" s="189" t="n"/>
      <c r="D10" s="189" t="n"/>
      <c r="E10" s="189" t="n"/>
      <c r="F10" s="189" t="n"/>
      <c r="G10" s="142" t="inlineStr">
        <is>
          <t>на ед.изм.</t>
        </is>
      </c>
      <c r="H10" s="142" t="inlineStr">
        <is>
          <t>общая</t>
        </is>
      </c>
    </row>
    <row r="11" ht="15.75" customHeight="1">
      <c r="A11" s="142" t="n">
        <v>1</v>
      </c>
      <c r="B11" s="29" t="n"/>
      <c r="C11" s="142" t="n">
        <v>2</v>
      </c>
      <c r="D11" s="142" t="inlineStr">
        <is>
          <t>З</t>
        </is>
      </c>
      <c r="E11" s="142" t="n">
        <v>4</v>
      </c>
      <c r="F11" s="142" t="n">
        <v>5</v>
      </c>
      <c r="G11" s="29" t="n">
        <v>6</v>
      </c>
      <c r="H11" s="29" t="n">
        <v>7</v>
      </c>
    </row>
    <row r="12" ht="15" customHeight="1">
      <c r="A12" s="148" t="inlineStr">
        <is>
          <t>Затраты труда рабочих</t>
        </is>
      </c>
      <c r="B12" s="186" t="n"/>
      <c r="C12" s="186" t="n"/>
      <c r="D12" s="186" t="n"/>
      <c r="E12" s="186" t="n"/>
      <c r="F12" s="193">
        <f>SUM(F13:F14)</f>
        <v/>
      </c>
      <c r="G12" s="84" t="n"/>
      <c r="H12" s="193">
        <f>SUM(H13:H14)</f>
        <v/>
      </c>
      <c r="J12" s="194" t="n"/>
      <c r="K12" s="18" t="n"/>
    </row>
    <row r="13">
      <c r="A13" s="86" t="n">
        <v>1</v>
      </c>
      <c r="B13" s="112" t="n"/>
      <c r="C13" s="86" t="inlineStr">
        <is>
          <t>1-4-0</t>
        </is>
      </c>
      <c r="D13" s="165" t="inlineStr">
        <is>
          <t>Затраты труда рабочих (средний разряд работы 4,0)</t>
        </is>
      </c>
      <c r="E13" s="166" t="inlineStr">
        <is>
          <t>чел.-ч</t>
        </is>
      </c>
      <c r="F13" s="195" t="n">
        <v>76.180774367379</v>
      </c>
      <c r="G13" s="92" t="n">
        <v>9.619999999999999</v>
      </c>
      <c r="H13" s="92">
        <f>ROUND(F13*G13,2)</f>
        <v/>
      </c>
    </row>
    <row r="14">
      <c r="A14" s="114">
        <f>A13+1</f>
        <v/>
      </c>
      <c r="B14" s="112" t="n"/>
      <c r="C14" s="86" t="inlineStr">
        <is>
          <t>1-4-2</t>
        </is>
      </c>
      <c r="D14" s="165" t="inlineStr">
        <is>
          <t>Затраты труда рабочих (средний разряд работы 4,2)</t>
        </is>
      </c>
      <c r="E14" s="166" t="inlineStr">
        <is>
          <t>чел.-ч</t>
        </is>
      </c>
      <c r="F14" s="195" t="n">
        <v>3.3936006326214</v>
      </c>
      <c r="G14" s="92" t="n">
        <v>9.92</v>
      </c>
      <c r="H14" s="92">
        <f>ROUND(F14*G14,2)</f>
        <v/>
      </c>
    </row>
    <row r="15" ht="15" customHeight="1">
      <c r="A15" s="145" t="inlineStr">
        <is>
          <t>Затраты труда машинистов</t>
        </is>
      </c>
      <c r="B15" s="186" t="n"/>
      <c r="C15" s="186" t="n"/>
      <c r="D15" s="186" t="n"/>
      <c r="E15" s="187" t="n"/>
      <c r="F15" s="84" t="n"/>
      <c r="G15" s="84" t="n"/>
      <c r="H15" s="193">
        <f>H16</f>
        <v/>
      </c>
    </row>
    <row r="16">
      <c r="A16" s="114">
        <f>A14+1</f>
        <v/>
      </c>
      <c r="B16" s="112" t="n"/>
      <c r="C16" s="86" t="n">
        <v>2</v>
      </c>
      <c r="D16" s="165" t="inlineStr">
        <is>
          <t>Затраты труда машинистов</t>
        </is>
      </c>
      <c r="E16" s="166" t="inlineStr">
        <is>
          <t>чел.-ч</t>
        </is>
      </c>
      <c r="F16" s="166" t="n">
        <v>21.9884375</v>
      </c>
      <c r="G16" s="92" t="n"/>
      <c r="H16" s="196">
        <f>'Прил.5 Расчет СМР и ОБ'!G16</f>
        <v/>
      </c>
      <c r="L16" s="28" t="n"/>
    </row>
    <row r="17" ht="15" customHeight="1">
      <c r="A17" s="145" t="inlineStr">
        <is>
          <t>Машины и механизмы</t>
        </is>
      </c>
      <c r="B17" s="186" t="n"/>
      <c r="C17" s="186" t="n"/>
      <c r="D17" s="186" t="n"/>
      <c r="E17" s="187" t="n"/>
      <c r="F17" s="84" t="n"/>
      <c r="G17" s="84" t="n"/>
      <c r="H17" s="193">
        <f>SUM(H18:H26)</f>
        <v/>
      </c>
      <c r="K17" s="18" t="n"/>
    </row>
    <row r="18" ht="25.5" customHeight="1">
      <c r="A18" s="86">
        <f>A16+1</f>
        <v/>
      </c>
      <c r="B18" s="112" t="n"/>
      <c r="C18" s="86" t="inlineStr">
        <is>
          <t>91.06.03-058</t>
        </is>
      </c>
      <c r="D18" s="165" t="inlineStr">
        <is>
          <t>Лебедки электрические тяговым усилием 156,96 кН (16 т)</t>
        </is>
      </c>
      <c r="E18" s="166" t="inlineStr">
        <is>
          <t>маш.-ч</t>
        </is>
      </c>
      <c r="F18" s="166" t="n">
        <v>15.538125</v>
      </c>
      <c r="G18" s="96" t="n">
        <v>131.44</v>
      </c>
      <c r="H18" s="92">
        <f>ROUND(F18*G18,2)</f>
        <v/>
      </c>
    </row>
    <row r="19" ht="25.5" customHeight="1">
      <c r="A19" s="86">
        <f>A18+1</f>
        <v/>
      </c>
      <c r="B19" s="112" t="n"/>
      <c r="C19" s="86" t="inlineStr">
        <is>
          <t>91.05.05-014</t>
        </is>
      </c>
      <c r="D19" s="165" t="inlineStr">
        <is>
          <t>Краны на автомобильном ходу, грузоподъемность 10 т</t>
        </is>
      </c>
      <c r="E19" s="166" t="inlineStr">
        <is>
          <t>маш.-ч</t>
        </is>
      </c>
      <c r="F19" s="167" t="n">
        <v>3.1253125</v>
      </c>
      <c r="G19" s="96" t="n">
        <v>111.99</v>
      </c>
      <c r="H19" s="92">
        <f>ROUND(F19*G19,2)</f>
        <v/>
      </c>
    </row>
    <row r="20">
      <c r="A20" s="86">
        <f>A19+1</f>
        <v/>
      </c>
      <c r="B20" s="112" t="n"/>
      <c r="C20" s="86" t="inlineStr">
        <is>
          <t>91.14.02-001</t>
        </is>
      </c>
      <c r="D20" s="165" t="inlineStr">
        <is>
          <t>Автомобили бортовые, грузоподъемность: до 5 т</t>
        </is>
      </c>
      <c r="E20" s="166" t="inlineStr">
        <is>
          <t>маш.-ч</t>
        </is>
      </c>
      <c r="F20" s="166" t="n">
        <v>3.096875</v>
      </c>
      <c r="G20" s="96" t="n">
        <v>65.70999999999999</v>
      </c>
      <c r="H20" s="92">
        <f>ROUND(F20*G20,2)</f>
        <v/>
      </c>
    </row>
    <row r="21" ht="25.5" customHeight="1">
      <c r="A21" s="86">
        <f>A20+1</f>
        <v/>
      </c>
      <c r="B21" s="112" t="n"/>
      <c r="C21" s="86" t="inlineStr">
        <is>
          <t>91.17.04-161</t>
        </is>
      </c>
      <c r="D21" s="165" t="inlineStr">
        <is>
          <t>Полуавтоматы сварочные номинальным сварочным током 40-500 А</t>
        </is>
      </c>
      <c r="E21" s="166" t="inlineStr">
        <is>
          <t>маш.-ч</t>
        </is>
      </c>
      <c r="F21" s="166" t="n">
        <v>3.5625</v>
      </c>
      <c r="G21" s="96" t="n">
        <v>16.44</v>
      </c>
      <c r="H21" s="92">
        <f>ROUND(F21*G21,2)</f>
        <v/>
      </c>
    </row>
    <row r="22">
      <c r="A22" s="86">
        <f>A21+1</f>
        <v/>
      </c>
      <c r="B22" s="112" t="n"/>
      <c r="C22" s="86" t="inlineStr">
        <is>
          <t>91.21.22-438</t>
        </is>
      </c>
      <c r="D22" s="165" t="inlineStr">
        <is>
          <t>Установка: передвижная цеолитовая</t>
        </is>
      </c>
      <c r="E22" s="166" t="inlineStr">
        <is>
          <t>маш.-ч</t>
        </is>
      </c>
      <c r="F22" s="166" t="n">
        <v>0.9875</v>
      </c>
      <c r="G22" s="96" t="n">
        <v>38.65</v>
      </c>
      <c r="H22" s="92">
        <f>ROUND(F22*G22,2)</f>
        <v/>
      </c>
    </row>
    <row r="23">
      <c r="A23" s="86">
        <f>A22+1</f>
        <v/>
      </c>
      <c r="B23" s="112" t="n"/>
      <c r="C23" s="86" t="inlineStr">
        <is>
          <t>91.19.12-021</t>
        </is>
      </c>
      <c r="D23" s="165" t="inlineStr">
        <is>
          <t>Насос вакуумный: 3,6 м3/мин</t>
        </is>
      </c>
      <c r="E23" s="166" t="inlineStr">
        <is>
          <t>маш.-ч</t>
        </is>
      </c>
      <c r="F23" s="166" t="n">
        <v>3.8875</v>
      </c>
      <c r="G23" s="96" t="n">
        <v>6.28</v>
      </c>
      <c r="H23" s="92">
        <f>ROUND(F23*G23,2)</f>
        <v/>
      </c>
    </row>
    <row r="24" ht="25.5" customHeight="1">
      <c r="A24" s="86">
        <f>A23+1</f>
        <v/>
      </c>
      <c r="B24" s="112" t="n"/>
      <c r="C24" s="86" t="inlineStr">
        <is>
          <t>91.21.22-091</t>
        </is>
      </c>
      <c r="D24" s="165" t="inlineStr">
        <is>
          <t>Выпрямитель полупроводниковый для подогрева трансформаторов</t>
        </is>
      </c>
      <c r="E24" s="166" t="inlineStr">
        <is>
          <t>маш.-ч</t>
        </is>
      </c>
      <c r="F24" s="166" t="n">
        <v>4.7125</v>
      </c>
      <c r="G24" s="96" t="n">
        <v>3.82</v>
      </c>
      <c r="H24" s="92">
        <f>ROUND(F24*G24,2)</f>
        <v/>
      </c>
    </row>
    <row r="25" ht="25.5" customHeight="1">
      <c r="A25" s="86">
        <f>A24+1</f>
        <v/>
      </c>
      <c r="B25" s="112" t="n"/>
      <c r="C25" s="86" t="inlineStr">
        <is>
          <t>91.19.02-002</t>
        </is>
      </c>
      <c r="D25" s="165" t="inlineStr">
        <is>
          <t>Маслонасосы шестеренные, производительность м3/час: 2,3</t>
        </is>
      </c>
      <c r="E25" s="166" t="inlineStr">
        <is>
          <t>маш.-ч</t>
        </is>
      </c>
      <c r="F25" s="166" t="n">
        <v>0.2475</v>
      </c>
      <c r="G25" s="96" t="n">
        <v>0.9</v>
      </c>
      <c r="H25" s="92">
        <f>ROUND(F25*G25,2)</f>
        <v/>
      </c>
    </row>
    <row r="26" ht="25.5" customHeight="1">
      <c r="A26" s="86">
        <f>A25+1</f>
        <v/>
      </c>
      <c r="B26" s="112" t="n"/>
      <c r="C26" s="86" t="inlineStr">
        <is>
          <t>91.17.04-233</t>
        </is>
      </c>
      <c r="D26" s="165" t="inlineStr">
        <is>
          <t>Установки для сварки: ручной дуговой (постоянного тока)</t>
        </is>
      </c>
      <c r="E26" s="166" t="inlineStr">
        <is>
          <t>маш.-ч</t>
        </is>
      </c>
      <c r="F26" s="166" t="n">
        <v>0.0125</v>
      </c>
      <c r="G26" s="96" t="n">
        <v>8.1</v>
      </c>
      <c r="H26" s="92">
        <f>ROUND(F26*G26,2)</f>
        <v/>
      </c>
    </row>
    <row r="27" ht="15" customHeight="1">
      <c r="A27" s="145" t="inlineStr">
        <is>
          <t>Оборудование</t>
        </is>
      </c>
      <c r="B27" s="186" t="n"/>
      <c r="C27" s="186" t="n"/>
      <c r="D27" s="186" t="n"/>
      <c r="E27" s="187" t="n"/>
      <c r="F27" s="84" t="n"/>
      <c r="G27" s="84" t="n"/>
      <c r="H27" s="193">
        <f>SUM(H28:H28)</f>
        <v/>
      </c>
    </row>
    <row r="28" ht="25.5" customHeight="1">
      <c r="A28" s="114">
        <f>A26+1</f>
        <v/>
      </c>
      <c r="B28" s="159" t="n"/>
      <c r="C28" s="41" t="inlineStr">
        <is>
          <t>Прайс из СД ОП</t>
        </is>
      </c>
      <c r="D28" s="154" t="inlineStr">
        <is>
          <t>Ячейка выключателя РП 6-15 кВ, ном. ток 3150 А, ном. ток отключения 20 кА</t>
        </is>
      </c>
      <c r="E28" s="155" t="inlineStr">
        <is>
          <t>шт.</t>
        </is>
      </c>
      <c r="F28" s="197" t="n">
        <v>1</v>
      </c>
      <c r="G28" s="92" t="n">
        <v>341265.564</v>
      </c>
      <c r="H28" s="92" t="n">
        <v>341265.56</v>
      </c>
    </row>
    <row r="29" ht="15" customHeight="1">
      <c r="A29" s="146" t="inlineStr">
        <is>
          <t>Материалы</t>
        </is>
      </c>
      <c r="B29" s="186" t="n"/>
      <c r="C29" s="186" t="n"/>
      <c r="D29" s="186" t="n"/>
      <c r="E29" s="187" t="n"/>
      <c r="F29" s="31" t="n"/>
      <c r="G29" s="31" t="n"/>
      <c r="H29" s="198" t="n">
        <v>17096.09</v>
      </c>
      <c r="K29" s="18" t="n"/>
    </row>
    <row r="30">
      <c r="A30" s="116">
        <f>A28+1</f>
        <v/>
      </c>
      <c r="B30" s="20" t="n"/>
      <c r="C30" s="41" t="inlineStr">
        <is>
          <t>01.1.02.01-0003</t>
        </is>
      </c>
      <c r="D30" s="154" t="inlineStr">
        <is>
          <t>Асботекстолит, марка Г</t>
        </is>
      </c>
      <c r="E30" s="155" t="inlineStr">
        <is>
          <t>т</t>
        </is>
      </c>
      <c r="F30" s="155" t="n">
        <v>0.0255</v>
      </c>
      <c r="G30" s="14" t="n">
        <v>161000</v>
      </c>
      <c r="H30" s="14" t="n">
        <v>4105.5</v>
      </c>
    </row>
    <row r="31">
      <c r="A31" s="116">
        <f>A30+1</f>
        <v/>
      </c>
      <c r="B31" s="20" t="n"/>
      <c r="C31" s="41" t="inlineStr">
        <is>
          <t>01.3.02.02-0001</t>
        </is>
      </c>
      <c r="D31" s="154" t="inlineStr">
        <is>
          <t>Аргон газообразный, сорт I</t>
        </is>
      </c>
      <c r="E31" s="155" t="inlineStr">
        <is>
          <t>м3</t>
        </is>
      </c>
      <c r="F31" s="155" t="n">
        <v>121.5</v>
      </c>
      <c r="G31" s="14" t="n">
        <v>17.86</v>
      </c>
      <c r="H31" s="14" t="n">
        <v>2169.99</v>
      </c>
    </row>
    <row r="32">
      <c r="A32" s="116">
        <f>A31+1</f>
        <v/>
      </c>
      <c r="B32" s="20" t="n"/>
      <c r="C32" s="41" t="inlineStr">
        <is>
          <t>21.1.08.03-0078</t>
        </is>
      </c>
      <c r="D32" s="154" t="inlineStr">
        <is>
          <t>Кабель контрольный КВВГЭнг(A)-FRLS 5х2,5</t>
        </is>
      </c>
      <c r="E32" s="155" t="inlineStr">
        <is>
          <t>1000 м</t>
        </is>
      </c>
      <c r="F32" s="155" t="n">
        <v>0.05</v>
      </c>
      <c r="G32" s="14" t="n">
        <v>36884.36</v>
      </c>
      <c r="H32" s="14" t="n">
        <v>1844.22</v>
      </c>
    </row>
    <row r="33" ht="25.5" customHeight="1">
      <c r="A33" s="116">
        <f>A32+1</f>
        <v/>
      </c>
      <c r="B33" s="20" t="n"/>
      <c r="C33" s="41" t="inlineStr">
        <is>
          <t>01.1.02.09-0021</t>
        </is>
      </c>
      <c r="D33" s="154" t="inlineStr">
        <is>
          <t>Ткань асбестовая со стеклонитью АСТ-1, толщина 1,8 мм</t>
        </is>
      </c>
      <c r="E33" s="155" t="inlineStr">
        <is>
          <t>т</t>
        </is>
      </c>
      <c r="F33" s="155" t="n">
        <v>0.0268</v>
      </c>
      <c r="G33" s="14" t="n">
        <v>66860</v>
      </c>
      <c r="H33" s="14" t="n">
        <v>1791.85</v>
      </c>
    </row>
    <row r="34">
      <c r="A34" s="116">
        <f>A33+1</f>
        <v/>
      </c>
      <c r="B34" s="20" t="n"/>
      <c r="C34" s="41" t="inlineStr">
        <is>
          <t>01.7.11.04-0002</t>
        </is>
      </c>
      <c r="D34" s="154" t="inlineStr">
        <is>
          <t>Проволока наплавочная ПП-Нп-19СТ, диаметр 3 мм</t>
        </is>
      </c>
      <c r="E34" s="155" t="inlineStr">
        <is>
          <t>т</t>
        </is>
      </c>
      <c r="F34" s="155" t="n">
        <v>0.08699999999999999</v>
      </c>
      <c r="G34" s="14" t="n">
        <v>20300</v>
      </c>
      <c r="H34" s="14" t="n">
        <v>1766.1</v>
      </c>
    </row>
    <row r="35" ht="25.5" customHeight="1">
      <c r="A35" s="116">
        <f>A34+1</f>
        <v/>
      </c>
      <c r="B35" s="20" t="n"/>
      <c r="C35" s="41" t="inlineStr">
        <is>
          <t>25.1.01.04-0012</t>
        </is>
      </c>
      <c r="D35" s="154" t="inlineStr">
        <is>
          <t>Шпалы из древесины хвойных пород для колеи 600 мм, непропитанные, длина 1200 мм, тип II</t>
        </is>
      </c>
      <c r="E35" s="155" t="inlineStr">
        <is>
          <t>шт</t>
        </is>
      </c>
      <c r="F35" s="155" t="n">
        <v>30</v>
      </c>
      <c r="G35" s="14" t="n">
        <v>42.6</v>
      </c>
      <c r="H35" s="14" t="n">
        <v>1278</v>
      </c>
    </row>
    <row r="36">
      <c r="A36" s="116">
        <f>A35+1</f>
        <v/>
      </c>
      <c r="B36" s="20" t="n"/>
      <c r="C36" s="41" t="inlineStr">
        <is>
          <t>01.3.02.03-0001</t>
        </is>
      </c>
      <c r="D36" s="154" t="inlineStr">
        <is>
          <t>Ацетилен газообразный технический</t>
        </is>
      </c>
      <c r="E36" s="155" t="inlineStr">
        <is>
          <t>м3</t>
        </is>
      </c>
      <c r="F36" s="155" t="n">
        <v>16.5</v>
      </c>
      <c r="G36" s="14" t="n">
        <v>38.51</v>
      </c>
      <c r="H36" s="14" t="n">
        <v>635.42</v>
      </c>
    </row>
    <row r="37">
      <c r="A37" s="116">
        <f>A36+1</f>
        <v/>
      </c>
      <c r="B37" s="20" t="n"/>
      <c r="C37" s="41" t="inlineStr">
        <is>
          <t>01.7.02.06-0017</t>
        </is>
      </c>
      <c r="D37" s="154" t="inlineStr">
        <is>
          <t>Картон строительный прокладочный, марка Б</t>
        </is>
      </c>
      <c r="E37" s="155" t="inlineStr">
        <is>
          <t>т</t>
        </is>
      </c>
      <c r="F37" s="155" t="n">
        <v>0.03</v>
      </c>
      <c r="G37" s="14" t="n">
        <v>19800</v>
      </c>
      <c r="H37" s="14" t="n">
        <v>594</v>
      </c>
    </row>
    <row r="38">
      <c r="A38" s="116">
        <f>A37+1</f>
        <v/>
      </c>
      <c r="B38" s="20" t="n"/>
      <c r="C38" s="41" t="inlineStr">
        <is>
          <t>14.4.02.09-0001</t>
        </is>
      </c>
      <c r="D38" s="154" t="inlineStr">
        <is>
          <t>Краска</t>
        </is>
      </c>
      <c r="E38" s="155" t="inlineStr">
        <is>
          <t>кг</t>
        </is>
      </c>
      <c r="F38" s="155" t="n">
        <v>15.2</v>
      </c>
      <c r="G38" s="14" t="n">
        <v>28.6</v>
      </c>
      <c r="H38" s="14" t="n">
        <v>434.72</v>
      </c>
    </row>
    <row r="39">
      <c r="A39" s="116">
        <f>A38+1</f>
        <v/>
      </c>
      <c r="B39" s="20" t="n"/>
      <c r="C39" s="41" t="inlineStr">
        <is>
          <t>999-9950</t>
        </is>
      </c>
      <c r="D39" s="154" t="inlineStr">
        <is>
          <t>Вспомогательные ненормируемые ресурсы</t>
        </is>
      </c>
      <c r="E39" s="155" t="inlineStr">
        <is>
          <t>руб.</t>
        </is>
      </c>
      <c r="F39" s="155" t="n">
        <v>478.05</v>
      </c>
      <c r="G39" s="14" t="n">
        <v>1</v>
      </c>
      <c r="H39" s="14" t="n">
        <v>478.05</v>
      </c>
    </row>
    <row r="40" ht="25.5" customHeight="1">
      <c r="A40" s="116">
        <f>A39+1</f>
        <v/>
      </c>
      <c r="B40" s="20" t="n"/>
      <c r="C40" s="41" t="inlineStr">
        <is>
          <t>01.7.19.04-0031</t>
        </is>
      </c>
      <c r="D40" s="154" t="inlineStr">
        <is>
          <t>Прокладки резиновые (пластина техническая прессованная)</t>
        </is>
      </c>
      <c r="E40" s="155" t="inlineStr">
        <is>
          <t>кг</t>
        </is>
      </c>
      <c r="F40" s="155" t="n">
        <v>18.75</v>
      </c>
      <c r="G40" s="14" t="n">
        <v>23.09</v>
      </c>
      <c r="H40" s="14" t="n">
        <v>432.94</v>
      </c>
    </row>
    <row r="41">
      <c r="A41" s="116">
        <f>A40+1</f>
        <v/>
      </c>
      <c r="B41" s="20" t="n"/>
      <c r="C41" s="41" t="inlineStr">
        <is>
          <t>07.2.07.13-0171</t>
        </is>
      </c>
      <c r="D41" s="154" t="inlineStr">
        <is>
          <t>Подкладки металлические</t>
        </is>
      </c>
      <c r="E41" s="155" t="inlineStr">
        <is>
          <t>кг</t>
        </is>
      </c>
      <c r="F41" s="155" t="n">
        <v>30</v>
      </c>
      <c r="G41" s="14" t="n">
        <v>12.6</v>
      </c>
      <c r="H41" s="14" t="n">
        <v>378</v>
      </c>
    </row>
    <row r="42" ht="25.5" customHeight="1">
      <c r="A42" s="116">
        <f>A41+1</f>
        <v/>
      </c>
      <c r="B42" s="20" t="n"/>
      <c r="C42" s="41" t="inlineStr">
        <is>
          <t>11.1.03.05-0085</t>
        </is>
      </c>
      <c r="D42" s="154" t="inlineStr">
        <is>
          <t>Доски необрезные хвойных пород длиной: 4-6,5 м, все ширины, толщиной 44 мм и более, III сорта</t>
        </is>
      </c>
      <c r="E42" s="155" t="inlineStr">
        <is>
          <t>м3</t>
        </is>
      </c>
      <c r="F42" s="155" t="n">
        <v>0.3</v>
      </c>
      <c r="G42" s="14" t="n">
        <v>684</v>
      </c>
      <c r="H42" s="14" t="n">
        <v>205.2</v>
      </c>
    </row>
    <row r="43">
      <c r="A43" s="116">
        <f>A42+1</f>
        <v/>
      </c>
      <c r="B43" s="20" t="n"/>
      <c r="C43" s="41" t="inlineStr">
        <is>
          <t>01.7.15.06-0121</t>
        </is>
      </c>
      <c r="D43" s="154" t="inlineStr">
        <is>
          <t>Гвозди строительные с плоской головкой: 1,6x50 мм</t>
        </is>
      </c>
      <c r="E43" s="155" t="inlineStr">
        <is>
          <t>т</t>
        </is>
      </c>
      <c r="F43" s="155" t="n">
        <v>0.0225</v>
      </c>
      <c r="G43" s="14" t="n">
        <v>8475</v>
      </c>
      <c r="H43" s="14" t="n">
        <v>190.69</v>
      </c>
    </row>
    <row r="44">
      <c r="A44" s="116">
        <f>A43+1</f>
        <v/>
      </c>
      <c r="B44" s="20" t="n"/>
      <c r="C44" s="41" t="inlineStr">
        <is>
          <t>14.5.09.01-0003</t>
        </is>
      </c>
      <c r="D44" s="154" t="inlineStr">
        <is>
          <t>Ацетон технический, сорт высший</t>
        </is>
      </c>
      <c r="E44" s="155" t="inlineStr">
        <is>
          <t>т</t>
        </is>
      </c>
      <c r="F44" s="155" t="n">
        <v>0.018</v>
      </c>
      <c r="G44" s="14" t="n">
        <v>9360</v>
      </c>
      <c r="H44" s="14" t="n">
        <v>168.48</v>
      </c>
    </row>
    <row r="45" ht="25.5" customHeight="1">
      <c r="A45" s="116">
        <f>A44+1</f>
        <v/>
      </c>
      <c r="B45" s="20" t="n"/>
      <c r="C45" s="41" t="inlineStr">
        <is>
          <t>21.1.06.10-0376</t>
        </is>
      </c>
      <c r="D45" s="154" t="inlineStr">
        <is>
          <t>Кабель силовой с медными жилами ВВГнг(A)-LS 3х2,5ок-1000</t>
        </is>
      </c>
      <c r="E45" s="155" t="inlineStr">
        <is>
          <t>1000 м</t>
        </is>
      </c>
      <c r="F45" s="155" t="n">
        <v>0.01</v>
      </c>
      <c r="G45" s="14" t="n">
        <v>14498.24</v>
      </c>
      <c r="H45" s="14" t="n">
        <v>144.98</v>
      </c>
    </row>
    <row r="46">
      <c r="A46" s="116">
        <f>A45+1</f>
        <v/>
      </c>
      <c r="B46" s="20" t="n"/>
      <c r="C46" s="41" t="inlineStr">
        <is>
          <t>01.7.15.10-0053</t>
        </is>
      </c>
      <c r="D46" s="154" t="inlineStr">
        <is>
          <t>Скобы: металлические</t>
        </is>
      </c>
      <c r="E46" s="155" t="inlineStr">
        <is>
          <t>кг</t>
        </is>
      </c>
      <c r="F46" s="155" t="n">
        <v>21</v>
      </c>
      <c r="G46" s="14" t="n">
        <v>6.4</v>
      </c>
      <c r="H46" s="14" t="n">
        <v>134.4</v>
      </c>
    </row>
    <row r="47">
      <c r="A47" s="116">
        <f>A46+1</f>
        <v/>
      </c>
      <c r="B47" s="20" t="n"/>
      <c r="C47" s="41" t="inlineStr">
        <is>
          <t>01.7.11.07-0034</t>
        </is>
      </c>
      <c r="D47" s="154" t="inlineStr">
        <is>
          <t>Электроды диаметром: 4 мм Э42А</t>
        </is>
      </c>
      <c r="E47" s="155" t="inlineStr">
        <is>
          <t>кг</t>
        </is>
      </c>
      <c r="F47" s="155" t="n">
        <v>12</v>
      </c>
      <c r="G47" s="14" t="n">
        <v>10.57</v>
      </c>
      <c r="H47" s="14" t="n">
        <v>126.84</v>
      </c>
    </row>
    <row r="48">
      <c r="A48" s="116">
        <f>A47+1</f>
        <v/>
      </c>
      <c r="B48" s="20" t="n"/>
      <c r="C48" s="41" t="inlineStr">
        <is>
          <t>01.3.02.08-0001</t>
        </is>
      </c>
      <c r="D48" s="154" t="inlineStr">
        <is>
          <t>Кислород технический: газообразный</t>
        </is>
      </c>
      <c r="E48" s="155" t="inlineStr">
        <is>
          <t>м3</t>
        </is>
      </c>
      <c r="F48" s="155" t="n">
        <v>15.45</v>
      </c>
      <c r="G48" s="14" t="n">
        <v>6.22</v>
      </c>
      <c r="H48" s="14" t="n">
        <v>96.09999999999999</v>
      </c>
    </row>
    <row r="49">
      <c r="A49" s="116">
        <f>A48+1</f>
        <v/>
      </c>
      <c r="B49" s="20" t="n"/>
      <c r="C49" s="41" t="inlineStr">
        <is>
          <t>01.3.01.07-0008</t>
        </is>
      </c>
      <c r="D49" s="154" t="inlineStr">
        <is>
          <t>Спирт этиловый ректификованный технический, сорт I</t>
        </is>
      </c>
      <c r="E49" s="155" t="inlineStr">
        <is>
          <t>т</t>
        </is>
      </c>
      <c r="F49" s="155" t="n">
        <v>0.0024</v>
      </c>
      <c r="G49" s="14" t="n">
        <v>38890</v>
      </c>
      <c r="H49" s="14" t="n">
        <v>93.34</v>
      </c>
    </row>
    <row r="50">
      <c r="A50" s="116">
        <f>A49+1</f>
        <v/>
      </c>
      <c r="B50" s="20" t="n"/>
      <c r="C50" s="41" t="inlineStr">
        <is>
          <t>01.7.15.03-0042</t>
        </is>
      </c>
      <c r="D50" s="154" t="inlineStr">
        <is>
          <t>Болты с гайками и шайбами строительные</t>
        </is>
      </c>
      <c r="E50" s="155" t="inlineStr">
        <is>
          <t>кг</t>
        </is>
      </c>
      <c r="F50" s="155" t="n">
        <v>1.29</v>
      </c>
      <c r="G50" s="14" t="n">
        <v>9.039999999999999</v>
      </c>
      <c r="H50" s="14" t="n">
        <v>11.66</v>
      </c>
    </row>
    <row r="51" ht="25.5" customHeight="1">
      <c r="A51" s="116">
        <f>A50+1</f>
        <v/>
      </c>
      <c r="B51" s="20" t="n"/>
      <c r="C51" s="41" t="inlineStr">
        <is>
          <t>01.3.01.06-0050</t>
        </is>
      </c>
      <c r="D51" s="154" t="inlineStr">
        <is>
          <t>Смазка универсальная тугоплавкая УТ (консталин жировой)</t>
        </is>
      </c>
      <c r="E51" s="155" t="inlineStr">
        <is>
          <t>т</t>
        </is>
      </c>
      <c r="F51" s="155" t="n">
        <v>0.0003</v>
      </c>
      <c r="G51" s="14" t="n">
        <v>17500</v>
      </c>
      <c r="H51" s="14" t="n">
        <v>5.25</v>
      </c>
    </row>
    <row r="52" ht="25.5" customHeight="1">
      <c r="A52" s="116">
        <f>A51+1</f>
        <v/>
      </c>
      <c r="B52" s="20" t="n"/>
      <c r="C52" s="41" t="inlineStr">
        <is>
          <t>08.3.07.01-0076</t>
        </is>
      </c>
      <c r="D52" s="154" t="inlineStr">
        <is>
          <t>Сталь полосовая, марка стали: Ст3сп шириной 50-200 мм толщиной 4-5 мм</t>
        </is>
      </c>
      <c r="E52" s="155" t="inlineStr">
        <is>
          <t>т</t>
        </is>
      </c>
      <c r="F52" s="155" t="n">
        <v>0.001</v>
      </c>
      <c r="G52" s="14" t="n">
        <v>5000</v>
      </c>
      <c r="H52" s="14" t="n">
        <v>5</v>
      </c>
    </row>
    <row r="53">
      <c r="A53" s="116">
        <f>A52+1</f>
        <v/>
      </c>
      <c r="B53" s="20" t="n"/>
      <c r="C53" s="41" t="inlineStr">
        <is>
          <t>01.7.06.07-0003</t>
        </is>
      </c>
      <c r="D53" s="154" t="inlineStr">
        <is>
          <t>Лента с запонками ЛМЗ</t>
        </is>
      </c>
      <c r="E53" s="155" t="inlineStr">
        <is>
          <t>100 м</t>
        </is>
      </c>
      <c r="F53" s="155" t="n">
        <v>0.025</v>
      </c>
      <c r="G53" s="14" t="n">
        <v>126</v>
      </c>
      <c r="H53" s="14" t="n">
        <v>3.15</v>
      </c>
    </row>
    <row r="54">
      <c r="A54" s="116">
        <f>A53+1</f>
        <v/>
      </c>
      <c r="B54" s="20" t="n"/>
      <c r="C54" s="41" t="inlineStr">
        <is>
          <t>01.7.20.08-0102</t>
        </is>
      </c>
      <c r="D54" s="154" t="inlineStr">
        <is>
          <t>Миткаль «Т-2» суровый (суровье)</t>
        </is>
      </c>
      <c r="E54" s="155" t="inlineStr">
        <is>
          <t>10 м</t>
        </is>
      </c>
      <c r="F54" s="155" t="n">
        <v>0.03</v>
      </c>
      <c r="G54" s="14" t="n">
        <v>73.65000000000001</v>
      </c>
      <c r="H54" s="14" t="n">
        <v>2.21</v>
      </c>
    </row>
    <row r="55">
      <c r="K55" s="199" t="n"/>
    </row>
    <row r="57">
      <c r="B57" s="6" t="inlineStr">
        <is>
          <t>Составил ______________________        Е.А. Князева</t>
        </is>
      </c>
      <c r="C57" s="1" t="n"/>
    </row>
    <row r="58">
      <c r="B58" s="74" t="inlineStr">
        <is>
          <t xml:space="preserve">                         (подпись, инициалы, фамилия)</t>
        </is>
      </c>
      <c r="C58" s="1" t="n"/>
    </row>
    <row r="59">
      <c r="B59" s="6" t="n"/>
      <c r="C59" s="1" t="n"/>
    </row>
    <row r="60">
      <c r="B60" s="6" t="inlineStr">
        <is>
          <t>Проверил ______________________        А.В. Костянецкая</t>
        </is>
      </c>
      <c r="C60" s="1" t="n"/>
    </row>
    <row r="61">
      <c r="B61" s="74" t="inlineStr">
        <is>
          <t xml:space="preserve">                        (подпись, инициалы, фамилия)</t>
        </is>
      </c>
      <c r="C61" s="1" t="n"/>
    </row>
  </sheetData>
  <mergeCells count="16">
    <mergeCell ref="C9:C10"/>
    <mergeCell ref="B9:B10"/>
    <mergeCell ref="A3:H3"/>
    <mergeCell ref="E9:E10"/>
    <mergeCell ref="A29:E29"/>
    <mergeCell ref="D9:D10"/>
    <mergeCell ref="F9:F10"/>
    <mergeCell ref="A7:H7"/>
    <mergeCell ref="A9:A10"/>
    <mergeCell ref="A12:E12"/>
    <mergeCell ref="C5:H5"/>
    <mergeCell ref="A2:H2"/>
    <mergeCell ref="A15:E15"/>
    <mergeCell ref="G9:H9"/>
    <mergeCell ref="A17:E17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3" zoomScale="145" zoomScaleSheetLayoutView="145" workbookViewId="0">
      <selection activeCell="D43" sqref="D43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79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51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4.5" customHeight="1">
      <c r="B7" s="152">
        <f>'Прил.1 Сравнит табл'!B7</f>
        <v/>
      </c>
    </row>
    <row r="8">
      <c r="B8" s="153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>
      <c r="B10" s="155" t="inlineStr">
        <is>
          <t>Наименование</t>
        </is>
      </c>
      <c r="C10" s="155" t="inlineStr">
        <is>
          <t>Сметная стоимость в ценах на 01.01.2023
 (руб.)</t>
        </is>
      </c>
      <c r="D10" s="155" t="inlineStr">
        <is>
          <t>Удельный вес, 
(в СМР)</t>
        </is>
      </c>
      <c r="E10" s="155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34">
        <f>'Прил.5 Расчет СМР и ОБ'!J14</f>
        <v/>
      </c>
      <c r="D11" s="33">
        <f>C11/$C$24</f>
        <v/>
      </c>
      <c r="E11" s="33">
        <f>C11/$C$40</f>
        <v/>
      </c>
    </row>
    <row r="12">
      <c r="B12" s="7" t="inlineStr">
        <is>
          <t>Эксплуатация машин основных</t>
        </is>
      </c>
      <c r="C12" s="34">
        <f>'Прил.5 Расчет СМР и ОБ'!J21</f>
        <v/>
      </c>
      <c r="D12" s="33">
        <f>C12/$C$24</f>
        <v/>
      </c>
      <c r="E12" s="33">
        <f>C12/$C$40</f>
        <v/>
      </c>
    </row>
    <row r="13">
      <c r="B13" s="7" t="inlineStr">
        <is>
          <t>Эксплуатация машин прочих</t>
        </is>
      </c>
      <c r="C13" s="34">
        <f>'Прил.5 Расчет СМР и ОБ'!J29</f>
        <v/>
      </c>
      <c r="D13" s="33">
        <f>C13/$C$24</f>
        <v/>
      </c>
      <c r="E13" s="33">
        <f>C13/$C$40</f>
        <v/>
      </c>
    </row>
    <row r="14">
      <c r="B14" s="7" t="inlineStr">
        <is>
          <t>ЭКСПЛУАТАЦИЯ МАШИН, ВСЕГО:</t>
        </is>
      </c>
      <c r="C14" s="34">
        <f>C13+C12</f>
        <v/>
      </c>
      <c r="D14" s="33">
        <f>C14/$C$24</f>
        <v/>
      </c>
      <c r="E14" s="33">
        <f>C14/$C$40</f>
        <v/>
      </c>
    </row>
    <row r="15">
      <c r="B15" s="7" t="inlineStr">
        <is>
          <t>в том числе зарплата машинистов</t>
        </is>
      </c>
      <c r="C15" s="34">
        <f>'Прил.5 Расчет СМР и ОБ'!J16</f>
        <v/>
      </c>
      <c r="D15" s="33">
        <f>C15/$C$24</f>
        <v/>
      </c>
      <c r="E15" s="33">
        <f>C15/$C$40</f>
        <v/>
      </c>
    </row>
    <row r="16">
      <c r="B16" s="7" t="inlineStr">
        <is>
          <t>Материалы основные</t>
        </is>
      </c>
      <c r="C16" s="34">
        <f>'Прил.5 Расчет СМР и ОБ'!J51</f>
        <v/>
      </c>
      <c r="D16" s="33">
        <f>C16/$C$24</f>
        <v/>
      </c>
      <c r="E16" s="33">
        <f>C16/$C$40</f>
        <v/>
      </c>
    </row>
    <row r="17">
      <c r="B17" s="7" t="inlineStr">
        <is>
          <t>Материалы прочие</t>
        </is>
      </c>
      <c r="C17" s="34">
        <f>'Прил.5 Расчет СМР и ОБ'!J68</f>
        <v/>
      </c>
      <c r="D17" s="33">
        <f>C17/$C$24</f>
        <v/>
      </c>
      <c r="E17" s="33">
        <f>C17/$C$40</f>
        <v/>
      </c>
      <c r="G17" s="200" t="n"/>
    </row>
    <row r="18">
      <c r="B18" s="7" t="inlineStr">
        <is>
          <t>МАТЕРИАЛЫ, ВСЕГО:</t>
        </is>
      </c>
      <c r="C18" s="34">
        <f>C17+C16</f>
        <v/>
      </c>
      <c r="D18" s="33">
        <f>C18/$C$24</f>
        <v/>
      </c>
      <c r="E18" s="33">
        <f>C18/$C$40</f>
        <v/>
      </c>
    </row>
    <row r="19">
      <c r="B19" s="7" t="inlineStr">
        <is>
          <t>ИТОГО</t>
        </is>
      </c>
      <c r="C19" s="34">
        <f>C18+C14+C11</f>
        <v/>
      </c>
      <c r="D19" s="33" t="n"/>
      <c r="E19" s="7" t="n"/>
    </row>
    <row r="20">
      <c r="B20" s="7" t="inlineStr">
        <is>
          <t>Сметная прибыль, руб.</t>
        </is>
      </c>
      <c r="C20" s="34">
        <f>ROUND(C21*(C11+C15),2)</f>
        <v/>
      </c>
      <c r="D20" s="33">
        <f>C20/$C$24</f>
        <v/>
      </c>
      <c r="E20" s="33">
        <f>C20/$C$40</f>
        <v/>
      </c>
    </row>
    <row r="21">
      <c r="B21" s="7" t="inlineStr">
        <is>
          <t>Сметная прибыль, %</t>
        </is>
      </c>
      <c r="C21" s="35">
        <f>'Прил.5 Расчет СМР и ОБ'!E72</f>
        <v/>
      </c>
      <c r="D21" s="33" t="n"/>
      <c r="E21" s="7" t="n"/>
    </row>
    <row r="22">
      <c r="B22" s="7" t="inlineStr">
        <is>
          <t>Накладные расходы, руб.</t>
        </is>
      </c>
      <c r="C22" s="34">
        <f>ROUND(C23*(C11+C15),2)</f>
        <v/>
      </c>
      <c r="D22" s="33">
        <f>C22/$C$24</f>
        <v/>
      </c>
      <c r="E22" s="33">
        <f>C22/$C$40</f>
        <v/>
      </c>
    </row>
    <row r="23">
      <c r="B23" s="7" t="inlineStr">
        <is>
          <t>Накладные расходы, %</t>
        </is>
      </c>
      <c r="C23" s="35">
        <f>'Прил.5 Расчет СМР и ОБ'!E71</f>
        <v/>
      </c>
      <c r="D23" s="33" t="n"/>
      <c r="E23" s="7" t="n"/>
    </row>
    <row r="24">
      <c r="B24" s="7" t="inlineStr">
        <is>
          <t>ВСЕГО СМР с НР и СП</t>
        </is>
      </c>
      <c r="C24" s="34">
        <f>C19+C20+C22</f>
        <v/>
      </c>
      <c r="D24" s="33">
        <f>C24/$C$24</f>
        <v/>
      </c>
      <c r="E24" s="33">
        <f>C24/$C$40</f>
        <v/>
      </c>
    </row>
    <row r="25" ht="25.5" customHeight="1">
      <c r="B25" s="7" t="inlineStr">
        <is>
          <t>ВСЕГО стоимость оборудования, в том числе</t>
        </is>
      </c>
      <c r="C25" s="34">
        <f>'Прил.5 Расчет СМР и ОБ'!J39</f>
        <v/>
      </c>
      <c r="D25" s="33" t="n"/>
      <c r="E25" s="33">
        <f>C25/$C$40</f>
        <v/>
      </c>
    </row>
    <row r="26" ht="25.5" customHeight="1">
      <c r="B26" s="7" t="inlineStr">
        <is>
          <t>стоимость оборудования технологического</t>
        </is>
      </c>
      <c r="C26" s="34">
        <f>C25</f>
        <v/>
      </c>
      <c r="D26" s="33" t="n"/>
      <c r="E26" s="33">
        <f>C26/$C$40</f>
        <v/>
      </c>
    </row>
    <row r="27">
      <c r="B27" s="7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>
      <c r="B29" s="7" t="inlineStr">
        <is>
          <t>Временные здания и сооружения - 3,9%</t>
        </is>
      </c>
      <c r="C29" s="32">
        <f>ROUND(C24*3.9%,2)</f>
        <v/>
      </c>
      <c r="D29" s="7" t="n"/>
      <c r="E29" s="33">
        <f>C29/$C$40</f>
        <v/>
      </c>
    </row>
    <row r="30" ht="38.25" customHeight="1">
      <c r="B30" s="7" t="inlineStr">
        <is>
          <t>Дополнительные затраты при производстве строительно-монтажных работ в зимнее время - 2,1%</t>
        </is>
      </c>
      <c r="C30" s="32">
        <f>ROUND((C24+C29)*2.1%,2)</f>
        <v/>
      </c>
      <c r="D30" s="7" t="n"/>
      <c r="E30" s="33">
        <f>C30/$C$40</f>
        <v/>
      </c>
    </row>
    <row r="31">
      <c r="B31" s="7" t="inlineStr">
        <is>
          <t>Пусконаладочные работы</t>
        </is>
      </c>
      <c r="C31" s="32" t="n">
        <v>90217.25</v>
      </c>
      <c r="D31" s="7" t="n"/>
      <c r="E31" s="33">
        <f>C31/$C$40</f>
        <v/>
      </c>
    </row>
    <row r="32" ht="25.5" customHeight="1">
      <c r="B32" s="7" t="inlineStr">
        <is>
          <t>Затраты по перевозке работников к месту работы и обратно</t>
        </is>
      </c>
      <c r="C32" s="82">
        <f>ROUND($C$27*0%,2)</f>
        <v/>
      </c>
      <c r="D32" s="7" t="n"/>
      <c r="E32" s="33">
        <f>C32/$C$40</f>
        <v/>
      </c>
    </row>
    <row r="33" ht="25.5" customHeight="1">
      <c r="B33" s="7" t="inlineStr">
        <is>
          <t>Затраты, связанные с осуществлением работ вахтовым методом</t>
        </is>
      </c>
      <c r="C33" s="82">
        <f>ROUND($C$27*0%,2)</f>
        <v/>
      </c>
      <c r="D33" s="7" t="n"/>
      <c r="E33" s="33">
        <f>C33/$C$40</f>
        <v/>
      </c>
    </row>
    <row r="34" ht="51" customHeight="1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82">
        <f>ROUND($C$27*0%,2)</f>
        <v/>
      </c>
      <c r="D34" s="7" t="n"/>
      <c r="E34" s="33">
        <f>C34/$C$40</f>
        <v/>
      </c>
    </row>
    <row r="35" ht="76.5" customHeight="1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82">
        <f>ROUND($C$27*0%,2)</f>
        <v/>
      </c>
      <c r="D35" s="7" t="n"/>
      <c r="E35" s="33">
        <f>C35/$C$40</f>
        <v/>
      </c>
    </row>
    <row r="36" ht="25.5" customHeight="1">
      <c r="B36" s="7" t="inlineStr">
        <is>
          <t>Строительный контроль и содержание службы заказчика - 2,14%</t>
        </is>
      </c>
      <c r="C36" s="82">
        <f>ROUND((C27+C32+C33+C34+C35+C29+C31+C30)*2.14%,2)</f>
        <v/>
      </c>
      <c r="D36" s="7" t="n"/>
      <c r="E36" s="33">
        <f>C36/$C$40</f>
        <v/>
      </c>
      <c r="G36" s="49" t="n"/>
      <c r="L36" s="18" t="n"/>
    </row>
    <row r="37">
      <c r="B37" s="7" t="inlineStr">
        <is>
          <t>Авторский надзор - 0,2%</t>
        </is>
      </c>
      <c r="C37" s="82">
        <f>ROUND((C27+C32+C33+C34+C35+C29+C31+C30)*0.2%,2)</f>
        <v/>
      </c>
      <c r="D37" s="7" t="n"/>
      <c r="E37" s="33">
        <f>C37/$C$40</f>
        <v/>
      </c>
      <c r="G37" s="49" t="n"/>
      <c r="L37" s="18" t="n"/>
    </row>
    <row r="38" ht="38.25" customHeight="1">
      <c r="B38" s="7" t="inlineStr">
        <is>
          <t>ИТОГО (СМР+ОБОРУДОВАНИЕ+ПРОЧ. ЗАТР., УЧТЕННЫЕ ПОКАЗАТЕЛЕМ)</t>
        </is>
      </c>
      <c r="C38" s="83">
        <f>C27+C32+C33+C34+C35+C29+C31+C30+C36+C37</f>
        <v/>
      </c>
      <c r="D38" s="7" t="n"/>
      <c r="E38" s="33">
        <f>C38/$C$40</f>
        <v/>
      </c>
    </row>
    <row r="39" ht="13.5" customHeight="1">
      <c r="B39" s="7" t="inlineStr">
        <is>
          <t>Непредвиденные расходы</t>
        </is>
      </c>
      <c r="C39" s="34">
        <f>ROUND(C38*3%,2)</f>
        <v/>
      </c>
      <c r="D39" s="7" t="n"/>
      <c r="E39" s="33">
        <f>C39/$C$38</f>
        <v/>
      </c>
    </row>
    <row r="40">
      <c r="B40" s="7" t="inlineStr">
        <is>
          <t>ВСЕГО:</t>
        </is>
      </c>
      <c r="C40" s="34">
        <f>C39+C38</f>
        <v/>
      </c>
      <c r="D40" s="7" t="n"/>
      <c r="E40" s="33">
        <f>C40/$C$40</f>
        <v/>
      </c>
    </row>
    <row r="41">
      <c r="B41" s="7" t="inlineStr">
        <is>
          <t>ИТОГО ПОКАЗАТЕЛЬ НА ЕД. ИЗМ.</t>
        </is>
      </c>
      <c r="C41" s="34">
        <f>C40/'Прил.5 Расчет СМР и ОБ'!E75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74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74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L82"/>
  <sheetViews>
    <sheetView view="pageBreakPreview" topLeftCell="A69" zoomScale="145" zoomScaleSheetLayoutView="145" workbookViewId="0">
      <selection activeCell="D77" sqref="D77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3.7109375" customWidth="1" style="1" min="11" max="11"/>
    <col width="9.42578125" customWidth="1" style="1" min="12" max="12"/>
    <col width="10.85546875" customWidth="1" style="1" min="13" max="13"/>
    <col width="9.140625" customWidth="1" style="1" min="14" max="14"/>
  </cols>
  <sheetData>
    <row r="2" ht="15.75" customHeight="1">
      <c r="I2" s="69" t="n"/>
      <c r="J2" s="52" t="inlineStr">
        <is>
          <t>Приложение №5</t>
        </is>
      </c>
    </row>
    <row r="4" ht="12.75" customFormat="1" customHeight="1" s="6">
      <c r="A4" s="151" t="inlineStr">
        <is>
          <t>Расчет стоимости СМР и оборудования</t>
        </is>
      </c>
      <c r="I4" s="151" t="n"/>
      <c r="J4" s="151" t="n"/>
    </row>
    <row r="5" ht="12.75" customFormat="1" customHeight="1" s="6">
      <c r="A5" s="151" t="n"/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</row>
    <row r="6" ht="13.15" customFormat="1" customHeight="1" s="6">
      <c r="A6" s="172" t="inlineStr">
        <is>
          <t>Наименование разрабатываемого показателя УНЦ</t>
        </is>
      </c>
      <c r="D6" s="172" t="inlineStr">
        <is>
          <t>Ячейка выключателя РП (СП, ТП, РТП) 6-15 кВ, ном. ток 3150 А, ном. ток отключения 20 кА</t>
        </is>
      </c>
    </row>
    <row r="7" ht="12.75" customFormat="1" customHeight="1" s="6">
      <c r="A7" s="172">
        <f>'Прил.1 Сравнит табл'!B9</f>
        <v/>
      </c>
      <c r="I7" s="152" t="n"/>
      <c r="J7" s="152" t="n"/>
    </row>
    <row r="8" ht="12.75" customFormat="1" customHeight="1" s="6"/>
    <row r="9" ht="27" customHeight="1">
      <c r="A9" s="155" t="inlineStr">
        <is>
          <t>№ пп.</t>
        </is>
      </c>
      <c r="B9" s="155" t="inlineStr">
        <is>
          <t>Код ресурса</t>
        </is>
      </c>
      <c r="C9" s="155" t="inlineStr">
        <is>
          <t>Наименование</t>
        </is>
      </c>
      <c r="D9" s="155" t="inlineStr">
        <is>
          <t>Ед. изм.</t>
        </is>
      </c>
      <c r="E9" s="155" t="inlineStr">
        <is>
          <t>Кол-во единиц по проектным данным</t>
        </is>
      </c>
      <c r="F9" s="155" t="inlineStr">
        <is>
          <t>Сметная стоимость в ценах на 01.01.2000 (руб.)</t>
        </is>
      </c>
      <c r="G9" s="187" t="n"/>
      <c r="H9" s="155" t="inlineStr">
        <is>
          <t>Удельный вес, %</t>
        </is>
      </c>
      <c r="I9" s="155" t="inlineStr">
        <is>
          <t>Сметная стоимость в ценах на 01.01.2023 (руб.)</t>
        </is>
      </c>
      <c r="J9" s="187" t="n"/>
    </row>
    <row r="10" ht="28.5" customHeight="1">
      <c r="A10" s="189" t="n"/>
      <c r="B10" s="189" t="n"/>
      <c r="C10" s="189" t="n"/>
      <c r="D10" s="189" t="n"/>
      <c r="E10" s="189" t="n"/>
      <c r="F10" s="155" t="inlineStr">
        <is>
          <t>на ед. изм.</t>
        </is>
      </c>
      <c r="G10" s="155" t="inlineStr">
        <is>
          <t>общая</t>
        </is>
      </c>
      <c r="H10" s="189" t="n"/>
      <c r="I10" s="155" t="inlineStr">
        <is>
          <t>на ед. изм.</t>
        </is>
      </c>
      <c r="J10" s="155" t="inlineStr">
        <is>
          <t>общая</t>
        </is>
      </c>
    </row>
    <row r="11">
      <c r="A11" s="155" t="n">
        <v>1</v>
      </c>
      <c r="B11" s="155" t="n">
        <v>2</v>
      </c>
      <c r="C11" s="155" t="n">
        <v>3</v>
      </c>
      <c r="D11" s="155" t="n">
        <v>4</v>
      </c>
      <c r="E11" s="155" t="n">
        <v>5</v>
      </c>
      <c r="F11" s="155" t="n">
        <v>6</v>
      </c>
      <c r="G11" s="155" t="n">
        <v>7</v>
      </c>
      <c r="H11" s="155" t="n">
        <v>8</v>
      </c>
      <c r="I11" s="155" t="n">
        <v>9</v>
      </c>
      <c r="J11" s="155" t="n">
        <v>10</v>
      </c>
    </row>
    <row r="12">
      <c r="A12" s="155" t="n"/>
      <c r="B12" s="159" t="inlineStr">
        <is>
          <t>Затраты труда рабочих-строителей</t>
        </is>
      </c>
      <c r="C12" s="186" t="n"/>
      <c r="D12" s="186" t="n"/>
      <c r="E12" s="186" t="n"/>
      <c r="F12" s="186" t="n"/>
      <c r="G12" s="186" t="n"/>
      <c r="H12" s="187" t="n"/>
      <c r="I12" s="88" t="n"/>
      <c r="J12" s="88" t="n"/>
      <c r="L12" s="79" t="n"/>
    </row>
    <row r="13" ht="25.5" customHeight="1">
      <c r="A13" s="155" t="n">
        <v>1</v>
      </c>
      <c r="B13" s="86" t="inlineStr">
        <is>
          <t>1-4-0</t>
        </is>
      </c>
      <c r="C13" s="165" t="inlineStr">
        <is>
          <t>Затраты труда рабочих (средний разряд работы 4,0)</t>
        </is>
      </c>
      <c r="D13" s="166" t="inlineStr">
        <is>
          <t>чел.-ч.</t>
        </is>
      </c>
      <c r="E13" s="201">
        <f>G13/F13</f>
        <v/>
      </c>
      <c r="F13" s="92" t="n">
        <v>9.619999999999999</v>
      </c>
      <c r="G13" s="92" t="n">
        <v>766.52</v>
      </c>
      <c r="H13" s="170">
        <f>G13/G14</f>
        <v/>
      </c>
      <c r="I13" s="92">
        <f>'ФОТр.тек.'!E13</f>
        <v/>
      </c>
      <c r="J13" s="92">
        <f>ROUND(I13*E13,2)</f>
        <v/>
      </c>
    </row>
    <row r="14" ht="25.5" customFormat="1" customHeight="1" s="1">
      <c r="A14" s="155" t="n"/>
      <c r="B14" s="166" t="n"/>
      <c r="C14" s="159" t="inlineStr">
        <is>
          <t>Итого по разделу "Затраты труда рабочих-строителей"</t>
        </is>
      </c>
      <c r="D14" s="166" t="inlineStr">
        <is>
          <t>чел.-ч.</t>
        </is>
      </c>
      <c r="E14" s="201">
        <f>SUM(E13:E13)</f>
        <v/>
      </c>
      <c r="F14" s="92" t="n"/>
      <c r="G14" s="92">
        <f>SUM(G13:G13)</f>
        <v/>
      </c>
      <c r="H14" s="170" t="n">
        <v>1</v>
      </c>
      <c r="I14" s="92" t="n"/>
      <c r="J14" s="92">
        <f>SUM(J13:J13)</f>
        <v/>
      </c>
      <c r="K14" s="202" t="n"/>
      <c r="L14" s="80" t="n"/>
    </row>
    <row r="15" ht="14.25" customFormat="1" customHeight="1" s="1">
      <c r="A15" s="155" t="n"/>
      <c r="B15" s="165" t="inlineStr">
        <is>
          <t>Затраты труда машинистов</t>
        </is>
      </c>
      <c r="C15" s="186" t="n"/>
      <c r="D15" s="186" t="n"/>
      <c r="E15" s="186" t="n"/>
      <c r="F15" s="186" t="n"/>
      <c r="G15" s="186" t="n"/>
      <c r="H15" s="187" t="n"/>
      <c r="I15" s="88" t="n"/>
      <c r="J15" s="88" t="n"/>
    </row>
    <row r="16" ht="14.25" customFormat="1" customHeight="1" s="1">
      <c r="A16" s="155" t="n">
        <v>2</v>
      </c>
      <c r="B16" s="166" t="n">
        <v>2</v>
      </c>
      <c r="C16" s="165" t="inlineStr">
        <is>
          <t>Затраты труда машинистов</t>
        </is>
      </c>
      <c r="D16" s="166" t="inlineStr">
        <is>
          <t>чел.-ч.</t>
        </is>
      </c>
      <c r="E16" s="201" t="n">
        <v>21.9884375</v>
      </c>
      <c r="F16" s="92" t="n">
        <v>11.85</v>
      </c>
      <c r="G16" s="92" t="n">
        <v>4169.01</v>
      </c>
      <c r="H16" s="170" t="n">
        <v>1</v>
      </c>
      <c r="I16" s="92">
        <f>ROUND(F16*Прил.10!D10,2)</f>
        <v/>
      </c>
      <c r="J16" s="92">
        <f>ROUND(I16*E16,2)</f>
        <v/>
      </c>
      <c r="L16" s="46" t="n"/>
    </row>
    <row r="17" ht="14.25" customFormat="1" customHeight="1" s="1">
      <c r="A17" s="155" t="n"/>
      <c r="B17" s="159" t="inlineStr">
        <is>
          <t>Машины и механизмы</t>
        </is>
      </c>
      <c r="C17" s="186" t="n"/>
      <c r="D17" s="186" t="n"/>
      <c r="E17" s="186" t="n"/>
      <c r="F17" s="186" t="n"/>
      <c r="G17" s="186" t="n"/>
      <c r="H17" s="187" t="n"/>
      <c r="I17" s="170" t="n"/>
      <c r="J17" s="170" t="n"/>
      <c r="L17" s="79" t="n"/>
    </row>
    <row r="18" ht="14.25" customFormat="1" customHeight="1" s="1">
      <c r="A18" s="155" t="n"/>
      <c r="B18" s="165" t="inlineStr">
        <is>
          <t>Основные машины и механизмы</t>
        </is>
      </c>
      <c r="C18" s="186" t="n"/>
      <c r="D18" s="186" t="n"/>
      <c r="E18" s="186" t="n"/>
      <c r="F18" s="186" t="n"/>
      <c r="G18" s="186" t="n"/>
      <c r="H18" s="187" t="n"/>
      <c r="I18" s="88" t="n"/>
      <c r="J18" s="88" t="n"/>
    </row>
    <row r="19" ht="25.5" customFormat="1" customHeight="1" s="1">
      <c r="A19" s="155" t="n">
        <v>3</v>
      </c>
      <c r="B19" s="86" t="inlineStr">
        <is>
          <t>91.06.03-058</t>
        </is>
      </c>
      <c r="C19" s="165" t="inlineStr">
        <is>
          <t>Лебедки электрические тяговым усилием 156,96 кН (16 т)</t>
        </is>
      </c>
      <c r="D19" s="166" t="inlineStr">
        <is>
          <t>маш.час</t>
        </is>
      </c>
      <c r="E19" s="95" t="n">
        <v>15.538125</v>
      </c>
      <c r="F19" s="96" t="n">
        <v>131.44</v>
      </c>
      <c r="G19" s="92">
        <f>ROUND(E19*F19,2)</f>
        <v/>
      </c>
      <c r="H19" s="170">
        <f>G19/$G$30</f>
        <v/>
      </c>
      <c r="I19" s="92">
        <f>ROUND(F19*Прил.10!$D$11,2)</f>
        <v/>
      </c>
      <c r="J19" s="92">
        <f>ROUND(I19*E19,2)</f>
        <v/>
      </c>
    </row>
    <row r="20" ht="25.5" customFormat="1" customHeight="1" s="1">
      <c r="A20" s="155" t="n">
        <v>4</v>
      </c>
      <c r="B20" s="86" t="inlineStr">
        <is>
          <t>91.05.05-014</t>
        </is>
      </c>
      <c r="C20" s="165" t="inlineStr">
        <is>
          <t>Краны на автомобильном ходу, грузоподъемность 10 т</t>
        </is>
      </c>
      <c r="D20" s="166" t="inlineStr">
        <is>
          <t>маш.час</t>
        </is>
      </c>
      <c r="E20" s="201" t="n">
        <v>3.1253125</v>
      </c>
      <c r="F20" s="96" t="n">
        <v>111.99</v>
      </c>
      <c r="G20" s="92">
        <f>ROUND(E20*F20,2)</f>
        <v/>
      </c>
      <c r="H20" s="170">
        <f>G20/$G$30</f>
        <v/>
      </c>
      <c r="I20" s="92">
        <f>ROUND(F20*Прил.10!$D$11,2)</f>
        <v/>
      </c>
      <c r="J20" s="92">
        <f>ROUND(I20*E20,2)</f>
        <v/>
      </c>
    </row>
    <row r="21" ht="14.25" customFormat="1" customHeight="1" s="1">
      <c r="A21" s="155" t="n"/>
      <c r="B21" s="166" t="n"/>
      <c r="C21" s="165" t="inlineStr">
        <is>
          <t>Итого основные машины и механизмы</t>
        </is>
      </c>
      <c r="D21" s="166" t="n"/>
      <c r="E21" s="203" t="n"/>
      <c r="F21" s="92" t="n"/>
      <c r="G21" s="92">
        <f>SUM(G19:G20)</f>
        <v/>
      </c>
      <c r="H21" s="170">
        <f>G21/G30</f>
        <v/>
      </c>
      <c r="I21" s="92" t="n"/>
      <c r="J21" s="92">
        <f>SUM(J19:J20)</f>
        <v/>
      </c>
      <c r="L21" s="202" t="n"/>
    </row>
    <row r="22" outlineLevel="1" ht="25.5" customFormat="1" customHeight="1" s="1">
      <c r="A22" s="155" t="n">
        <v>5</v>
      </c>
      <c r="B22" s="86" t="inlineStr">
        <is>
          <t>91.14.02-001</t>
        </is>
      </c>
      <c r="C22" s="165" t="inlineStr">
        <is>
          <t>Автомобили бортовые, грузоподъемность: до 5 т</t>
        </is>
      </c>
      <c r="D22" s="166" t="inlineStr">
        <is>
          <t>маш.час</t>
        </is>
      </c>
      <c r="E22" s="95" t="n">
        <v>3.096875</v>
      </c>
      <c r="F22" s="96" t="n">
        <v>65.70999999999999</v>
      </c>
      <c r="G22" s="92">
        <f>ROUND(E22*F22,2)</f>
        <v/>
      </c>
      <c r="H22" s="170">
        <f>G22/$G$30</f>
        <v/>
      </c>
      <c r="I22" s="92">
        <f>ROUND(F22*Прил.10!$D$11,2)</f>
        <v/>
      </c>
      <c r="J22" s="92">
        <f>ROUND(I22*E22,2)</f>
        <v/>
      </c>
      <c r="L22" s="202" t="n"/>
    </row>
    <row r="23" outlineLevel="1" ht="25.5" customFormat="1" customHeight="1" s="1">
      <c r="A23" s="155" t="n">
        <v>6</v>
      </c>
      <c r="B23" s="86" t="inlineStr">
        <is>
          <t>91.17.04-161</t>
        </is>
      </c>
      <c r="C23" s="165" t="inlineStr">
        <is>
          <t>Полуавтоматы сварочные номинальным сварочным током 40-500 А</t>
        </is>
      </c>
      <c r="D23" s="166" t="inlineStr">
        <is>
          <t>маш.час</t>
        </is>
      </c>
      <c r="E23" s="97" t="n">
        <v>3.5625</v>
      </c>
      <c r="F23" s="96" t="n">
        <v>16.44</v>
      </c>
      <c r="G23" s="92">
        <f>ROUND(E23*F23,2)</f>
        <v/>
      </c>
      <c r="H23" s="170">
        <f>G23/$G$30</f>
        <v/>
      </c>
      <c r="I23" s="92">
        <f>ROUND(F23*Прил.10!$D$11,2)</f>
        <v/>
      </c>
      <c r="J23" s="92">
        <f>ROUND(I23*E23,2)</f>
        <v/>
      </c>
      <c r="L23" s="202" t="n"/>
    </row>
    <row r="24" outlineLevel="1" ht="14.25" customFormat="1" customHeight="1" s="1">
      <c r="A24" s="155" t="n">
        <v>7</v>
      </c>
      <c r="B24" s="86" t="inlineStr">
        <is>
          <t>91.21.22-438</t>
        </is>
      </c>
      <c r="C24" s="165" t="inlineStr">
        <is>
          <t>Установка: передвижная цеолитовая</t>
        </is>
      </c>
      <c r="D24" s="166" t="inlineStr">
        <is>
          <t>маш.час</t>
        </is>
      </c>
      <c r="E24" s="95" t="n">
        <v>0.9875</v>
      </c>
      <c r="F24" s="96" t="n">
        <v>38.65</v>
      </c>
      <c r="G24" s="92">
        <f>ROUND(E24*F24,2)</f>
        <v/>
      </c>
      <c r="H24" s="170">
        <f>G24/$G$30</f>
        <v/>
      </c>
      <c r="I24" s="92">
        <f>ROUND(F24*Прил.10!$D$11,2)</f>
        <v/>
      </c>
      <c r="J24" s="92">
        <f>ROUND(I24*E24,2)</f>
        <v/>
      </c>
      <c r="L24" s="202" t="n"/>
    </row>
    <row r="25" outlineLevel="1" ht="14.25" customFormat="1" customHeight="1" s="1">
      <c r="A25" s="155" t="n">
        <v>8</v>
      </c>
      <c r="B25" s="86" t="inlineStr">
        <is>
          <t>91.19.12-021</t>
        </is>
      </c>
      <c r="C25" s="165" t="inlineStr">
        <is>
          <t>Насос вакуумный: 3,6 м3/мин</t>
        </is>
      </c>
      <c r="D25" s="166" t="inlineStr">
        <is>
          <t>маш.час</t>
        </is>
      </c>
      <c r="E25" s="95" t="n">
        <v>3.8875</v>
      </c>
      <c r="F25" s="96" t="n">
        <v>6.28</v>
      </c>
      <c r="G25" s="92">
        <f>ROUND(E25*F25,2)</f>
        <v/>
      </c>
      <c r="H25" s="170">
        <f>G25/$G$30</f>
        <v/>
      </c>
      <c r="I25" s="92">
        <f>ROUND(F25*Прил.10!$D$11,2)</f>
        <v/>
      </c>
      <c r="J25" s="92">
        <f>ROUND(I25*E25,2)</f>
        <v/>
      </c>
      <c r="L25" s="202" t="n"/>
    </row>
    <row r="26" outlineLevel="1" ht="25.5" customFormat="1" customHeight="1" s="1">
      <c r="A26" s="155" t="n">
        <v>9</v>
      </c>
      <c r="B26" s="86" t="inlineStr">
        <is>
          <t>91.21.22-091</t>
        </is>
      </c>
      <c r="C26" s="165" t="inlineStr">
        <is>
          <t>Выпрямитель полупроводниковый для подогрева трансформаторов</t>
        </is>
      </c>
      <c r="D26" s="166" t="inlineStr">
        <is>
          <t>маш.час</t>
        </is>
      </c>
      <c r="E26" s="95" t="n">
        <v>4.7125</v>
      </c>
      <c r="F26" s="96" t="n">
        <v>3.82</v>
      </c>
      <c r="G26" s="92">
        <f>ROUND(E26*F26,2)</f>
        <v/>
      </c>
      <c r="H26" s="170">
        <f>G26/$G$30</f>
        <v/>
      </c>
      <c r="I26" s="92">
        <f>ROUND(F26*Прил.10!$D$11,2)</f>
        <v/>
      </c>
      <c r="J26" s="92">
        <f>ROUND(I26*E26,2)</f>
        <v/>
      </c>
      <c r="L26" s="202" t="n"/>
    </row>
    <row r="27" outlineLevel="1" ht="25.5" customFormat="1" customHeight="1" s="1">
      <c r="A27" s="155" t="n">
        <v>10</v>
      </c>
      <c r="B27" s="86" t="inlineStr">
        <is>
          <t>91.19.02-002</t>
        </is>
      </c>
      <c r="C27" s="165" t="inlineStr">
        <is>
          <t>Маслонасосы шестеренные, производительность м3/час: 2,3</t>
        </is>
      </c>
      <c r="D27" s="166" t="inlineStr">
        <is>
          <t>маш.час</t>
        </is>
      </c>
      <c r="E27" s="95" t="n">
        <v>0.2475</v>
      </c>
      <c r="F27" s="96" t="n">
        <v>0.9</v>
      </c>
      <c r="G27" s="92">
        <f>ROUND(E27*F27,2)</f>
        <v/>
      </c>
      <c r="H27" s="170">
        <f>G27/$G$30</f>
        <v/>
      </c>
      <c r="I27" s="92">
        <f>ROUND(F27*Прил.10!$D$11,2)</f>
        <v/>
      </c>
      <c r="J27" s="92">
        <f>ROUND(I27*E27,2)</f>
        <v/>
      </c>
      <c r="L27" s="202" t="n"/>
    </row>
    <row r="28" outlineLevel="1" ht="25.5" customFormat="1" customHeight="1" s="1">
      <c r="A28" s="155" t="n">
        <v>11</v>
      </c>
      <c r="B28" s="86" t="inlineStr">
        <is>
          <t>91.17.04-233</t>
        </is>
      </c>
      <c r="C28" s="165" t="inlineStr">
        <is>
          <t>Установки для сварки: ручной дуговой (постоянного тока)</t>
        </is>
      </c>
      <c r="D28" s="166" t="inlineStr">
        <is>
          <t>маш.час</t>
        </is>
      </c>
      <c r="E28" s="95" t="n">
        <v>0.0125</v>
      </c>
      <c r="F28" s="96" t="n">
        <v>8.1</v>
      </c>
      <c r="G28" s="92">
        <f>ROUND(E28*F28,2)</f>
        <v/>
      </c>
      <c r="H28" s="170">
        <f>G28/$G$30</f>
        <v/>
      </c>
      <c r="I28" s="92">
        <f>ROUND(F28*Прил.10!$D$11,2)</f>
        <v/>
      </c>
      <c r="J28" s="92">
        <f>ROUND(I28*E28,2)</f>
        <v/>
      </c>
      <c r="L28" s="202" t="n"/>
    </row>
    <row r="29" ht="14.25" customFormat="1" customHeight="1" s="1">
      <c r="A29" s="155" t="n"/>
      <c r="B29" s="166" t="n"/>
      <c r="C29" s="165" t="inlineStr">
        <is>
          <t>Итого прочие машины и механизмы</t>
        </is>
      </c>
      <c r="D29" s="166" t="n"/>
      <c r="E29" s="167" t="n"/>
      <c r="F29" s="92" t="n"/>
      <c r="G29" s="92">
        <f>SUM(G22:G28)</f>
        <v/>
      </c>
      <c r="H29" s="170">
        <f>G29/G30</f>
        <v/>
      </c>
      <c r="I29" s="92" t="n"/>
      <c r="J29" s="92">
        <f>SUM(J22:J28)</f>
        <v/>
      </c>
      <c r="K29" s="202" t="n"/>
      <c r="L29" s="79" t="n"/>
    </row>
    <row r="30" ht="25.5" customFormat="1" customHeight="1" s="1">
      <c r="A30" s="155" t="n"/>
      <c r="B30" s="99" t="n"/>
      <c r="C30" s="100" t="inlineStr">
        <is>
          <t>Итого по разделу «Машины и механизмы»</t>
        </is>
      </c>
      <c r="D30" s="99" t="n"/>
      <c r="E30" s="101" t="n"/>
      <c r="F30" s="102" t="n"/>
      <c r="G30" s="102">
        <f>G21+G29</f>
        <v/>
      </c>
      <c r="H30" s="103" t="n">
        <v>1</v>
      </c>
      <c r="I30" s="102" t="n"/>
      <c r="J30" s="102">
        <f>J21+J29</f>
        <v/>
      </c>
    </row>
    <row r="31">
      <c r="A31" s="163" t="n"/>
      <c r="B31" s="159" t="inlineStr">
        <is>
          <t xml:space="preserve">Оборудование </t>
        </is>
      </c>
      <c r="C31" s="186" t="n"/>
      <c r="D31" s="186" t="n"/>
      <c r="E31" s="186" t="n"/>
      <c r="F31" s="186" t="n"/>
      <c r="G31" s="186" t="n"/>
      <c r="H31" s="186" t="n"/>
      <c r="I31" s="186" t="n"/>
      <c r="J31" s="187" t="n"/>
    </row>
    <row r="32" ht="15" customHeight="1">
      <c r="A32" s="155" t="n"/>
      <c r="B32" s="171" t="inlineStr">
        <is>
          <t>Основное оборудование</t>
        </is>
      </c>
    </row>
    <row r="33" ht="25.5" customHeight="1">
      <c r="A33" s="155" t="n">
        <v>12</v>
      </c>
      <c r="B33" s="41" t="inlineStr">
        <is>
          <t>БЦ.77.58</t>
        </is>
      </c>
      <c r="C33" s="154" t="inlineStr">
        <is>
          <t>Ячейка выключателя РП 6-15 кВ, ном. ток 3150 А, ном. ток отключения 20 кА</t>
        </is>
      </c>
      <c r="D33" s="155" t="inlineStr">
        <is>
          <t>шт.</t>
        </is>
      </c>
      <c r="E33" s="197" t="n">
        <v>1</v>
      </c>
      <c r="F33" s="157">
        <f>ROUND(I33/Прил.10!$D$13,2)</f>
        <v/>
      </c>
      <c r="G33" s="14">
        <f>ROUND(E33*F33,2)</f>
        <v/>
      </c>
      <c r="H33" s="38">
        <f>G33/$G$38</f>
        <v/>
      </c>
      <c r="I33" s="14" t="n">
        <v>2239331.68</v>
      </c>
      <c r="J33" s="14">
        <f>ROUND(I33*E33,2)</f>
        <v/>
      </c>
    </row>
    <row r="34">
      <c r="A34" s="155" t="n"/>
      <c r="B34" s="155" t="n"/>
      <c r="C34" s="154" t="inlineStr">
        <is>
          <t>Итого основное оборудование</t>
        </is>
      </c>
      <c r="D34" s="155" t="n"/>
      <c r="E34" s="197" t="n"/>
      <c r="F34" s="157" t="n"/>
      <c r="G34" s="14">
        <f>SUM(G33:G33)</f>
        <v/>
      </c>
      <c r="H34" s="38">
        <f>G34/$G$38</f>
        <v/>
      </c>
      <c r="I34" s="14" t="n"/>
      <c r="J34" s="14">
        <f>SUM(J33:J33)</f>
        <v/>
      </c>
      <c r="K34" s="202" t="n"/>
    </row>
    <row r="35" hidden="1" outlineLevel="1" ht="15" customHeight="1">
      <c r="A35" s="155" t="n"/>
      <c r="B35" s="155" t="n"/>
      <c r="C35" s="154" t="n"/>
      <c r="D35" s="155" t="n"/>
      <c r="E35" s="197" t="n"/>
      <c r="F35" s="157" t="n"/>
      <c r="G35" s="14">
        <f>ROUND(E35*F35,2)</f>
        <v/>
      </c>
      <c r="H35" s="38">
        <f>G35/$G$38</f>
        <v/>
      </c>
      <c r="I35" s="14">
        <f>ROUND(F35*Прил.10!$D$13,2)</f>
        <v/>
      </c>
      <c r="J35" s="14">
        <f>ROUND(I35*E35,2)</f>
        <v/>
      </c>
      <c r="K35" s="202" t="n"/>
    </row>
    <row r="36" hidden="1" outlineLevel="1" ht="15" customHeight="1">
      <c r="A36" s="155" t="n"/>
      <c r="B36" s="155" t="n"/>
      <c r="C36" s="154" t="n"/>
      <c r="D36" s="155" t="n"/>
      <c r="E36" s="197" t="n"/>
      <c r="F36" s="157" t="n"/>
      <c r="G36" s="14">
        <f>ROUND(E36*F36,2)</f>
        <v/>
      </c>
      <c r="H36" s="38">
        <f>G36/$G$38</f>
        <v/>
      </c>
      <c r="I36" s="14">
        <f>ROUND(F36*Прил.10!$D$13,2)</f>
        <v/>
      </c>
      <c r="J36" s="14">
        <f>ROUND(I36*E36,2)</f>
        <v/>
      </c>
      <c r="K36" s="202" t="n"/>
    </row>
    <row r="37" collapsed="1">
      <c r="A37" s="155" t="n"/>
      <c r="B37" s="155" t="n"/>
      <c r="C37" s="154" t="inlineStr">
        <is>
          <t>Итого прочее оборудование</t>
        </is>
      </c>
      <c r="D37" s="155" t="n"/>
      <c r="E37" s="156" t="n"/>
      <c r="F37" s="157" t="n"/>
      <c r="G37" s="14">
        <f>SUM(G35:G36)</f>
        <v/>
      </c>
      <c r="H37" s="38">
        <f>G37/$G$38</f>
        <v/>
      </c>
      <c r="I37" s="14" t="n"/>
      <c r="J37" s="14">
        <f>SUM(J35:J36)</f>
        <v/>
      </c>
      <c r="K37" s="202" t="n"/>
      <c r="L37" s="79" t="n"/>
    </row>
    <row r="38">
      <c r="A38" s="155" t="n"/>
      <c r="B38" s="155" t="n"/>
      <c r="C38" s="5" t="inlineStr">
        <is>
          <t>Итого по разделу «Оборудование»</t>
        </is>
      </c>
      <c r="D38" s="155" t="n"/>
      <c r="E38" s="156" t="n"/>
      <c r="F38" s="157" t="n"/>
      <c r="G38" s="14">
        <f>G34+G37</f>
        <v/>
      </c>
      <c r="H38" s="38">
        <f>(G34+G37)/G38</f>
        <v/>
      </c>
      <c r="I38" s="14" t="n"/>
      <c r="J38" s="14">
        <f>J37+J34</f>
        <v/>
      </c>
      <c r="K38" s="202" t="n"/>
    </row>
    <row r="39" ht="25.5" customHeight="1">
      <c r="A39" s="155" t="n"/>
      <c r="B39" s="155" t="n"/>
      <c r="C39" s="154" t="inlineStr">
        <is>
          <t>в том числе технологическое оборудование</t>
        </is>
      </c>
      <c r="D39" s="155" t="n"/>
      <c r="E39" s="156" t="n"/>
      <c r="F39" s="157" t="n"/>
      <c r="G39" s="14">
        <f>'Прил.6 Расчет ОБ'!G13</f>
        <v/>
      </c>
      <c r="H39" s="38">
        <f>G39/$G$38</f>
        <v/>
      </c>
      <c r="I39" s="14" t="n"/>
      <c r="J39" s="14">
        <f>ROUND(G39*Прил.10!$D$13,2)</f>
        <v/>
      </c>
      <c r="K39" s="202" t="n"/>
    </row>
    <row r="40" ht="14.25" customFormat="1" customHeight="1" s="1">
      <c r="A40" s="155" t="n"/>
      <c r="B40" s="204" t="inlineStr">
        <is>
          <t>Материалы</t>
        </is>
      </c>
      <c r="J40" s="205" t="n"/>
      <c r="K40" s="202" t="n"/>
    </row>
    <row r="41" ht="14.25" customFormat="1" customHeight="1" s="1">
      <c r="A41" s="155" t="n"/>
      <c r="B41" s="154" t="inlineStr">
        <is>
          <t>Основные материалы</t>
        </is>
      </c>
      <c r="C41" s="186" t="n"/>
      <c r="D41" s="186" t="n"/>
      <c r="E41" s="186" t="n"/>
      <c r="F41" s="186" t="n"/>
      <c r="G41" s="186" t="n"/>
      <c r="H41" s="187" t="n"/>
      <c r="I41" s="38" t="n"/>
      <c r="J41" s="38" t="n"/>
    </row>
    <row r="42" ht="14.25" customFormat="1" customHeight="1" s="1">
      <c r="A42" s="155" t="n">
        <v>13</v>
      </c>
      <c r="B42" s="41" t="inlineStr">
        <is>
          <t>01.1.02.01-0003</t>
        </is>
      </c>
      <c r="C42" s="154" t="inlineStr">
        <is>
          <t>Асботекстолит, марка Г</t>
        </is>
      </c>
      <c r="D42" s="155" t="inlineStr">
        <is>
          <t>т</t>
        </is>
      </c>
      <c r="E42" s="197" t="n">
        <v>0.0255</v>
      </c>
      <c r="F42" s="14" t="n">
        <v>161000</v>
      </c>
      <c r="G42" s="14">
        <f>ROUND(E42*F42,2)</f>
        <v/>
      </c>
      <c r="H42" s="38">
        <f>G42/$G$69</f>
        <v/>
      </c>
      <c r="I42" s="14">
        <f>ROUND(F42*Прил.10!$D$12,2)</f>
        <v/>
      </c>
      <c r="J42" s="14">
        <f>ROUND(I42*E42,2)</f>
        <v/>
      </c>
    </row>
    <row r="43" ht="14.25" customFormat="1" customHeight="1" s="1">
      <c r="A43" s="155" t="n">
        <v>14</v>
      </c>
      <c r="B43" s="41" t="inlineStr">
        <is>
          <t>01.3.02.02-0001</t>
        </is>
      </c>
      <c r="C43" s="154" t="inlineStr">
        <is>
          <t>Аргон газообразный, сорт I</t>
        </is>
      </c>
      <c r="D43" s="155" t="inlineStr">
        <is>
          <t>м3</t>
        </is>
      </c>
      <c r="E43" s="197" t="n">
        <v>121.5</v>
      </c>
      <c r="F43" s="14" t="n">
        <v>17.86</v>
      </c>
      <c r="G43" s="14">
        <f>ROUND(E43*F43,2)</f>
        <v/>
      </c>
      <c r="H43" s="38">
        <f>G43/$G$69</f>
        <v/>
      </c>
      <c r="I43" s="14">
        <f>ROUND(F43*Прил.10!$D$12,2)</f>
        <v/>
      </c>
      <c r="J43" s="14">
        <f>ROUND(I43*E43,2)</f>
        <v/>
      </c>
    </row>
    <row r="44" ht="25.5" customFormat="1" customHeight="1" s="1">
      <c r="A44" s="155" t="n">
        <v>15</v>
      </c>
      <c r="B44" s="41" t="inlineStr">
        <is>
          <t>21.1.08.03-0078</t>
        </is>
      </c>
      <c r="C44" s="154" t="inlineStr">
        <is>
          <t>Кабель контрольный КВВГЭнг(A)-FRLS 5х2,5</t>
        </is>
      </c>
      <c r="D44" s="155" t="inlineStr">
        <is>
          <t>1000 м</t>
        </is>
      </c>
      <c r="E44" s="197" t="n">
        <v>0.05</v>
      </c>
      <c r="F44" s="14" t="n">
        <v>36884.36</v>
      </c>
      <c r="G44" s="14">
        <f>ROUND(E44*F44,2)</f>
        <v/>
      </c>
      <c r="H44" s="38">
        <f>G44/$G$69</f>
        <v/>
      </c>
      <c r="I44" s="14">
        <f>ROUND(F44*Прил.10!$D$12,2)</f>
        <v/>
      </c>
      <c r="J44" s="14">
        <f>ROUND(I44*E44,2)</f>
        <v/>
      </c>
    </row>
    <row r="45" ht="25.5" customFormat="1" customHeight="1" s="1">
      <c r="A45" s="155" t="n">
        <v>16</v>
      </c>
      <c r="B45" s="41" t="inlineStr">
        <is>
          <t>01.1.02.09-0021</t>
        </is>
      </c>
      <c r="C45" s="154" t="inlineStr">
        <is>
          <t>Ткань асбестовая со стеклонитью АСТ-1, толщина 1,8 мм</t>
        </is>
      </c>
      <c r="D45" s="155" t="inlineStr">
        <is>
          <t>т</t>
        </is>
      </c>
      <c r="E45" s="197" t="n">
        <v>0.0268</v>
      </c>
      <c r="F45" s="14" t="n">
        <v>66860</v>
      </c>
      <c r="G45" s="14">
        <f>ROUND(E45*F45,2)</f>
        <v/>
      </c>
      <c r="H45" s="38">
        <f>G45/$G$69</f>
        <v/>
      </c>
      <c r="I45" s="14">
        <f>ROUND(F45*Прил.10!$D$12,2)</f>
        <v/>
      </c>
      <c r="J45" s="14">
        <f>ROUND(I45*E45,2)</f>
        <v/>
      </c>
    </row>
    <row r="46" ht="25.5" customFormat="1" customHeight="1" s="1">
      <c r="A46" s="155" t="n">
        <v>17</v>
      </c>
      <c r="B46" s="41" t="inlineStr">
        <is>
          <t>01.7.11.04-0002</t>
        </is>
      </c>
      <c r="C46" s="154" t="inlineStr">
        <is>
          <t>Проволока наплавочная ПП-Нп-19СТ, диаметр 3 мм</t>
        </is>
      </c>
      <c r="D46" s="155" t="inlineStr">
        <is>
          <t>т</t>
        </is>
      </c>
      <c r="E46" s="197" t="n">
        <v>0.08699999999999999</v>
      </c>
      <c r="F46" s="14" t="n">
        <v>20300</v>
      </c>
      <c r="G46" s="14">
        <f>ROUND(E46*F46,2)</f>
        <v/>
      </c>
      <c r="H46" s="38">
        <f>G46/$G$69</f>
        <v/>
      </c>
      <c r="I46" s="14">
        <f>ROUND(F46*Прил.10!$D$12,2)</f>
        <v/>
      </c>
      <c r="J46" s="14">
        <f>ROUND(I46*E46,2)</f>
        <v/>
      </c>
    </row>
    <row r="47" ht="38.25" customFormat="1" customHeight="1" s="1">
      <c r="A47" s="155" t="n">
        <v>18</v>
      </c>
      <c r="B47" s="41" t="inlineStr">
        <is>
          <t>25.1.01.04-0012</t>
        </is>
      </c>
      <c r="C47" s="154" t="inlineStr">
        <is>
          <t>Шпалы из древесины хвойных пород для колеи 600 мм, непропитанные, длина 1200 мм, тип II</t>
        </is>
      </c>
      <c r="D47" s="155" t="inlineStr">
        <is>
          <t>шт</t>
        </is>
      </c>
      <c r="E47" s="197" t="n">
        <v>30</v>
      </c>
      <c r="F47" s="14" t="n">
        <v>42.6</v>
      </c>
      <c r="G47" s="14">
        <f>ROUND(E47*F47,2)</f>
        <v/>
      </c>
      <c r="H47" s="38">
        <f>G47/$G$69</f>
        <v/>
      </c>
      <c r="I47" s="14">
        <f>ROUND(F47*Прил.10!$D$12,2)</f>
        <v/>
      </c>
      <c r="J47" s="14">
        <f>ROUND(I47*E47,2)</f>
        <v/>
      </c>
    </row>
    <row r="48" ht="14.25" customFormat="1" customHeight="1" s="1">
      <c r="A48" s="155" t="n">
        <v>19</v>
      </c>
      <c r="B48" s="41" t="inlineStr">
        <is>
          <t>01.3.02.03-0001</t>
        </is>
      </c>
      <c r="C48" s="154" t="inlineStr">
        <is>
          <t>Ацетилен газообразный технический</t>
        </is>
      </c>
      <c r="D48" s="155" t="inlineStr">
        <is>
          <t>м3</t>
        </is>
      </c>
      <c r="E48" s="197" t="n">
        <v>16.5</v>
      </c>
      <c r="F48" s="14" t="n">
        <v>38.51</v>
      </c>
      <c r="G48" s="14">
        <f>ROUND(E48*F48,2)</f>
        <v/>
      </c>
      <c r="H48" s="38">
        <f>G48/$G$69</f>
        <v/>
      </c>
      <c r="I48" s="14">
        <f>ROUND(F48*Прил.10!$D$12,2)</f>
        <v/>
      </c>
      <c r="J48" s="14">
        <f>ROUND(I48*E48,2)</f>
        <v/>
      </c>
    </row>
    <row r="49" ht="25.5" customFormat="1" customHeight="1" s="1">
      <c r="A49" s="155" t="n">
        <v>20</v>
      </c>
      <c r="B49" s="41" t="inlineStr">
        <is>
          <t>01.7.02.06-0017</t>
        </is>
      </c>
      <c r="C49" s="154" t="inlineStr">
        <is>
          <t>Картон строительный прокладочный, марка Б</t>
        </is>
      </c>
      <c r="D49" s="155" t="inlineStr">
        <is>
          <t>т</t>
        </is>
      </c>
      <c r="E49" s="197" t="n">
        <v>0.03</v>
      </c>
      <c r="F49" s="14" t="n">
        <v>19800</v>
      </c>
      <c r="G49" s="14">
        <f>ROUND(E49*F49,2)</f>
        <v/>
      </c>
      <c r="H49" s="38">
        <f>G49/$G$69</f>
        <v/>
      </c>
      <c r="I49" s="14">
        <f>ROUND(F49*Прил.10!$D$12,2)</f>
        <v/>
      </c>
      <c r="J49" s="14">
        <f>ROUND(I49*E49,2)</f>
        <v/>
      </c>
    </row>
    <row r="50" ht="14.25" customFormat="1" customHeight="1" s="1">
      <c r="A50" s="155" t="n">
        <v>21</v>
      </c>
      <c r="B50" s="41" t="inlineStr">
        <is>
          <t>14.4.02.09-0001</t>
        </is>
      </c>
      <c r="C50" s="154" t="inlineStr">
        <is>
          <t>Краска</t>
        </is>
      </c>
      <c r="D50" s="155" t="inlineStr">
        <is>
          <t>кг</t>
        </is>
      </c>
      <c r="E50" s="197" t="n">
        <v>15.2</v>
      </c>
      <c r="F50" s="14" t="n">
        <v>28.6</v>
      </c>
      <c r="G50" s="14">
        <f>ROUND(E50*F50,2)</f>
        <v/>
      </c>
      <c r="H50" s="38">
        <f>G50/$G$69</f>
        <v/>
      </c>
      <c r="I50" s="14">
        <f>ROUND(F50*Прил.10!$D$12,2)</f>
        <v/>
      </c>
      <c r="J50" s="14">
        <f>ROUND(I50*E50,2)</f>
        <v/>
      </c>
    </row>
    <row r="51" ht="14.25" customFormat="1" customHeight="1" s="1">
      <c r="A51" s="155" t="n"/>
      <c r="B51" s="155" t="n"/>
      <c r="C51" s="154" t="inlineStr">
        <is>
          <t>Итого основные материалы</t>
        </is>
      </c>
      <c r="D51" s="155" t="n"/>
      <c r="E51" s="197" t="n"/>
      <c r="F51" s="14" t="n"/>
      <c r="G51" s="14">
        <f>SUM(G42:G50)</f>
        <v/>
      </c>
      <c r="H51" s="38">
        <f>G51/$G$69</f>
        <v/>
      </c>
      <c r="I51" s="14" t="n"/>
      <c r="J51" s="14">
        <f>SUM(J42:J50)</f>
        <v/>
      </c>
      <c r="K51" s="202" t="n"/>
    </row>
    <row r="52" outlineLevel="1" ht="25.5" customFormat="1" customHeight="1" s="1">
      <c r="A52" s="155" t="n">
        <v>22</v>
      </c>
      <c r="B52" s="41" t="inlineStr">
        <is>
          <t>999-9950</t>
        </is>
      </c>
      <c r="C52" s="154" t="inlineStr">
        <is>
          <t>Вспомогательные ненормируемые ресурсы</t>
        </is>
      </c>
      <c r="D52" s="155" t="inlineStr">
        <is>
          <t>руб.</t>
        </is>
      </c>
      <c r="E52" s="197" t="n">
        <v>478.05</v>
      </c>
      <c r="F52" s="14" t="n">
        <v>1</v>
      </c>
      <c r="G52" s="14">
        <f>ROUND(F52*E52,2)</f>
        <v/>
      </c>
      <c r="H52" s="38">
        <f>G52/$G$69</f>
        <v/>
      </c>
      <c r="I52" s="14">
        <f>ROUND(F52*Прил.10!$D$12,2)</f>
        <v/>
      </c>
      <c r="J52" s="14">
        <f>ROUND(I52*E52,2)</f>
        <v/>
      </c>
    </row>
    <row r="53" outlineLevel="1" ht="25.5" customFormat="1" customHeight="1" s="1">
      <c r="A53" s="155" t="n">
        <v>23</v>
      </c>
      <c r="B53" s="41" t="inlineStr">
        <is>
          <t>01.7.19.04-0031</t>
        </is>
      </c>
      <c r="C53" s="154" t="inlineStr">
        <is>
          <t>Прокладки резиновые (пластина техническая прессованная)</t>
        </is>
      </c>
      <c r="D53" s="155" t="inlineStr">
        <is>
          <t>кг</t>
        </is>
      </c>
      <c r="E53" s="197" t="n">
        <v>18.75</v>
      </c>
      <c r="F53" s="14" t="n">
        <v>23.09</v>
      </c>
      <c r="G53" s="14">
        <f>ROUND(F53*E53,2)</f>
        <v/>
      </c>
      <c r="H53" s="38">
        <f>G53/$G$69</f>
        <v/>
      </c>
      <c r="I53" s="14">
        <f>ROUND(F53*Прил.10!$D$12,2)</f>
        <v/>
      </c>
      <c r="J53" s="14">
        <f>ROUND(I53*E53,2)</f>
        <v/>
      </c>
    </row>
    <row r="54" outlineLevel="1" ht="14.25" customFormat="1" customHeight="1" s="1">
      <c r="A54" s="155" t="n">
        <v>24</v>
      </c>
      <c r="B54" s="41" t="inlineStr">
        <is>
          <t>07.2.07.13-0171</t>
        </is>
      </c>
      <c r="C54" s="154" t="inlineStr">
        <is>
          <t>Подкладки металлические</t>
        </is>
      </c>
      <c r="D54" s="155" t="inlineStr">
        <is>
          <t>кг</t>
        </is>
      </c>
      <c r="E54" s="197" t="n">
        <v>30</v>
      </c>
      <c r="F54" s="14" t="n">
        <v>12.6</v>
      </c>
      <c r="G54" s="14">
        <f>ROUND(F54*E54,2)</f>
        <v/>
      </c>
      <c r="H54" s="38">
        <f>G54/$G$69</f>
        <v/>
      </c>
      <c r="I54" s="14">
        <f>ROUND(F54*Прил.10!$D$12,2)</f>
        <v/>
      </c>
      <c r="J54" s="14">
        <f>ROUND(I54*E54,2)</f>
        <v/>
      </c>
    </row>
    <row r="55" outlineLevel="1" ht="38.25" customFormat="1" customHeight="1" s="1">
      <c r="A55" s="155" t="n">
        <v>25</v>
      </c>
      <c r="B55" s="41" t="inlineStr">
        <is>
          <t>11.1.03.05-0085</t>
        </is>
      </c>
      <c r="C55" s="154" t="inlineStr">
        <is>
          <t>Доски необрезные хвойных пород длиной: 4-6,5 м, все ширины, толщиной 44 мм и более, III сорта</t>
        </is>
      </c>
      <c r="D55" s="155" t="inlineStr">
        <is>
          <t>м3</t>
        </is>
      </c>
      <c r="E55" s="197" t="n">
        <v>0.3</v>
      </c>
      <c r="F55" s="14" t="n">
        <v>684</v>
      </c>
      <c r="G55" s="14">
        <f>ROUND(F55*E55,2)</f>
        <v/>
      </c>
      <c r="H55" s="38">
        <f>G55/$G$69</f>
        <v/>
      </c>
      <c r="I55" s="14">
        <f>ROUND(F55*Прил.10!$D$12,2)</f>
        <v/>
      </c>
      <c r="J55" s="14">
        <f>ROUND(I55*E55,2)</f>
        <v/>
      </c>
    </row>
    <row r="56" outlineLevel="1" ht="25.5" customFormat="1" customHeight="1" s="1">
      <c r="A56" s="155" t="n">
        <v>26</v>
      </c>
      <c r="B56" s="41" t="inlineStr">
        <is>
          <t>01.7.15.06-0121</t>
        </is>
      </c>
      <c r="C56" s="154" t="inlineStr">
        <is>
          <t>Гвозди строительные с плоской головкой: 1,6x50 мм</t>
        </is>
      </c>
      <c r="D56" s="155" t="inlineStr">
        <is>
          <t>т</t>
        </is>
      </c>
      <c r="E56" s="197" t="n">
        <v>0.0225</v>
      </c>
      <c r="F56" s="14" t="n">
        <v>8475</v>
      </c>
      <c r="G56" s="14">
        <f>ROUND(F56*E56,2)</f>
        <v/>
      </c>
      <c r="H56" s="38">
        <f>G56/$G$69</f>
        <v/>
      </c>
      <c r="I56" s="14">
        <f>ROUND(F56*Прил.10!$D$12,2)</f>
        <v/>
      </c>
      <c r="J56" s="14">
        <f>ROUND(I56*E56,2)</f>
        <v/>
      </c>
    </row>
    <row r="57" outlineLevel="1" ht="14.25" customFormat="1" customHeight="1" s="1">
      <c r="A57" s="155" t="n">
        <v>27</v>
      </c>
      <c r="B57" s="41" t="inlineStr">
        <is>
          <t>14.5.09.01-0003</t>
        </is>
      </c>
      <c r="C57" s="154" t="inlineStr">
        <is>
          <t>Ацетон технический, сорт высший</t>
        </is>
      </c>
      <c r="D57" s="155" t="inlineStr">
        <is>
          <t>т</t>
        </is>
      </c>
      <c r="E57" s="197" t="n">
        <v>0.018</v>
      </c>
      <c r="F57" s="14" t="n">
        <v>9360</v>
      </c>
      <c r="G57" s="14">
        <f>ROUND(F57*E57,2)</f>
        <v/>
      </c>
      <c r="H57" s="38">
        <f>G57/$G$69</f>
        <v/>
      </c>
      <c r="I57" s="14">
        <f>ROUND(F57*Прил.10!$D$12,2)</f>
        <v/>
      </c>
      <c r="J57" s="14">
        <f>ROUND(I57*E57,2)</f>
        <v/>
      </c>
    </row>
    <row r="58" outlineLevel="1" ht="25.5" customFormat="1" customHeight="1" s="1">
      <c r="A58" s="155" t="n">
        <v>28</v>
      </c>
      <c r="B58" s="41" t="inlineStr">
        <is>
          <t>21.1.06.10-0376</t>
        </is>
      </c>
      <c r="C58" s="154" t="inlineStr">
        <is>
          <t>Кабель силовой с медными жилами ВВГнг(A)-LS 3х2,5ок-1000</t>
        </is>
      </c>
      <c r="D58" s="155" t="inlineStr">
        <is>
          <t>1000 м</t>
        </is>
      </c>
      <c r="E58" s="197" t="n">
        <v>0.01</v>
      </c>
      <c r="F58" s="14" t="n">
        <v>14498.24</v>
      </c>
      <c r="G58" s="14">
        <f>ROUND(F58*E58,2)</f>
        <v/>
      </c>
      <c r="H58" s="38">
        <f>G58/$G$69</f>
        <v/>
      </c>
      <c r="I58" s="14">
        <f>ROUND(F58*Прил.10!$D$12,2)</f>
        <v/>
      </c>
      <c r="J58" s="14">
        <f>ROUND(I58*E58,2)</f>
        <v/>
      </c>
    </row>
    <row r="59" outlineLevel="1" ht="14.25" customFormat="1" customHeight="1" s="1">
      <c r="A59" s="155" t="n">
        <v>29</v>
      </c>
      <c r="B59" s="41" t="inlineStr">
        <is>
          <t>01.7.15.10-0053</t>
        </is>
      </c>
      <c r="C59" s="154" t="inlineStr">
        <is>
          <t>Скобы: металлические</t>
        </is>
      </c>
      <c r="D59" s="155" t="inlineStr">
        <is>
          <t>кг</t>
        </is>
      </c>
      <c r="E59" s="197" t="n">
        <v>21</v>
      </c>
      <c r="F59" s="14" t="n">
        <v>6.4</v>
      </c>
      <c r="G59" s="14">
        <f>ROUND(F59*E59,2)</f>
        <v/>
      </c>
      <c r="H59" s="38">
        <f>G59/$G$69</f>
        <v/>
      </c>
      <c r="I59" s="14">
        <f>ROUND(F59*Прил.10!$D$12,2)</f>
        <v/>
      </c>
      <c r="J59" s="14">
        <f>ROUND(I59*E59,2)</f>
        <v/>
      </c>
    </row>
    <row r="60" outlineLevel="1" ht="14.25" customFormat="1" customHeight="1" s="1">
      <c r="A60" s="155" t="n">
        <v>30</v>
      </c>
      <c r="B60" s="41" t="inlineStr">
        <is>
          <t>01.7.11.07-0034</t>
        </is>
      </c>
      <c r="C60" s="154" t="inlineStr">
        <is>
          <t>Электроды диаметром: 4 мм Э42А</t>
        </is>
      </c>
      <c r="D60" s="155" t="inlineStr">
        <is>
          <t>кг</t>
        </is>
      </c>
      <c r="E60" s="197" t="n">
        <v>12</v>
      </c>
      <c r="F60" s="14" t="n">
        <v>10.57</v>
      </c>
      <c r="G60" s="14">
        <f>ROUND(F60*E60,2)</f>
        <v/>
      </c>
      <c r="H60" s="38">
        <f>G60/$G$69</f>
        <v/>
      </c>
      <c r="I60" s="14">
        <f>ROUND(F60*Прил.10!$D$12,2)</f>
        <v/>
      </c>
      <c r="J60" s="14">
        <f>ROUND(I60*E60,2)</f>
        <v/>
      </c>
    </row>
    <row r="61" outlineLevel="1" ht="14.25" customFormat="1" customHeight="1" s="1">
      <c r="A61" s="155" t="n">
        <v>31</v>
      </c>
      <c r="B61" s="41" t="inlineStr">
        <is>
          <t>01.3.02.08-0001</t>
        </is>
      </c>
      <c r="C61" s="154" t="inlineStr">
        <is>
          <t>Кислород технический: газообразный</t>
        </is>
      </c>
      <c r="D61" s="155" t="inlineStr">
        <is>
          <t>м3</t>
        </is>
      </c>
      <c r="E61" s="197" t="n">
        <v>15.45</v>
      </c>
      <c r="F61" s="14" t="n">
        <v>6.22</v>
      </c>
      <c r="G61" s="14">
        <f>ROUND(F61*E61,2)</f>
        <v/>
      </c>
      <c r="H61" s="38">
        <f>G61/$G$69</f>
        <v/>
      </c>
      <c r="I61" s="14">
        <f>ROUND(F61*Прил.10!$D$12,2)</f>
        <v/>
      </c>
      <c r="J61" s="14">
        <f>ROUND(I61*E61,2)</f>
        <v/>
      </c>
    </row>
    <row r="62" outlineLevel="1" ht="25.5" customFormat="1" customHeight="1" s="1">
      <c r="A62" s="155" t="n">
        <v>32</v>
      </c>
      <c r="B62" s="41" t="inlineStr">
        <is>
          <t>01.3.01.07-0008</t>
        </is>
      </c>
      <c r="C62" s="154" t="inlineStr">
        <is>
          <t>Спирт этиловый ректификованный технический, сорт I</t>
        </is>
      </c>
      <c r="D62" s="155" t="inlineStr">
        <is>
          <t>т</t>
        </is>
      </c>
      <c r="E62" s="197" t="n">
        <v>0.0024</v>
      </c>
      <c r="F62" s="14" t="n">
        <v>38890</v>
      </c>
      <c r="G62" s="14">
        <f>ROUND(F62*E62,2)</f>
        <v/>
      </c>
      <c r="H62" s="38">
        <f>G62/$G$69</f>
        <v/>
      </c>
      <c r="I62" s="14">
        <f>ROUND(F62*Прил.10!$D$12,2)</f>
        <v/>
      </c>
      <c r="J62" s="14">
        <f>ROUND(I62*E62,2)</f>
        <v/>
      </c>
    </row>
    <row r="63" outlineLevel="1" ht="14.25" customFormat="1" customHeight="1" s="1">
      <c r="A63" s="155" t="n">
        <v>33</v>
      </c>
      <c r="B63" s="41" t="inlineStr">
        <is>
          <t>01.7.15.03-0042</t>
        </is>
      </c>
      <c r="C63" s="154" t="inlineStr">
        <is>
          <t>Болты с гайками и шайбами строительные</t>
        </is>
      </c>
      <c r="D63" s="155" t="inlineStr">
        <is>
          <t>кг</t>
        </is>
      </c>
      <c r="E63" s="197" t="n">
        <v>1.29</v>
      </c>
      <c r="F63" s="14" t="n">
        <v>9.039999999999999</v>
      </c>
      <c r="G63" s="14">
        <f>ROUND(F63*E63,2)</f>
        <v/>
      </c>
      <c r="H63" s="38">
        <f>G63/$G$69</f>
        <v/>
      </c>
      <c r="I63" s="14">
        <f>ROUND(F63*Прил.10!$D$12,2)</f>
        <v/>
      </c>
      <c r="J63" s="14">
        <f>ROUND(I63*E63,2)</f>
        <v/>
      </c>
    </row>
    <row r="64" outlineLevel="1" ht="25.5" customFormat="1" customHeight="1" s="1">
      <c r="A64" s="155" t="n">
        <v>34</v>
      </c>
      <c r="B64" s="41" t="inlineStr">
        <is>
          <t>01.3.01.06-0050</t>
        </is>
      </c>
      <c r="C64" s="154" t="inlineStr">
        <is>
          <t>Смазка универсальная тугоплавкая УТ (консталин жировой)</t>
        </is>
      </c>
      <c r="D64" s="155" t="inlineStr">
        <is>
          <t>т</t>
        </is>
      </c>
      <c r="E64" s="197" t="n">
        <v>0.0003</v>
      </c>
      <c r="F64" s="14" t="n">
        <v>17500</v>
      </c>
      <c r="G64" s="14">
        <f>ROUND(F64*E64,2)</f>
        <v/>
      </c>
      <c r="H64" s="38">
        <f>G64/$G$69</f>
        <v/>
      </c>
      <c r="I64" s="14">
        <f>ROUND(F64*Прил.10!$D$12,2)</f>
        <v/>
      </c>
      <c r="J64" s="14">
        <f>ROUND(I64*E64,2)</f>
        <v/>
      </c>
    </row>
    <row r="65" outlineLevel="1" ht="25.5" customFormat="1" customHeight="1" s="1">
      <c r="A65" s="155" t="n">
        <v>35</v>
      </c>
      <c r="B65" s="41" t="inlineStr">
        <is>
          <t>08.3.07.01-0076</t>
        </is>
      </c>
      <c r="C65" s="154" t="inlineStr">
        <is>
          <t>Сталь полосовая, марка стали: Ст3сп шириной 50-200 мм толщиной 4-5 мм</t>
        </is>
      </c>
      <c r="D65" s="155" t="inlineStr">
        <is>
          <t>т</t>
        </is>
      </c>
      <c r="E65" s="197" t="n">
        <v>0.001</v>
      </c>
      <c r="F65" s="14" t="n">
        <v>5000</v>
      </c>
      <c r="G65" s="14">
        <f>ROUND(F65*E65,2)</f>
        <v/>
      </c>
      <c r="H65" s="38">
        <f>G65/$G$69</f>
        <v/>
      </c>
      <c r="I65" s="14">
        <f>ROUND(F65*Прил.10!$D$12,2)</f>
        <v/>
      </c>
      <c r="J65" s="14">
        <f>ROUND(I65*E65,2)</f>
        <v/>
      </c>
    </row>
    <row r="66" outlineLevel="1" ht="14.25" customFormat="1" customHeight="1" s="1">
      <c r="A66" s="155" t="n">
        <v>36</v>
      </c>
      <c r="B66" s="41" t="inlineStr">
        <is>
          <t>01.7.06.07-0003</t>
        </is>
      </c>
      <c r="C66" s="154" t="inlineStr">
        <is>
          <t>Лента с запонками ЛМЗ</t>
        </is>
      </c>
      <c r="D66" s="155" t="inlineStr">
        <is>
          <t>100 м</t>
        </is>
      </c>
      <c r="E66" s="197" t="n">
        <v>0.025</v>
      </c>
      <c r="F66" s="14" t="n">
        <v>126</v>
      </c>
      <c r="G66" s="14">
        <f>ROUND(F66*E66,2)</f>
        <v/>
      </c>
      <c r="H66" s="38">
        <f>G66/$G$69</f>
        <v/>
      </c>
      <c r="I66" s="14">
        <f>ROUND(F66*Прил.10!$D$12,2)</f>
        <v/>
      </c>
      <c r="J66" s="14">
        <f>ROUND(I66*E66,2)</f>
        <v/>
      </c>
    </row>
    <row r="67" outlineLevel="1" ht="14.25" customFormat="1" customHeight="1" s="1">
      <c r="A67" s="155" t="n">
        <v>37</v>
      </c>
      <c r="B67" s="41" t="inlineStr">
        <is>
          <t>01.7.20.08-0102</t>
        </is>
      </c>
      <c r="C67" s="154" t="inlineStr">
        <is>
          <t>Миткаль «Т-2» суровый (суровье)</t>
        </is>
      </c>
      <c r="D67" s="155" t="inlineStr">
        <is>
          <t>10 м</t>
        </is>
      </c>
      <c r="E67" s="197" t="n">
        <v>0.03</v>
      </c>
      <c r="F67" s="14" t="n">
        <v>73.65000000000001</v>
      </c>
      <c r="G67" s="14">
        <f>ROUND(F67*E67,2)</f>
        <v/>
      </c>
      <c r="H67" s="38">
        <f>G67/$G$69</f>
        <v/>
      </c>
      <c r="I67" s="14">
        <f>ROUND(F67*Прил.10!$D$12,2)</f>
        <v/>
      </c>
      <c r="J67" s="14">
        <f>ROUND(I67*E67,2)</f>
        <v/>
      </c>
    </row>
    <row r="68" ht="14.25" customFormat="1" customHeight="1" s="1">
      <c r="A68" s="155" t="n"/>
      <c r="B68" s="155" t="n"/>
      <c r="C68" s="154" t="inlineStr">
        <is>
          <t>Итого прочие материалы</t>
        </is>
      </c>
      <c r="D68" s="155" t="n"/>
      <c r="E68" s="156" t="n"/>
      <c r="F68" s="157" t="n"/>
      <c r="G68" s="14">
        <f>SUM(G52:G67)</f>
        <v/>
      </c>
      <c r="H68" s="38">
        <f>G68/G69</f>
        <v/>
      </c>
      <c r="I68" s="14" t="n"/>
      <c r="J68" s="14">
        <f>SUM(J52:J67)</f>
        <v/>
      </c>
      <c r="L68" s="79" t="n"/>
    </row>
    <row r="69" ht="14.25" customFormat="1" customHeight="1" s="1">
      <c r="A69" s="155" t="n"/>
      <c r="B69" s="155" t="n"/>
      <c r="C69" s="5" t="inlineStr">
        <is>
          <t>Итого по разделу «Материалы»</t>
        </is>
      </c>
      <c r="D69" s="155" t="n"/>
      <c r="E69" s="156" t="n"/>
      <c r="F69" s="157" t="n"/>
      <c r="G69" s="14">
        <f>G51+G68</f>
        <v/>
      </c>
      <c r="H69" s="38" t="n">
        <v>1</v>
      </c>
      <c r="I69" s="157" t="n"/>
      <c r="J69" s="14">
        <f>J51+J68</f>
        <v/>
      </c>
      <c r="K69" s="202" t="n"/>
    </row>
    <row r="70" ht="14.25" customFormat="1" customHeight="1" s="1">
      <c r="A70" s="155" t="n"/>
      <c r="B70" s="155" t="n"/>
      <c r="C70" s="154" t="inlineStr">
        <is>
          <t>ИТОГО ПО РМ</t>
        </is>
      </c>
      <c r="D70" s="155" t="n"/>
      <c r="E70" s="156" t="n"/>
      <c r="F70" s="157" t="n"/>
      <c r="G70" s="14">
        <f>G14+G30+G69</f>
        <v/>
      </c>
      <c r="H70" s="38" t="n"/>
      <c r="I70" s="157" t="n"/>
      <c r="J70" s="14">
        <f>J14+J30+J69</f>
        <v/>
      </c>
    </row>
    <row r="71" ht="14.25" customFormat="1" customHeight="1" s="1">
      <c r="A71" s="155" t="n"/>
      <c r="B71" s="155" t="n"/>
      <c r="C71" s="154" t="inlineStr">
        <is>
          <t>Накладные расходы</t>
        </is>
      </c>
      <c r="D71" s="155" t="inlineStr">
        <is>
          <t>%</t>
        </is>
      </c>
      <c r="E71" s="44" t="n">
        <v>1.04</v>
      </c>
      <c r="F71" s="157" t="n"/>
      <c r="G71" s="14" t="n">
        <v>37118</v>
      </c>
      <c r="H71" s="38" t="n"/>
      <c r="I71" s="157" t="n"/>
      <c r="J71" s="14">
        <f>ROUND(E71*(J14+J16),2)</f>
        <v/>
      </c>
      <c r="K71" s="45" t="n"/>
    </row>
    <row r="72" ht="14.25" customFormat="1" customHeight="1" s="1">
      <c r="A72" s="155" t="n"/>
      <c r="B72" s="155" t="n"/>
      <c r="C72" s="154" t="inlineStr">
        <is>
          <t>Сметная прибыль</t>
        </is>
      </c>
      <c r="D72" s="155" t="inlineStr">
        <is>
          <t>%</t>
        </is>
      </c>
      <c r="E72" s="44" t="n">
        <v>0.71</v>
      </c>
      <c r="F72" s="157" t="n"/>
      <c r="G72" s="14" t="n">
        <v>24127</v>
      </c>
      <c r="H72" s="38" t="n"/>
      <c r="I72" s="157" t="n"/>
      <c r="J72" s="14">
        <f>ROUND(E72*(J14+J16),2)</f>
        <v/>
      </c>
      <c r="K72" s="45" t="n"/>
    </row>
    <row r="73" ht="14.25" customFormat="1" customHeight="1" s="1">
      <c r="A73" s="155" t="n"/>
      <c r="B73" s="155" t="n"/>
      <c r="C73" s="154" t="inlineStr">
        <is>
          <t>Итого СМР (с НР и СП)</t>
        </is>
      </c>
      <c r="D73" s="155" t="n"/>
      <c r="E73" s="156" t="n"/>
      <c r="F73" s="157" t="n"/>
      <c r="G73" s="14">
        <f>G14+G30+G69+G71+G72</f>
        <v/>
      </c>
      <c r="H73" s="38" t="n"/>
      <c r="I73" s="157" t="n"/>
      <c r="J73" s="14">
        <f>J14+J30+J69+J71+J72</f>
        <v/>
      </c>
      <c r="L73" s="46" t="n"/>
    </row>
    <row r="74" ht="14.25" customFormat="1" customHeight="1" s="1">
      <c r="A74" s="155" t="n"/>
      <c r="B74" s="155" t="n"/>
      <c r="C74" s="154" t="inlineStr">
        <is>
          <t>ВСЕГО СМР + ОБОРУДОВАНИЕ</t>
        </is>
      </c>
      <c r="D74" s="155" t="n"/>
      <c r="E74" s="156" t="n"/>
      <c r="F74" s="157" t="n"/>
      <c r="G74" s="14">
        <f>G73+G38</f>
        <v/>
      </c>
      <c r="H74" s="38" t="n"/>
      <c r="I74" s="157" t="n"/>
      <c r="J74" s="14">
        <f>J73+J38</f>
        <v/>
      </c>
      <c r="L74" s="45" t="n"/>
    </row>
    <row r="75" ht="14.25" customFormat="1" customHeight="1" s="1">
      <c r="A75" s="155" t="n"/>
      <c r="B75" s="155" t="n"/>
      <c r="C75" s="154" t="inlineStr">
        <is>
          <t>ИТОГО ПОКАЗАТЕЛЬ НА ЕД. ИЗМ.</t>
        </is>
      </c>
      <c r="D75" s="155" t="inlineStr">
        <is>
          <t>ед.</t>
        </is>
      </c>
      <c r="E75" s="47" t="n">
        <v>1</v>
      </c>
      <c r="F75" s="157" t="n"/>
      <c r="G75" s="14">
        <f>G74/E75</f>
        <v/>
      </c>
      <c r="H75" s="38" t="n"/>
      <c r="I75" s="157" t="n"/>
      <c r="J75" s="14">
        <f>J74/E75</f>
        <v/>
      </c>
      <c r="L75" s="79" t="n"/>
    </row>
    <row r="77" ht="14.25" customFormat="1" customHeight="1" s="1">
      <c r="A77" s="10" t="n"/>
    </row>
    <row r="78" ht="14.25" customFormat="1" customHeight="1" s="1">
      <c r="A78" s="6" t="inlineStr">
        <is>
          <t>Составил ______________________        Е.А. Князева</t>
        </is>
      </c>
    </row>
    <row r="79" ht="14.25" customFormat="1" customHeight="1" s="1">
      <c r="A79" s="74" t="inlineStr">
        <is>
          <t xml:space="preserve">                         (подпись, инициалы, фамилия)</t>
        </is>
      </c>
    </row>
    <row r="80" ht="14.25" customFormat="1" customHeight="1" s="1">
      <c r="A80" s="6" t="n"/>
    </row>
    <row r="81" ht="14.25" customFormat="1" customHeight="1" s="1">
      <c r="A81" s="6" t="inlineStr">
        <is>
          <t>Проверил ______________________        А.В. Костянецкая</t>
        </is>
      </c>
    </row>
    <row r="82" ht="14.25" customFormat="1" customHeight="1" s="1">
      <c r="A82" s="74" t="inlineStr">
        <is>
          <t xml:space="preserve">                        (подпись, инициалы, фамилия)</t>
        </is>
      </c>
    </row>
  </sheetData>
  <mergeCells count="20">
    <mergeCell ref="H9:H10"/>
    <mergeCell ref="B15:H15"/>
    <mergeCell ref="C9:C10"/>
    <mergeCell ref="E9:E10"/>
    <mergeCell ref="B41:H41"/>
    <mergeCell ref="A7:H7"/>
    <mergeCell ref="B40:J40"/>
    <mergeCell ref="B9:B10"/>
    <mergeCell ref="D9:D10"/>
    <mergeCell ref="B18:H18"/>
    <mergeCell ref="B12:H12"/>
    <mergeCell ref="B32:J32"/>
    <mergeCell ref="D6:J6"/>
    <mergeCell ref="F9:G9"/>
    <mergeCell ref="A4:H4"/>
    <mergeCell ref="B17:H17"/>
    <mergeCell ref="A9:A10"/>
    <mergeCell ref="A6:C6"/>
    <mergeCell ref="B31:J31"/>
    <mergeCell ref="I9:J9"/>
  </mergeCells>
  <pageMargins left="0.62992125984252" right="0.236220472440945" top="0.748031496062992" bottom="0.748031496062992" header="0.31496062992126" footer="0.31496062992126"/>
  <pageSetup orientation="landscape" paperSize="9" scale="86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/>
  </sheetPr>
  <dimension ref="A1:G20"/>
  <sheetViews>
    <sheetView view="pageBreakPreview" topLeftCell="A11" zoomScale="160" zoomScaleSheetLayoutView="160" workbookViewId="0">
      <selection activeCell="E16" sqref="E16"/>
    </sheetView>
  </sheetViews>
  <sheetFormatPr baseColWidth="8" defaultRowHeight="15"/>
  <cols>
    <col width="5.7109375" customWidth="1" min="1" max="1"/>
    <col width="14.85546875" customWidth="1" min="2" max="2"/>
    <col width="39.140625" customWidth="1" min="3" max="3"/>
    <col width="8.28515625" customWidth="1" min="4" max="4"/>
    <col width="13.5703125" customWidth="1" min="5" max="5"/>
    <col width="12.42578125" customWidth="1" min="6" max="6"/>
    <col width="14.140625" customWidth="1" min="7" max="7"/>
  </cols>
  <sheetData>
    <row r="1">
      <c r="A1" s="179" t="inlineStr">
        <is>
          <t>Приложение №6</t>
        </is>
      </c>
    </row>
    <row r="2" ht="21.75" customHeight="1">
      <c r="A2" s="179" t="n"/>
      <c r="B2" s="179" t="n"/>
      <c r="C2" s="179" t="n"/>
      <c r="D2" s="179" t="n"/>
      <c r="E2" s="179" t="n"/>
      <c r="F2" s="179" t="n"/>
      <c r="G2" s="179" t="n"/>
    </row>
    <row r="3">
      <c r="A3" s="151" t="inlineStr">
        <is>
          <t>Расчет стоимости оборудования</t>
        </is>
      </c>
    </row>
    <row r="4" ht="25.5" customHeight="1">
      <c r="A4" s="172">
        <f>'Прил.1 Сравнит табл'!B7</f>
        <v/>
      </c>
    </row>
    <row r="5">
      <c r="A5" s="6" t="n"/>
      <c r="B5" s="6" t="n"/>
      <c r="C5" s="6" t="n"/>
      <c r="D5" s="6" t="n"/>
      <c r="E5" s="6" t="n"/>
      <c r="F5" s="6" t="n"/>
      <c r="G5" s="6" t="n"/>
    </row>
    <row r="6" ht="30" customHeight="1">
      <c r="A6" s="155" t="inlineStr">
        <is>
          <t>№ пп.</t>
        </is>
      </c>
      <c r="B6" s="155" t="inlineStr">
        <is>
          <t>Код ресурса</t>
        </is>
      </c>
      <c r="C6" s="155" t="inlineStr">
        <is>
          <t>Наименование</t>
        </is>
      </c>
      <c r="D6" s="155" t="inlineStr">
        <is>
          <t>Ед. изм.</t>
        </is>
      </c>
      <c r="E6" s="155" t="inlineStr">
        <is>
          <t>Кол-во единиц по проектным данным</t>
        </is>
      </c>
      <c r="F6" s="180" t="inlineStr">
        <is>
          <t>Сметная стоимость в ценах на 01.01.2000 (руб.)</t>
        </is>
      </c>
      <c r="G6" s="187" t="n"/>
    </row>
    <row r="7">
      <c r="A7" s="189" t="n"/>
      <c r="B7" s="189" t="n"/>
      <c r="C7" s="189" t="n"/>
      <c r="D7" s="189" t="n"/>
      <c r="E7" s="189" t="n"/>
      <c r="F7" s="155" t="inlineStr">
        <is>
          <t>на ед. изм.</t>
        </is>
      </c>
      <c r="G7" s="155" t="inlineStr">
        <is>
          <t>общая</t>
        </is>
      </c>
    </row>
    <row r="8">
      <c r="A8" s="155" t="n">
        <v>1</v>
      </c>
      <c r="B8" s="155" t="n">
        <v>2</v>
      </c>
      <c r="C8" s="155" t="n">
        <v>3</v>
      </c>
      <c r="D8" s="155" t="n">
        <v>4</v>
      </c>
      <c r="E8" s="155" t="n">
        <v>5</v>
      </c>
      <c r="F8" s="155" t="n">
        <v>6</v>
      </c>
      <c r="G8" s="155" t="n">
        <v>7</v>
      </c>
    </row>
    <row r="9" ht="15" customHeight="1">
      <c r="A9" s="7" t="n"/>
      <c r="B9" s="154" t="inlineStr">
        <is>
          <t>ИНЖЕНЕРНОЕ ОБОРУДОВАНИЕ</t>
        </is>
      </c>
      <c r="C9" s="186" t="n"/>
      <c r="D9" s="186" t="n"/>
      <c r="E9" s="186" t="n"/>
      <c r="F9" s="186" t="n"/>
      <c r="G9" s="187" t="n"/>
    </row>
    <row r="10" ht="27" customHeight="1">
      <c r="A10" s="155" t="n"/>
      <c r="B10" s="5" t="n"/>
      <c r="C10" s="154" t="inlineStr">
        <is>
          <t>ИТОГО ИНЖЕНЕРНОЕ ОБОРУДОВАНИЕ</t>
        </is>
      </c>
      <c r="D10" s="5" t="n"/>
      <c r="E10" s="8" t="n"/>
      <c r="F10" s="157" t="n"/>
      <c r="G10" s="157" t="n">
        <v>0</v>
      </c>
    </row>
    <row r="11">
      <c r="A11" s="155" t="n"/>
      <c r="B11" s="154" t="inlineStr">
        <is>
          <t>ТЕХНОЛОГИЧЕСКОЕ ОБОРУДОВАНИЕ</t>
        </is>
      </c>
      <c r="C11" s="186" t="n"/>
      <c r="D11" s="186" t="n"/>
      <c r="E11" s="186" t="n"/>
      <c r="F11" s="186" t="n"/>
      <c r="G11" s="187" t="n"/>
    </row>
    <row r="12" ht="25.5" customHeight="1">
      <c r="A12" s="155" t="n">
        <v>1</v>
      </c>
      <c r="B12" s="41">
        <f>'Прил.5 Расчет СМР и ОБ'!B33</f>
        <v/>
      </c>
      <c r="C12" s="81">
        <f>'Прил.5 Расчет СМР и ОБ'!C33</f>
        <v/>
      </c>
      <c r="D12" s="41">
        <f>'Прил.5 Расчет СМР и ОБ'!D33</f>
        <v/>
      </c>
      <c r="E12" s="41">
        <f>'Прил.5 Расчет СМР и ОБ'!E33</f>
        <v/>
      </c>
      <c r="F12" s="206">
        <f>'Прил.5 Расчет СМР и ОБ'!F33</f>
        <v/>
      </c>
      <c r="G12" s="14">
        <f>ROUND(E12*F12,2)</f>
        <v/>
      </c>
    </row>
    <row r="13" ht="25.5" customHeight="1">
      <c r="A13" s="155" t="n"/>
      <c r="B13" s="12" t="n"/>
      <c r="C13" s="12" t="inlineStr">
        <is>
          <t>ИТОГО ТЕХНОЛОГИЧЕСКОЕ ОБОРУДОВАНИЕ</t>
        </is>
      </c>
      <c r="D13" s="12" t="n"/>
      <c r="E13" s="13" t="n"/>
      <c r="F13" s="157" t="n"/>
      <c r="G13" s="14">
        <f>SUM(G12:G12)</f>
        <v/>
      </c>
    </row>
    <row r="14" ht="19.5" customHeight="1">
      <c r="A14" s="155" t="n"/>
      <c r="B14" s="154" t="n"/>
      <c r="C14" s="154" t="inlineStr">
        <is>
          <t>Всего по разделу «Оборудование»</t>
        </is>
      </c>
      <c r="D14" s="154" t="n"/>
      <c r="E14" s="178" t="n"/>
      <c r="F14" s="157" t="n"/>
      <c r="G14" s="14">
        <f>G10+G13</f>
        <v/>
      </c>
    </row>
    <row r="15">
      <c r="A15" s="10" t="n"/>
      <c r="B15" s="11" t="n"/>
      <c r="C15" s="10" t="n"/>
      <c r="D15" s="10" t="n"/>
      <c r="E15" s="10" t="n"/>
      <c r="F15" s="10" t="n"/>
      <c r="G15" s="10" t="n"/>
    </row>
    <row r="16">
      <c r="A16" s="6" t="inlineStr">
        <is>
          <t>Составил ______________________        Е.А. Князева</t>
        </is>
      </c>
      <c r="B16" s="1" t="n"/>
      <c r="C16" s="1" t="n"/>
      <c r="D16" s="10" t="n"/>
      <c r="E16" s="10" t="n"/>
      <c r="F16" s="10" t="n"/>
      <c r="G16" s="10" t="n"/>
    </row>
    <row r="17">
      <c r="A17" s="74" t="inlineStr">
        <is>
          <t xml:space="preserve">                         (подпись, инициалы, фамилия)</t>
        </is>
      </c>
      <c r="B17" s="1" t="n"/>
      <c r="C17" s="1" t="n"/>
      <c r="D17" s="10" t="n"/>
      <c r="E17" s="10" t="n"/>
      <c r="F17" s="10" t="n"/>
      <c r="G17" s="10" t="n"/>
    </row>
    <row r="18">
      <c r="A18" s="6" t="n"/>
      <c r="B18" s="1" t="n"/>
      <c r="C18" s="1" t="n"/>
      <c r="D18" s="10" t="n"/>
      <c r="E18" s="10" t="n"/>
      <c r="F18" s="10" t="n"/>
      <c r="G18" s="10" t="n"/>
    </row>
    <row r="19">
      <c r="A19" s="6" t="inlineStr">
        <is>
          <t>Проверил ______________________        А.В. Костянецкая</t>
        </is>
      </c>
      <c r="B19" s="1" t="n"/>
      <c r="C19" s="1" t="n"/>
      <c r="D19" s="10" t="n"/>
      <c r="E19" s="10" t="n"/>
      <c r="F19" s="10" t="n"/>
      <c r="G19" s="10" t="n"/>
    </row>
    <row r="20">
      <c r="A20" s="74" t="inlineStr">
        <is>
          <t xml:space="preserve">                        (подпись, инициалы, фамилия)</t>
        </is>
      </c>
      <c r="B20" s="1" t="n"/>
      <c r="C20" s="1" t="n"/>
      <c r="D20" s="10" t="n"/>
      <c r="E20" s="10" t="n"/>
      <c r="F20" s="10" t="n"/>
      <c r="G20" s="1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zoomScale="130" zoomScaleSheetLayoutView="130" workbookViewId="0">
      <selection activeCell="D13" sqref="D13"/>
    </sheetView>
  </sheetViews>
  <sheetFormatPr baseColWidth="8" defaultColWidth="9.140625" defaultRowHeight="15"/>
  <cols>
    <col width="12.7109375" customWidth="1" min="1" max="1"/>
    <col width="22.42578125" customWidth="1" min="2" max="2"/>
    <col width="37.140625" customWidth="1" min="3" max="3"/>
    <col width="49" customWidth="1" min="4" max="4"/>
  </cols>
  <sheetData>
    <row r="1" ht="15.6" customHeight="1">
      <c r="A1" s="69" t="n"/>
      <c r="B1" s="69" t="n"/>
      <c r="C1" s="69" t="n"/>
      <c r="D1" s="69" t="inlineStr">
        <is>
          <t>Приложение №7</t>
        </is>
      </c>
    </row>
    <row r="2" ht="15.6" customHeight="1">
      <c r="A2" s="69" t="n"/>
      <c r="B2" s="69" t="n"/>
      <c r="C2" s="69" t="n"/>
      <c r="D2" s="69" t="n"/>
    </row>
    <row r="3" ht="15.6" customHeight="1">
      <c r="A3" s="69" t="n"/>
      <c r="B3" s="105" t="inlineStr">
        <is>
          <t>Расчет показателя УНЦ</t>
        </is>
      </c>
      <c r="C3" s="69" t="n"/>
      <c r="D3" s="69" t="n"/>
    </row>
    <row r="4" ht="15.6" customHeight="1">
      <c r="A4" s="69" t="n"/>
      <c r="B4" s="69" t="n"/>
      <c r="C4" s="69" t="n"/>
      <c r="D4" s="69" t="n"/>
    </row>
    <row r="5" ht="31.15" customHeight="1">
      <c r="A5" s="181" t="inlineStr">
        <is>
          <t xml:space="preserve">Наименование разрабатываемого показателя УНЦ - </t>
        </is>
      </c>
      <c r="D5" s="181">
        <f>'Прил.5 Расчет СМР и ОБ'!D6:J6</f>
        <v/>
      </c>
    </row>
    <row r="6" ht="15.6" customHeight="1">
      <c r="A6" s="69" t="inlineStr">
        <is>
          <t>Единица измерения  — 1 ячейка</t>
        </is>
      </c>
      <c r="B6" s="69" t="n"/>
      <c r="C6" s="69" t="n"/>
      <c r="D6" s="69" t="n"/>
    </row>
    <row r="7" ht="15.6" customHeight="1">
      <c r="A7" s="69" t="n"/>
      <c r="B7" s="69" t="n"/>
      <c r="C7" s="69" t="n"/>
      <c r="D7" s="69" t="n"/>
    </row>
    <row r="8">
      <c r="A8" s="142" t="inlineStr">
        <is>
          <t>Код показателя</t>
        </is>
      </c>
      <c r="B8" s="142" t="inlineStr">
        <is>
          <t>Наименование показателя</t>
        </is>
      </c>
      <c r="C8" s="142" t="inlineStr">
        <is>
          <t>Наименование РМ, входящих в состав показателя</t>
        </is>
      </c>
      <c r="D8" s="142" t="inlineStr">
        <is>
          <t>Норматив цены на 01.01.2023, тыс.руб.</t>
        </is>
      </c>
    </row>
    <row r="9">
      <c r="A9" s="189" t="n"/>
      <c r="B9" s="189" t="n"/>
      <c r="C9" s="189" t="n"/>
      <c r="D9" s="189" t="n"/>
    </row>
    <row r="10" ht="15.6" customHeight="1">
      <c r="A10" s="142" t="n">
        <v>1</v>
      </c>
      <c r="B10" s="142" t="n">
        <v>2</v>
      </c>
      <c r="C10" s="142" t="n">
        <v>3</v>
      </c>
      <c r="D10" s="142" t="n">
        <v>4</v>
      </c>
    </row>
    <row r="11" ht="46.9" customHeight="1">
      <c r="A11" s="142" t="inlineStr">
        <is>
          <t>В8-06-1</t>
        </is>
      </c>
      <c r="B11" s="142" t="inlineStr">
        <is>
          <t xml:space="preserve">УНЦ ячейки выключателя РП (СП, ТП, РТП) 6 - 20 кВ </t>
        </is>
      </c>
      <c r="C11" s="108">
        <f>D5</f>
        <v/>
      </c>
      <c r="D11" s="107">
        <f>'Прил.4 РМ'!C41/1000</f>
        <v/>
      </c>
    </row>
    <row r="13">
      <c r="A13" s="6" t="inlineStr">
        <is>
          <t>Составил ______________________        Е.А. Князева</t>
        </is>
      </c>
      <c r="B13" s="1" t="n"/>
      <c r="C13" s="1" t="n"/>
      <c r="D13" s="10" t="n"/>
    </row>
    <row r="14">
      <c r="A14" s="74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 ht="20.25" customHeight="1">
      <c r="A17" s="74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fitToHeight="0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D30"/>
  <sheetViews>
    <sheetView tabSelected="1" view="pageBreakPreview" topLeftCell="A17" zoomScale="145" zoomScaleNormal="100" zoomScaleSheetLayoutView="145" workbookViewId="0">
      <selection activeCell="C24" sqref="C24"/>
    </sheetView>
  </sheetViews>
  <sheetFormatPr baseColWidth="8" defaultRowHeight="15"/>
  <cols>
    <col width="40.7109375" customWidth="1" min="2" max="2"/>
    <col width="38.140625" customWidth="1" min="3" max="3"/>
    <col width="32" customWidth="1" min="4" max="4"/>
  </cols>
  <sheetData>
    <row r="4" ht="15.75" customHeight="1">
      <c r="B4" s="137" t="inlineStr">
        <is>
          <t>Приложение № 10</t>
        </is>
      </c>
    </row>
    <row r="5" ht="18.75" customHeight="1">
      <c r="B5" s="21" t="n"/>
    </row>
    <row r="6" ht="15.75" customHeight="1">
      <c r="B6" s="143" t="inlineStr">
        <is>
          <t>Используемые индексы изменений сметной стоимости и нормы сопутствующих затрат</t>
        </is>
      </c>
    </row>
    <row r="7" ht="18.75" customHeight="1">
      <c r="B7" s="22" t="n"/>
    </row>
    <row r="8" ht="47.25" customHeight="1">
      <c r="B8" s="142" t="inlineStr">
        <is>
          <t>Наименование индекса / норм сопутствующих затрат</t>
        </is>
      </c>
      <c r="C8" s="142" t="inlineStr">
        <is>
          <t>Дата применения и обоснование индекса / норм сопутствующих затрат</t>
        </is>
      </c>
      <c r="D8" s="142" t="inlineStr">
        <is>
          <t>Размер индекса / норма сопутствующих затрат</t>
        </is>
      </c>
    </row>
    <row r="9" ht="15.75" customHeight="1">
      <c r="B9" s="142" t="n">
        <v>1</v>
      </c>
      <c r="C9" s="142" t="n">
        <v>2</v>
      </c>
      <c r="D9" s="142" t="n">
        <v>3</v>
      </c>
    </row>
    <row r="10" ht="31.5" customHeight="1">
      <c r="B10" s="142" t="inlineStr">
        <is>
          <t xml:space="preserve">Индекс изменения сметной стоимости на 1 квартал 2023 года. ОЗП </t>
        </is>
      </c>
      <c r="C10" s="142" t="inlineStr">
        <is>
          <t>Письмо Минстроя России от 30.03.2023г. №17106-ИФ/09  прил.1</t>
        </is>
      </c>
      <c r="D10" s="142" t="n">
        <v>44.29</v>
      </c>
    </row>
    <row r="11" ht="31.5" customHeight="1">
      <c r="B11" s="142" t="inlineStr">
        <is>
          <t>Индекс изменения сметной стоимости на 1 квартал 2023 года. ЭМ</t>
        </is>
      </c>
      <c r="C11" s="142" t="inlineStr">
        <is>
          <t>Письмо Минстроя России от 30.03.2023г. №17106-ИФ/09  прил.1</t>
        </is>
      </c>
      <c r="D11" s="142" t="n">
        <v>13.47</v>
      </c>
    </row>
    <row r="12" ht="31.5" customHeight="1">
      <c r="B12" s="142" t="inlineStr">
        <is>
          <t>Индекс изменения сметной стоимости на 1 квартал 2023 года. МАТ</t>
        </is>
      </c>
      <c r="C12" s="142" t="inlineStr">
        <is>
          <t>Письмо Минстроя России от 30.03.2023г. №17106-ИФ/09  прил.1</t>
        </is>
      </c>
      <c r="D12" s="142" t="n">
        <v>8.039999999999999</v>
      </c>
    </row>
    <row r="13" ht="31.5" customHeight="1">
      <c r="B13" s="142" t="inlineStr">
        <is>
          <t>Индекс изменения сметной стоимости на 1 квартал 2023 года. ОБ</t>
        </is>
      </c>
      <c r="C13" s="142" t="inlineStr">
        <is>
          <t>Письмо Минстроя России от 23.02.2023г. №9791-ИФ/09 прил.6</t>
        </is>
      </c>
      <c r="D13" s="142" t="n">
        <v>6.26</v>
      </c>
    </row>
    <row r="14" ht="78.75" customHeight="1">
      <c r="B14" s="142" t="inlineStr">
        <is>
          <t>Временные здания и сооружения</t>
        </is>
      </c>
      <c r="C14" s="142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27" t="n">
        <v>0.039</v>
      </c>
    </row>
    <row r="15" ht="78.75" customHeight="1">
      <c r="B15" s="142" t="inlineStr">
        <is>
          <t>Дополнительные затраты при производстве строительно-монтажных работ в зимнее время</t>
        </is>
      </c>
      <c r="C15" s="14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27" t="n">
        <v>0.021</v>
      </c>
    </row>
    <row r="16" ht="15.75" customHeight="1">
      <c r="B16" s="142" t="inlineStr">
        <is>
          <t>Пусконаладочные работы*</t>
        </is>
      </c>
      <c r="C16" s="142" t="n"/>
      <c r="D16" s="142" t="inlineStr">
        <is>
          <t>Расчет</t>
        </is>
      </c>
    </row>
    <row r="17" ht="31.5" customHeight="1">
      <c r="B17" s="142" t="inlineStr">
        <is>
          <t>Строительный контроль</t>
        </is>
      </c>
      <c r="C17" s="142" t="inlineStr">
        <is>
          <t>Постановление Правительства РФ от 21.06.10 г. № 468</t>
        </is>
      </c>
      <c r="D17" s="27" t="n">
        <v>0.0214</v>
      </c>
    </row>
    <row r="18" ht="15.75" customHeight="1">
      <c r="B18" s="142" t="inlineStr">
        <is>
          <t>Авторский надзор - 0,2%</t>
        </is>
      </c>
      <c r="C18" s="142" t="inlineStr">
        <is>
          <t>Приказ от 4.08.2020 № 421/пр п.173</t>
        </is>
      </c>
      <c r="D18" s="27" t="n">
        <v>0.002</v>
      </c>
    </row>
    <row r="19" ht="15.75" customHeight="1">
      <c r="B19" s="142" t="inlineStr">
        <is>
          <t>Непредвиденные расходы</t>
        </is>
      </c>
      <c r="C19" s="142" t="inlineStr">
        <is>
          <t>Приказ от 4.08.2020 № 421/пр п.179</t>
        </is>
      </c>
      <c r="D19" s="27" t="n">
        <v>0.03</v>
      </c>
    </row>
    <row r="20" ht="18.75" customHeight="1">
      <c r="B20" s="22" t="n"/>
    </row>
    <row r="21" ht="18.75" customHeight="1">
      <c r="B21" s="22" t="n"/>
    </row>
    <row r="22" ht="18.75" customHeight="1">
      <c r="B22" s="22" t="n"/>
    </row>
    <row r="23" ht="18.75" customHeight="1">
      <c r="B23" s="22" t="n"/>
    </row>
    <row r="26">
      <c r="B26" s="128" t="inlineStr">
        <is>
          <t>Составил ______________________        Е.А. Князева</t>
        </is>
      </c>
      <c r="C26" s="1" t="n"/>
    </row>
    <row r="27">
      <c r="B27" s="74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74" t="inlineStr">
        <is>
          <t xml:space="preserve">                        (подпись, инициалы, фамилия)</t>
        </is>
      </c>
      <c r="C30" s="1" t="n"/>
    </row>
  </sheetData>
  <mergeCells count="2"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5" cellComments="atEnd"/>
</worksheet>
</file>

<file path=xl/worksheets/sheet9.xml><?xml version="1.0" encoding="utf-8"?>
<worksheet xmlns="http://schemas.openxmlformats.org/spreadsheetml/2006/main">
  <sheetPr codeName="Лист10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8" customHeight="1">
      <c r="A2" s="143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18" t="inlineStr">
        <is>
          <t>Составлен в уровне цен на 01.01.2023 г.</t>
        </is>
      </c>
      <c r="B4" s="69" t="n"/>
      <c r="C4" s="69" t="n"/>
      <c r="D4" s="69" t="n"/>
      <c r="E4" s="69" t="n"/>
      <c r="F4" s="69" t="n"/>
      <c r="G4" s="69" t="n"/>
    </row>
    <row r="5" ht="15.6" customHeight="1">
      <c r="A5" s="119" t="inlineStr">
        <is>
          <t>№ пп.</t>
        </is>
      </c>
      <c r="B5" s="119" t="inlineStr">
        <is>
          <t>Наименование элемента</t>
        </is>
      </c>
      <c r="C5" s="119" t="inlineStr">
        <is>
          <t>Обозначение</t>
        </is>
      </c>
      <c r="D5" s="119" t="inlineStr">
        <is>
          <t>Формула</t>
        </is>
      </c>
      <c r="E5" s="119" t="inlineStr">
        <is>
          <t>Величина элемента</t>
        </is>
      </c>
      <c r="F5" s="119" t="inlineStr">
        <is>
          <t>Наименования обосновывающих документов</t>
        </is>
      </c>
      <c r="G5" s="69" t="n"/>
    </row>
    <row r="6" ht="15.6" customHeight="1">
      <c r="A6" s="119" t="n">
        <v>1</v>
      </c>
      <c r="B6" s="119" t="n">
        <v>2</v>
      </c>
      <c r="C6" s="119" t="n">
        <v>3</v>
      </c>
      <c r="D6" s="119" t="n">
        <v>4</v>
      </c>
      <c r="E6" s="119" t="n">
        <v>5</v>
      </c>
      <c r="F6" s="119" t="n">
        <v>6</v>
      </c>
      <c r="G6" s="69" t="n"/>
    </row>
    <row r="7" ht="109.15" customHeight="1">
      <c r="A7" s="120" t="inlineStr">
        <is>
          <t>1.1</t>
        </is>
      </c>
      <c r="B7" s="12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42" t="inlineStr">
        <is>
          <t>С1ср</t>
        </is>
      </c>
      <c r="D7" s="142" t="inlineStr">
        <is>
          <t>-</t>
        </is>
      </c>
      <c r="E7" s="122" t="n">
        <v>47872.94</v>
      </c>
      <c r="F7" s="12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69" t="n"/>
    </row>
    <row r="8" ht="31.15" customHeight="1">
      <c r="A8" s="120" t="inlineStr">
        <is>
          <t>1.2</t>
        </is>
      </c>
      <c r="B8" s="121" t="inlineStr">
        <is>
          <t>Среднегодовое нормативное число часов работы одного рабочего в месяц, часы (ч.)</t>
        </is>
      </c>
      <c r="C8" s="142" t="inlineStr">
        <is>
          <t>tср</t>
        </is>
      </c>
      <c r="D8" s="142" t="inlineStr">
        <is>
          <t>1973ч/12мес.</t>
        </is>
      </c>
      <c r="E8" s="107">
        <f>1973/12</f>
        <v/>
      </c>
      <c r="F8" s="121" t="inlineStr">
        <is>
          <t>Производственный календарь 2023 год
(40-часов.неделя)</t>
        </is>
      </c>
      <c r="G8" s="123" t="n"/>
    </row>
    <row r="9" ht="15.6" customHeight="1">
      <c r="A9" s="120" t="inlineStr">
        <is>
          <t>1.3</t>
        </is>
      </c>
      <c r="B9" s="121" t="inlineStr">
        <is>
          <t>Коэффициент увеличения</t>
        </is>
      </c>
      <c r="C9" s="142" t="inlineStr">
        <is>
          <t>Кув</t>
        </is>
      </c>
      <c r="D9" s="142" t="inlineStr">
        <is>
          <t>-</t>
        </is>
      </c>
      <c r="E9" s="107" t="n">
        <v>1</v>
      </c>
      <c r="F9" s="121" t="n"/>
      <c r="G9" s="123" t="n"/>
    </row>
    <row r="10" ht="15.6" customHeight="1">
      <c r="A10" s="120" t="inlineStr">
        <is>
          <t>1.4</t>
        </is>
      </c>
      <c r="B10" s="121" t="inlineStr">
        <is>
          <t>Средний разряд работ</t>
        </is>
      </c>
      <c r="C10" s="142" t="n"/>
      <c r="D10" s="142" t="n"/>
      <c r="E10" s="207" t="n">
        <v>4</v>
      </c>
      <c r="F10" s="121" t="inlineStr">
        <is>
          <t>РТМ</t>
        </is>
      </c>
      <c r="G10" s="123" t="n"/>
    </row>
    <row r="11" ht="78" customHeight="1">
      <c r="A11" s="120" t="inlineStr">
        <is>
          <t>1.5</t>
        </is>
      </c>
      <c r="B11" s="121" t="inlineStr">
        <is>
          <t>Тарифный коэффициент среднего разряда работ</t>
        </is>
      </c>
      <c r="C11" s="142" t="inlineStr">
        <is>
          <t>КТ</t>
        </is>
      </c>
      <c r="D11" s="142" t="inlineStr">
        <is>
          <t>-</t>
        </is>
      </c>
      <c r="E11" s="208" t="n">
        <v>1.34</v>
      </c>
      <c r="F11" s="12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69" t="n"/>
    </row>
    <row r="12" ht="78" customHeight="1">
      <c r="A12" s="126" t="inlineStr">
        <is>
          <t>1.6</t>
        </is>
      </c>
      <c r="B12" s="129" t="inlineStr">
        <is>
          <t>Коэффициент инфляции, определяемый поквартально</t>
        </is>
      </c>
      <c r="C12" s="127" t="inlineStr">
        <is>
          <t>Кинф</t>
        </is>
      </c>
      <c r="D12" s="127" t="inlineStr">
        <is>
          <t>-</t>
        </is>
      </c>
      <c r="E12" s="209" t="n">
        <v>1.139</v>
      </c>
      <c r="F12" s="13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3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>
      <c r="A13" s="132" t="inlineStr">
        <is>
          <t>1.7</t>
        </is>
      </c>
      <c r="B13" s="133" t="inlineStr">
        <is>
          <t>Размер средств на оплату труда рабочих-строителей в текущем уровне цен (ФОТр.тек.), руб/чел.-ч</t>
        </is>
      </c>
      <c r="C13" s="134" t="inlineStr">
        <is>
          <t>ФОТр.тек.</t>
        </is>
      </c>
      <c r="D13" s="134" t="inlineStr">
        <is>
          <t>(С1ср/tср*КТ*Т*Кув)*Кинф</t>
        </is>
      </c>
      <c r="E13" s="135">
        <f>((E7*E9/E8)*E11)*E12</f>
        <v/>
      </c>
      <c r="F13" s="13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69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2025-01-24T11:55:28Z</dcterms:modified>
  <cp:lastModifiedBy>112</cp:lastModifiedBy>
</cp:coreProperties>
</file>