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_-* #,##0.0\ _₽_-;\-* #,##0.0\ _₽_-;_-* &quot;-&quot;??\ _₽_-;_-@_-"/>
    <numFmt numFmtId="167" formatCode="0.0_ ;\-0.0\ "/>
    <numFmt numFmtId="168" formatCode="0.0000"/>
    <numFmt numFmtId="169" formatCode="#,##0.00_ ;\-#,##0.00\ "/>
    <numFmt numFmtId="170" formatCode="#,##0.0000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166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7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8" fontId="0" fillId="4" borderId="6" applyAlignment="1" pivotButton="0" quotePrefix="0" xfId="0">
      <alignment horizontal="center" vertical="center"/>
    </xf>
    <xf numFmtId="168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8" fontId="0" fillId="4" borderId="9" applyAlignment="1" pivotButton="0" quotePrefix="0" xfId="0">
      <alignment horizontal="center" vertical="center"/>
    </xf>
    <xf numFmtId="168" fontId="0" fillId="0" borderId="9" applyAlignment="1" pivotButton="0" quotePrefix="0" xfId="0">
      <alignment horizontal="center" vertical="center"/>
    </xf>
    <xf numFmtId="168" fontId="0" fillId="4" borderId="4" applyAlignment="1" pivotButton="0" quotePrefix="0" xfId="0">
      <alignment horizontal="center" vertical="center"/>
    </xf>
    <xf numFmtId="168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69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1" fillId="2" borderId="0" pivotButton="0" quotePrefix="0" xfId="0"/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1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0" fontId="21" fillId="0" borderId="0" pivotButton="0" quotePrefix="0" xfId="0"/>
    <xf numFmtId="49" fontId="0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 wrapText="1"/>
    </xf>
    <xf numFmtId="0" fontId="0" fillId="0" borderId="11" applyAlignment="1" pivotButton="0" quotePrefix="0" xfId="0">
      <alignment horizontal="center" vertical="center" wrapText="1"/>
    </xf>
    <xf numFmtId="168" fontId="0" fillId="2" borderId="11" applyAlignment="1" pivotButton="0" quotePrefix="0" xfId="0">
      <alignment horizontal="center" vertical="center"/>
    </xf>
    <xf numFmtId="0" fontId="0" fillId="0" borderId="11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6" fontId="11" fillId="2" borderId="0" pivotButton="0" quotePrefix="0" xfId="0"/>
    <xf numFmtId="43" fontId="3" fillId="2" borderId="1" applyAlignment="1" pivotButton="0" quotePrefix="0" xfId="0">
      <alignment vertical="center" wrapText="1"/>
    </xf>
    <xf numFmtId="167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9" fontId="14" fillId="0" borderId="0" pivotButton="0" quotePrefix="0" xfId="0"/>
    <xf numFmtId="43" fontId="0" fillId="0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43" fontId="2" fillId="0" borderId="1" applyAlignment="1" pivotButton="0" quotePrefix="0" xfId="0">
      <alignment horizontal="right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8" fontId="0" fillId="2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A9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9" t="inlineStr">
        <is>
          <t>Приложение № 1</t>
        </is>
      </c>
    </row>
    <row r="4" ht="18.75" customHeight="1">
      <c r="B4" s="140" t="inlineStr">
        <is>
          <t>Сравнительная таблица отбора объекта-представителя</t>
        </is>
      </c>
    </row>
    <row r="5" ht="84" customHeight="1">
      <c r="B5" s="1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1" t="n"/>
      <c r="C6" s="71" t="n"/>
      <c r="D6" s="71" t="n"/>
    </row>
    <row r="7" ht="64.5" customHeight="1">
      <c r="B7" s="142" t="inlineStr">
        <is>
          <t>Наименование разрабатываемого показателя УНЦ — Ячейка выключателя КРУ с элегазовой изоляцией 6-15кВ, ном.ток 1250А, ном.ток отключения 20кА</t>
        </is>
      </c>
    </row>
    <row r="8" ht="31.5" customHeight="1">
      <c r="B8" s="142" t="inlineStr">
        <is>
          <t>Сопоставимый уровень цен: 2 квартал 2015 г.</t>
        </is>
      </c>
    </row>
    <row r="9" ht="15.75" customHeight="1">
      <c r="B9" s="142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44" t="inlineStr">
        <is>
          <t>№ п/п</t>
        </is>
      </c>
      <c r="C11" s="144" t="inlineStr">
        <is>
          <t>Параметр</t>
        </is>
      </c>
      <c r="D11" s="144" t="inlineStr">
        <is>
          <t xml:space="preserve">Объект-представитель </t>
        </is>
      </c>
    </row>
    <row r="12" ht="31.5" customHeight="1">
      <c r="B12" s="144" t="n">
        <v>1</v>
      </c>
      <c r="C12" s="51" t="inlineStr">
        <is>
          <t>Наименование объекта-представителя</t>
        </is>
      </c>
      <c r="D12" s="144" t="inlineStr">
        <is>
          <t>ПС 220 кВ Орская</t>
        </is>
      </c>
    </row>
    <row r="13" ht="31.5" customHeight="1">
      <c r="B13" s="144" t="n">
        <v>2</v>
      </c>
      <c r="C13" s="51" t="inlineStr">
        <is>
          <t>Наименование субъекта Российской Федерации</t>
        </is>
      </c>
      <c r="D13" s="144" t="inlineStr">
        <is>
          <t>Оренбургская область</t>
        </is>
      </c>
    </row>
    <row r="14" ht="15.75" customHeight="1">
      <c r="B14" s="144" t="n">
        <v>3</v>
      </c>
      <c r="C14" s="51" t="inlineStr">
        <is>
          <t>Климатический район и подрайон</t>
        </is>
      </c>
      <c r="D14" s="144" t="inlineStr">
        <is>
          <t>IВ</t>
        </is>
      </c>
    </row>
    <row r="15" ht="15.75" customHeight="1">
      <c r="B15" s="144" t="n">
        <v>4</v>
      </c>
      <c r="C15" s="51" t="inlineStr">
        <is>
          <t>Мощность объекта</t>
        </is>
      </c>
      <c r="D15" s="144" t="n">
        <v>1</v>
      </c>
    </row>
    <row r="16" ht="94.5" customHeight="1">
      <c r="B16" s="144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4" t="inlineStr">
        <is>
          <t>Выключатель 6 кВ</t>
        </is>
      </c>
    </row>
    <row r="17" ht="78.75" customHeight="1">
      <c r="B17" s="144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SUM(D18:D21)</f>
        <v/>
      </c>
    </row>
    <row r="18" ht="15.75" customHeight="1">
      <c r="B18" s="72" t="inlineStr">
        <is>
          <t>6.1</t>
        </is>
      </c>
      <c r="C18" s="51" t="inlineStr">
        <is>
          <t>строительно-монтажные работы</t>
        </is>
      </c>
      <c r="D18" s="119" t="n">
        <v>1294.92</v>
      </c>
    </row>
    <row r="19" ht="15.75" customHeight="1">
      <c r="B19" s="72" t="inlineStr">
        <is>
          <t>6.2</t>
        </is>
      </c>
      <c r="C19" s="51" t="inlineStr">
        <is>
          <t>оборудование и инвентарь</t>
        </is>
      </c>
      <c r="D19" s="119" t="n">
        <v>1091.89</v>
      </c>
    </row>
    <row r="20" ht="15.75" customHeight="1">
      <c r="B20" s="72" t="inlineStr">
        <is>
          <t>6.3</t>
        </is>
      </c>
      <c r="C20" s="51" t="inlineStr">
        <is>
          <t>пусконаладочные работы</t>
        </is>
      </c>
      <c r="D20" s="119" t="n">
        <v>0</v>
      </c>
    </row>
    <row r="21" ht="15.75" customHeight="1">
      <c r="B21" s="72" t="inlineStr">
        <is>
          <t>6.4</t>
        </is>
      </c>
      <c r="C21" s="51" t="inlineStr">
        <is>
          <t>прочие и лимитированные затраты</t>
        </is>
      </c>
      <c r="D21" s="119" t="n">
        <v>347.89</v>
      </c>
    </row>
    <row r="22" ht="15.75" customHeight="1">
      <c r="B22" s="144" t="n">
        <v>7</v>
      </c>
      <c r="C22" s="51" t="inlineStr">
        <is>
          <t>Сопоставимый уровень цен</t>
        </is>
      </c>
      <c r="D22" s="144" t="inlineStr">
        <is>
          <t>2 квартал 2015 г.</t>
        </is>
      </c>
      <c r="G22" s="79" t="n"/>
    </row>
    <row r="23" ht="110.25" customHeight="1">
      <c r="B23" s="144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</row>
    <row r="24" ht="47.25" customHeight="1">
      <c r="B24" s="144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19">
        <f>D23/D15</f>
        <v/>
      </c>
      <c r="G24" s="79" t="n"/>
    </row>
    <row r="25" hidden="1" ht="110.25" customHeight="1">
      <c r="B25" s="144" t="n">
        <v>10</v>
      </c>
      <c r="C25" s="51" t="inlineStr">
        <is>
          <t>Примечание</t>
        </is>
      </c>
      <c r="D25" s="5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3" t="n"/>
      <c r="C26" s="74" t="n"/>
      <c r="D26" s="74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5" t="inlineStr">
        <is>
          <t xml:space="preserve">                         (подпись, инициалы, фамилия)</t>
        </is>
      </c>
      <c r="C28" s="1" t="n"/>
    </row>
    <row r="29">
      <c r="B29" s="75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5" t="inlineStr">
        <is>
          <t xml:space="preserve">                        (подпись, инициалы, фамилия)</t>
        </is>
      </c>
      <c r="C31" s="1" t="n"/>
    </row>
    <row r="32" ht="15.75" customHeight="1">
      <c r="B32" s="74" t="n"/>
      <c r="C32" s="74" t="n"/>
      <c r="D32" s="74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9" t="inlineStr">
        <is>
          <t>Приложение № 2</t>
        </is>
      </c>
    </row>
    <row r="4" ht="15.75" customHeight="1">
      <c r="B4" s="145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42">
        <f>'Прил.1 Сравнит табл'!B7</f>
        <v/>
      </c>
    </row>
    <row r="7" ht="15.75" customHeight="1">
      <c r="B7" s="142">
        <f>'Прил.1 Сравнит табл'!B9</f>
        <v/>
      </c>
    </row>
    <row r="8" ht="18.75" customHeight="1">
      <c r="B8" s="31" t="n"/>
    </row>
    <row r="9" ht="15.75" customHeight="1">
      <c r="B9" s="144" t="inlineStr">
        <is>
          <t>№ п/п</t>
        </is>
      </c>
      <c r="C9" s="14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4" t="inlineStr">
        <is>
          <t>Объект-представитель 1</t>
        </is>
      </c>
      <c r="E9" s="190" t="n"/>
      <c r="F9" s="190" t="n"/>
      <c r="G9" s="190" t="n"/>
      <c r="H9" s="190" t="n"/>
      <c r="I9" s="190" t="n"/>
      <c r="J9" s="191" t="n"/>
    </row>
    <row r="10" ht="15.75" customHeight="1">
      <c r="B10" s="192" t="n"/>
      <c r="C10" s="192" t="n"/>
      <c r="D10" s="144" t="inlineStr">
        <is>
          <t>Номер сметы</t>
        </is>
      </c>
      <c r="E10" s="144" t="inlineStr">
        <is>
          <t>Наименование сметы</t>
        </is>
      </c>
      <c r="F10" s="144" t="inlineStr">
        <is>
          <t>Сметная стоимость в уровне цен 2 кв. 2015 г., тыс. руб.</t>
        </is>
      </c>
      <c r="G10" s="190" t="n"/>
      <c r="H10" s="190" t="n"/>
      <c r="I10" s="190" t="n"/>
      <c r="J10" s="191" t="n"/>
    </row>
    <row r="11" ht="31.5" customHeight="1">
      <c r="B11" s="193" t="n"/>
      <c r="C11" s="193" t="n"/>
      <c r="D11" s="193" t="n"/>
      <c r="E11" s="193" t="n"/>
      <c r="F11" s="144" t="inlineStr">
        <is>
          <t>Строительные работы</t>
        </is>
      </c>
      <c r="G11" s="144" t="inlineStr">
        <is>
          <t>Монтажные работы</t>
        </is>
      </c>
      <c r="H11" s="144" t="inlineStr">
        <is>
          <t>Оборудование</t>
        </is>
      </c>
      <c r="I11" s="144" t="inlineStr">
        <is>
          <t>Прочее</t>
        </is>
      </c>
      <c r="J11" s="144" t="inlineStr">
        <is>
          <t>Всего</t>
        </is>
      </c>
    </row>
    <row r="12" ht="47.25" customHeight="1">
      <c r="B12" s="144" t="n">
        <v>1</v>
      </c>
      <c r="C12" s="144" t="inlineStr">
        <is>
          <t>Выключатель 6 кВ</t>
        </is>
      </c>
      <c r="D12" s="72" t="inlineStr">
        <is>
          <t>02-05-05</t>
        </is>
      </c>
      <c r="E12" s="144" t="inlineStr">
        <is>
          <t xml:space="preserve">КРУ 10 кВ  в здании ЗРУ  10 кВ № 2  </t>
        </is>
      </c>
      <c r="F12" s="119">
        <f>232481*5.57/1000</f>
        <v/>
      </c>
      <c r="G12" s="119" t="n"/>
      <c r="H12" s="119">
        <f>270270*4.04/1000</f>
        <v/>
      </c>
      <c r="I12" s="119">
        <f>43812*7.94/1000</f>
        <v/>
      </c>
      <c r="J12" s="119">
        <f>SUM(F12:I12)</f>
        <v/>
      </c>
    </row>
    <row r="13" ht="15.75" customHeight="1">
      <c r="B13" s="146" t="inlineStr">
        <is>
          <t>Всего по объекту:</t>
        </is>
      </c>
      <c r="C13" s="194" t="n"/>
      <c r="D13" s="194" t="n"/>
      <c r="E13" s="195" t="n"/>
      <c r="F13" s="120">
        <f>SUM(F12)</f>
        <v/>
      </c>
      <c r="G13" s="120" t="n"/>
      <c r="H13" s="120">
        <f>SUM(H12)</f>
        <v/>
      </c>
      <c r="I13" s="121">
        <f>I12</f>
        <v/>
      </c>
      <c r="J13" s="120">
        <f>SUM(J12)</f>
        <v/>
      </c>
    </row>
    <row r="14" ht="15.75" customHeight="1">
      <c r="B14" s="143" t="inlineStr">
        <is>
          <t>Всего по объекту в сопоставимом уровне цен 2 кв. 2015 г:</t>
        </is>
      </c>
      <c r="C14" s="190" t="n"/>
      <c r="D14" s="190" t="n"/>
      <c r="E14" s="191" t="n"/>
      <c r="F14" s="121">
        <f>SUM(F13)</f>
        <v/>
      </c>
      <c r="G14" s="121" t="n"/>
      <c r="H14" s="121">
        <f>SUM(H13)</f>
        <v/>
      </c>
      <c r="I14" s="121">
        <f>SUM(I13)</f>
        <v/>
      </c>
      <c r="J14" s="121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5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5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9" t="inlineStr">
        <is>
          <t xml:space="preserve">Приложение № 3 </t>
        </is>
      </c>
    </row>
    <row r="3" ht="18.75" customHeight="1">
      <c r="A3" s="140" t="inlineStr">
        <is>
          <t>Объектная ресурсная ведомость</t>
        </is>
      </c>
    </row>
    <row r="4">
      <c r="B4" s="77" t="n"/>
    </row>
    <row r="5" ht="18.75" customHeight="1">
      <c r="A5" s="140" t="n"/>
      <c r="B5" s="140" t="n"/>
      <c r="C5" s="152" t="n"/>
    </row>
    <row r="6" ht="18.75" customHeight="1">
      <c r="A6" s="31" t="n"/>
    </row>
    <row r="7" ht="32.25" customHeight="1">
      <c r="A7" s="149">
        <f>'Прил.1 Сравнит табл'!B7</f>
        <v/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96" t="n"/>
    </row>
    <row r="9" ht="38.25" customHeight="1">
      <c r="A9" s="144" t="inlineStr">
        <is>
          <t>п/п</t>
        </is>
      </c>
      <c r="B9" s="144" t="inlineStr">
        <is>
          <t>№ЛСР</t>
        </is>
      </c>
      <c r="C9" s="144" t="inlineStr">
        <is>
          <t>Код ресурса</t>
        </is>
      </c>
      <c r="D9" s="144" t="inlineStr">
        <is>
          <t>Наименование ресурса</t>
        </is>
      </c>
      <c r="E9" s="144" t="inlineStr">
        <is>
          <t>Ед. изм.</t>
        </is>
      </c>
      <c r="F9" s="144" t="inlineStr">
        <is>
          <t>Кол-во единиц по данным объекта-представителя</t>
        </is>
      </c>
      <c r="G9" s="144" t="inlineStr">
        <is>
          <t>Сметная стоимость в ценах на 01.01.2000 (руб.)</t>
        </is>
      </c>
      <c r="H9" s="191" t="n"/>
    </row>
    <row r="10" ht="40.5" customHeight="1">
      <c r="A10" s="193" t="n"/>
      <c r="B10" s="193" t="n"/>
      <c r="C10" s="193" t="n"/>
      <c r="D10" s="193" t="n"/>
      <c r="E10" s="193" t="n"/>
      <c r="F10" s="193" t="n"/>
      <c r="G10" s="144" t="inlineStr">
        <is>
          <t>на ед.изм.</t>
        </is>
      </c>
      <c r="H10" s="144" t="inlineStr">
        <is>
          <t>общая</t>
        </is>
      </c>
    </row>
    <row r="11" ht="15.75" customHeight="1">
      <c r="A11" s="144" t="n">
        <v>1</v>
      </c>
      <c r="B11" s="38" t="n"/>
      <c r="C11" s="144" t="n">
        <v>2</v>
      </c>
      <c r="D11" s="144" t="inlineStr">
        <is>
          <t>З</t>
        </is>
      </c>
      <c r="E11" s="144" t="n">
        <v>4</v>
      </c>
      <c r="F11" s="144" t="n">
        <v>5</v>
      </c>
      <c r="G11" s="38" t="n">
        <v>6</v>
      </c>
      <c r="H11" s="38" t="n">
        <v>7</v>
      </c>
    </row>
    <row r="12" ht="15" customHeight="1">
      <c r="A12" s="150" t="inlineStr">
        <is>
          <t>Затраты труда рабочих</t>
        </is>
      </c>
      <c r="B12" s="190" t="n"/>
      <c r="C12" s="190" t="n"/>
      <c r="D12" s="190" t="n"/>
      <c r="E12" s="190" t="n"/>
      <c r="F12" s="197">
        <f>SUM(F13:F14)</f>
        <v/>
      </c>
      <c r="G12" s="114" t="n"/>
      <c r="H12" s="197">
        <f>SUM(H13:H14)</f>
        <v/>
      </c>
      <c r="J12" s="198" t="n"/>
      <c r="K12" s="18" t="n"/>
    </row>
    <row r="13">
      <c r="A13" s="93" t="n">
        <v>1</v>
      </c>
      <c r="B13" s="122" t="n"/>
      <c r="C13" s="93" t="inlineStr">
        <is>
          <t>1-4-0</t>
        </is>
      </c>
      <c r="D13" s="156" t="inlineStr">
        <is>
          <t>Затраты труда рабочих (средний разряд работы 4,0)</t>
        </is>
      </c>
      <c r="E13" s="157" t="inlineStr">
        <is>
          <t>чел.-ч</t>
        </is>
      </c>
      <c r="F13" s="199" t="n">
        <v>76.180774367379</v>
      </c>
      <c r="G13" s="96" t="n">
        <v>9.4</v>
      </c>
      <c r="H13" s="96">
        <f>ROUND(F13*G13,2)</f>
        <v/>
      </c>
    </row>
    <row r="14">
      <c r="A14" s="124">
        <f>A13+1</f>
        <v/>
      </c>
      <c r="B14" s="122" t="n"/>
      <c r="C14" s="93" t="inlineStr">
        <is>
          <t>1-4-2</t>
        </is>
      </c>
      <c r="D14" s="156" t="inlineStr">
        <is>
          <t>Затраты труда рабочих (средний разряд работы 4,2)</t>
        </is>
      </c>
      <c r="E14" s="157" t="inlineStr">
        <is>
          <t>чел.-ч</t>
        </is>
      </c>
      <c r="F14" s="199" t="n">
        <v>3.3936006326214</v>
      </c>
      <c r="G14" s="96" t="n">
        <v>9.92</v>
      </c>
      <c r="H14" s="96">
        <f>ROUND(F14*G14,2)</f>
        <v/>
      </c>
    </row>
    <row r="15" ht="15" customHeight="1">
      <c r="A15" s="147" t="inlineStr">
        <is>
          <t>Затраты труда машинистов</t>
        </is>
      </c>
      <c r="B15" s="190" t="n"/>
      <c r="C15" s="190" t="n"/>
      <c r="D15" s="190" t="n"/>
      <c r="E15" s="191" t="n"/>
      <c r="F15" s="114" t="n"/>
      <c r="G15" s="114" t="n"/>
      <c r="H15" s="197">
        <f>H16</f>
        <v/>
      </c>
    </row>
    <row r="16">
      <c r="A16" s="124">
        <f>A14+1</f>
        <v/>
      </c>
      <c r="B16" s="122" t="n"/>
      <c r="C16" s="93" t="n">
        <v>2</v>
      </c>
      <c r="D16" s="156" t="inlineStr">
        <is>
          <t>Затраты труда машинистов</t>
        </is>
      </c>
      <c r="E16" s="157" t="inlineStr">
        <is>
          <t>чел.-ч</t>
        </is>
      </c>
      <c r="F16" s="157" t="n">
        <v>21.9884375</v>
      </c>
      <c r="G16" s="96" t="n"/>
      <c r="H16" s="200">
        <f>'Прил.5 Расчет СМР и ОБ'!G16</f>
        <v/>
      </c>
      <c r="L16" s="37" t="n"/>
    </row>
    <row r="17" ht="15" customHeight="1">
      <c r="A17" s="147" t="inlineStr">
        <is>
          <t>Машины и механизмы</t>
        </is>
      </c>
      <c r="B17" s="190" t="n"/>
      <c r="C17" s="190" t="n"/>
      <c r="D17" s="190" t="n"/>
      <c r="E17" s="191" t="n"/>
      <c r="F17" s="114" t="n"/>
      <c r="G17" s="114" t="n"/>
      <c r="H17" s="197">
        <f>SUM(H18:H26)</f>
        <v/>
      </c>
      <c r="K17" s="18" t="n"/>
    </row>
    <row r="18" ht="25.5" customHeight="1">
      <c r="A18" s="93">
        <f>A16+1</f>
        <v/>
      </c>
      <c r="B18" s="122" t="n"/>
      <c r="C18" s="93" t="inlineStr">
        <is>
          <t>91.06.03-058</t>
        </is>
      </c>
      <c r="D18" s="156" t="inlineStr">
        <is>
          <t>Лебедки электрические тяговым усилием 156,96 кН (16 т)</t>
        </is>
      </c>
      <c r="E18" s="157" t="inlineStr">
        <is>
          <t>маш.-ч</t>
        </is>
      </c>
      <c r="F18" s="157" t="n">
        <v>15.538125</v>
      </c>
      <c r="G18" s="100" t="n">
        <v>131.44</v>
      </c>
      <c r="H18" s="96">
        <f>ROUND(F18*G18,2)</f>
        <v/>
      </c>
    </row>
    <row r="19" ht="25.5" customHeight="1">
      <c r="A19" s="93">
        <f>A18+1</f>
        <v/>
      </c>
      <c r="B19" s="122" t="n"/>
      <c r="C19" s="93" t="inlineStr">
        <is>
          <t>91.05.05-014</t>
        </is>
      </c>
      <c r="D19" s="156" t="inlineStr">
        <is>
          <t>Краны на автомобильном ходу, грузоподъемность 10 т</t>
        </is>
      </c>
      <c r="E19" s="157" t="inlineStr">
        <is>
          <t>маш.-ч</t>
        </is>
      </c>
      <c r="F19" s="158" t="n">
        <v>3.1253125</v>
      </c>
      <c r="G19" s="100" t="n">
        <v>111.99</v>
      </c>
      <c r="H19" s="96">
        <f>ROUND(F19*G19,2)</f>
        <v/>
      </c>
    </row>
    <row r="20">
      <c r="A20" s="93">
        <f>A19+1</f>
        <v/>
      </c>
      <c r="B20" s="122" t="n"/>
      <c r="C20" s="93" t="inlineStr">
        <is>
          <t>91.14.02-001</t>
        </is>
      </c>
      <c r="D20" s="156" t="inlineStr">
        <is>
          <t>Автомобили бортовые, грузоподъемность: до 5 т</t>
        </is>
      </c>
      <c r="E20" s="157" t="inlineStr">
        <is>
          <t>маш.-ч</t>
        </is>
      </c>
      <c r="F20" s="157" t="n">
        <v>3.096875</v>
      </c>
      <c r="G20" s="100" t="n">
        <v>65.70999999999999</v>
      </c>
      <c r="H20" s="96">
        <f>ROUND(F20*G20,2)</f>
        <v/>
      </c>
    </row>
    <row r="21" ht="25.5" customHeight="1">
      <c r="A21" s="93">
        <f>A20+1</f>
        <v/>
      </c>
      <c r="B21" s="122" t="n"/>
      <c r="C21" s="93" t="inlineStr">
        <is>
          <t>91.17.04-161</t>
        </is>
      </c>
      <c r="D21" s="156" t="inlineStr">
        <is>
          <t>Полуавтоматы сварочные номинальным сварочным током 40-500 А</t>
        </is>
      </c>
      <c r="E21" s="157" t="inlineStr">
        <is>
          <t>маш.-ч</t>
        </is>
      </c>
      <c r="F21" s="157" t="n">
        <v>3.5625</v>
      </c>
      <c r="G21" s="100" t="n">
        <v>16.44</v>
      </c>
      <c r="H21" s="96">
        <f>ROUND(F21*G21,2)</f>
        <v/>
      </c>
    </row>
    <row r="22">
      <c r="A22" s="93">
        <f>A21+1</f>
        <v/>
      </c>
      <c r="B22" s="122" t="n"/>
      <c r="C22" s="93" t="inlineStr">
        <is>
          <t>91.21.22-438</t>
        </is>
      </c>
      <c r="D22" s="156" t="inlineStr">
        <is>
          <t>Установка: передвижная цеолитовая</t>
        </is>
      </c>
      <c r="E22" s="157" t="inlineStr">
        <is>
          <t>маш.-ч</t>
        </is>
      </c>
      <c r="F22" s="157" t="n">
        <v>0.9875</v>
      </c>
      <c r="G22" s="100" t="n">
        <v>38.65</v>
      </c>
      <c r="H22" s="96">
        <f>ROUND(F22*G22,2)</f>
        <v/>
      </c>
    </row>
    <row r="23">
      <c r="A23" s="93">
        <f>A22+1</f>
        <v/>
      </c>
      <c r="B23" s="122" t="n"/>
      <c r="C23" s="93" t="inlineStr">
        <is>
          <t>91.19.12-021</t>
        </is>
      </c>
      <c r="D23" s="156" t="inlineStr">
        <is>
          <t>Насос вакуумный: 3,6 м3/мин</t>
        </is>
      </c>
      <c r="E23" s="157" t="inlineStr">
        <is>
          <t>маш.-ч</t>
        </is>
      </c>
      <c r="F23" s="157" t="n">
        <v>3.8875</v>
      </c>
      <c r="G23" s="100" t="n">
        <v>6.28</v>
      </c>
      <c r="H23" s="96">
        <f>ROUND(F23*G23,2)</f>
        <v/>
      </c>
    </row>
    <row r="24" ht="25.5" customHeight="1">
      <c r="A24" s="93">
        <f>A23+1</f>
        <v/>
      </c>
      <c r="B24" s="122" t="n"/>
      <c r="C24" s="93" t="inlineStr">
        <is>
          <t>91.21.22-091</t>
        </is>
      </c>
      <c r="D24" s="156" t="inlineStr">
        <is>
          <t>Выпрямитель полупроводниковый для подогрева трансформаторов</t>
        </is>
      </c>
      <c r="E24" s="157" t="inlineStr">
        <is>
          <t>маш.-ч</t>
        </is>
      </c>
      <c r="F24" s="157" t="n">
        <v>4.7125</v>
      </c>
      <c r="G24" s="100" t="n">
        <v>3.82</v>
      </c>
      <c r="H24" s="96">
        <f>ROUND(F24*G24,2)</f>
        <v/>
      </c>
    </row>
    <row r="25" ht="25.5" customHeight="1">
      <c r="A25" s="93">
        <f>A24+1</f>
        <v/>
      </c>
      <c r="B25" s="122" t="n"/>
      <c r="C25" s="93" t="inlineStr">
        <is>
          <t>91.19.02-002</t>
        </is>
      </c>
      <c r="D25" s="156" t="inlineStr">
        <is>
          <t>Маслонасосы шестеренные, производительность м3/час: 2,3</t>
        </is>
      </c>
      <c r="E25" s="157" t="inlineStr">
        <is>
          <t>маш.-ч</t>
        </is>
      </c>
      <c r="F25" s="157" t="n">
        <v>0.2475</v>
      </c>
      <c r="G25" s="100" t="n">
        <v>0.9</v>
      </c>
      <c r="H25" s="96">
        <f>ROUND(F25*G25,2)</f>
        <v/>
      </c>
    </row>
    <row r="26" ht="25.5" customHeight="1">
      <c r="A26" s="93">
        <f>A25+1</f>
        <v/>
      </c>
      <c r="B26" s="122" t="n"/>
      <c r="C26" s="93" t="inlineStr">
        <is>
          <t>91.17.04-233</t>
        </is>
      </c>
      <c r="D26" s="156" t="inlineStr">
        <is>
          <t>Установки для сварки: ручной дуговой (постоянного тока)</t>
        </is>
      </c>
      <c r="E26" s="157" t="inlineStr">
        <is>
          <t>маш.-ч</t>
        </is>
      </c>
      <c r="F26" s="157" t="n">
        <v>0.0125</v>
      </c>
      <c r="G26" s="100" t="n">
        <v>8.1</v>
      </c>
      <c r="H26" s="96">
        <f>ROUND(F26*G26,2)</f>
        <v/>
      </c>
    </row>
    <row r="27" ht="15" customHeight="1">
      <c r="A27" s="147" t="inlineStr">
        <is>
          <t>Оборудование</t>
        </is>
      </c>
      <c r="B27" s="190" t="n"/>
      <c r="C27" s="190" t="n"/>
      <c r="D27" s="190" t="n"/>
      <c r="E27" s="191" t="n"/>
      <c r="F27" s="114" t="n"/>
      <c r="G27" s="114" t="n"/>
      <c r="H27" s="197">
        <f>SUM(H28:H28)</f>
        <v/>
      </c>
    </row>
    <row r="28">
      <c r="A28" s="126">
        <f>A26+1</f>
        <v/>
      </c>
      <c r="B28" s="148" t="n"/>
      <c r="C28" s="46" t="inlineStr">
        <is>
          <t>Прайс из СД ОП</t>
        </is>
      </c>
      <c r="D28" s="176" t="inlineStr">
        <is>
          <t>КРУ 10 кВ</t>
        </is>
      </c>
      <c r="E28" s="181" t="inlineStr">
        <is>
          <t>шт.</t>
        </is>
      </c>
      <c r="F28" s="181" t="n">
        <v>1</v>
      </c>
      <c r="G28" s="14" t="n">
        <v>982773</v>
      </c>
      <c r="H28" s="14">
        <f>ROUND(F28*G28,2)</f>
        <v/>
      </c>
    </row>
    <row r="29" ht="15" customHeight="1">
      <c r="A29" s="148" t="inlineStr">
        <is>
          <t>Материалы</t>
        </is>
      </c>
      <c r="B29" s="190" t="n"/>
      <c r="C29" s="190" t="n"/>
      <c r="D29" s="190" t="n"/>
      <c r="E29" s="191" t="n"/>
      <c r="F29" s="40" t="n"/>
      <c r="G29" s="40" t="n"/>
      <c r="H29" s="201">
        <f>SUM(H30:H54)</f>
        <v/>
      </c>
      <c r="K29" s="18" t="n"/>
    </row>
    <row r="30">
      <c r="A30" s="126">
        <f>A28+1</f>
        <v/>
      </c>
      <c r="B30" s="21" t="n"/>
      <c r="C30" s="46" t="inlineStr">
        <is>
          <t>01.1.02.01-0003</t>
        </is>
      </c>
      <c r="D30" s="176" t="inlineStr">
        <is>
          <t>Асботекстолит, марка Г</t>
        </is>
      </c>
      <c r="E30" s="181" t="inlineStr">
        <is>
          <t>т</t>
        </is>
      </c>
      <c r="F30" s="181" t="n">
        <v>0.0255</v>
      </c>
      <c r="G30" s="14" t="n">
        <v>161000</v>
      </c>
      <c r="H30" s="14">
        <f>ROUND(F30*G30,2)</f>
        <v/>
      </c>
    </row>
    <row r="31">
      <c r="A31" s="126">
        <f>A30+1</f>
        <v/>
      </c>
      <c r="B31" s="21" t="n"/>
      <c r="C31" s="46" t="inlineStr">
        <is>
          <t>01.3.02.02-0001</t>
        </is>
      </c>
      <c r="D31" s="176" t="inlineStr">
        <is>
          <t>Аргон газообразный, сорт I</t>
        </is>
      </c>
      <c r="E31" s="181" t="inlineStr">
        <is>
          <t>м3</t>
        </is>
      </c>
      <c r="F31" s="181" t="n">
        <v>121.5</v>
      </c>
      <c r="G31" s="14" t="n">
        <v>17.86</v>
      </c>
      <c r="H31" s="14">
        <f>ROUND(F31*G31,2)</f>
        <v/>
      </c>
    </row>
    <row r="32">
      <c r="A32" s="126">
        <f>A31+1</f>
        <v/>
      </c>
      <c r="B32" s="21" t="n"/>
      <c r="C32" s="46" t="inlineStr">
        <is>
          <t>21.1.08.03-0078</t>
        </is>
      </c>
      <c r="D32" s="176" t="inlineStr">
        <is>
          <t>Кабель контрольный КВВГЭнг(A)-FRLS 5х2,5</t>
        </is>
      </c>
      <c r="E32" s="181" t="inlineStr">
        <is>
          <t>1000 м</t>
        </is>
      </c>
      <c r="F32" s="181" t="n">
        <v>0.05</v>
      </c>
      <c r="G32" s="14" t="n">
        <v>36884.36</v>
      </c>
      <c r="H32" s="14">
        <f>ROUND(F32*G32,2)</f>
        <v/>
      </c>
    </row>
    <row r="33" ht="25.5" customHeight="1">
      <c r="A33" s="126">
        <f>A32+1</f>
        <v/>
      </c>
      <c r="B33" s="21" t="n"/>
      <c r="C33" s="46" t="inlineStr">
        <is>
          <t>01.1.02.09-0021</t>
        </is>
      </c>
      <c r="D33" s="176" t="inlineStr">
        <is>
          <t>Ткань асбестовая со стеклонитью АСТ-1, толщина 1,8 мм</t>
        </is>
      </c>
      <c r="E33" s="181" t="inlineStr">
        <is>
          <t>т</t>
        </is>
      </c>
      <c r="F33" s="181" t="n">
        <v>0.0268</v>
      </c>
      <c r="G33" s="14" t="n">
        <v>66860</v>
      </c>
      <c r="H33" s="14">
        <f>ROUND(F33*G33,2)</f>
        <v/>
      </c>
    </row>
    <row r="34">
      <c r="A34" s="126">
        <f>A33+1</f>
        <v/>
      </c>
      <c r="B34" s="21" t="n"/>
      <c r="C34" s="46" t="inlineStr">
        <is>
          <t>01.7.11.04-0002</t>
        </is>
      </c>
      <c r="D34" s="176" t="inlineStr">
        <is>
          <t>Проволока наплавочная ПП-Нп-19СТ, диаметр 3 мм</t>
        </is>
      </c>
      <c r="E34" s="181" t="inlineStr">
        <is>
          <t>т</t>
        </is>
      </c>
      <c r="F34" s="181" t="n">
        <v>0.08699999999999999</v>
      </c>
      <c r="G34" s="14" t="n">
        <v>20300</v>
      </c>
      <c r="H34" s="14">
        <f>ROUND(F34*G34,2)</f>
        <v/>
      </c>
    </row>
    <row r="35" ht="25.5" customHeight="1">
      <c r="A35" s="126">
        <f>A34+1</f>
        <v/>
      </c>
      <c r="B35" s="21" t="n"/>
      <c r="C35" s="46" t="inlineStr">
        <is>
          <t>25.1.01.04-0012</t>
        </is>
      </c>
      <c r="D35" s="176" t="inlineStr">
        <is>
          <t>Шпалы из древесины хвойных пород для колеи 600 мм, непропитанные, длина 1200 мм, тип II</t>
        </is>
      </c>
      <c r="E35" s="181" t="inlineStr">
        <is>
          <t>шт</t>
        </is>
      </c>
      <c r="F35" s="181" t="n">
        <v>30</v>
      </c>
      <c r="G35" s="14" t="n">
        <v>42.6</v>
      </c>
      <c r="H35" s="14">
        <f>ROUND(F35*G35,2)</f>
        <v/>
      </c>
    </row>
    <row r="36">
      <c r="A36" s="126">
        <f>A35+1</f>
        <v/>
      </c>
      <c r="B36" s="21" t="n"/>
      <c r="C36" s="46" t="inlineStr">
        <is>
          <t>01.3.02.03-0001</t>
        </is>
      </c>
      <c r="D36" s="176" t="inlineStr">
        <is>
          <t>Ацетилен газообразный технический</t>
        </is>
      </c>
      <c r="E36" s="181" t="inlineStr">
        <is>
          <t>м3</t>
        </is>
      </c>
      <c r="F36" s="181" t="n">
        <v>16.5</v>
      </c>
      <c r="G36" s="14" t="n">
        <v>38.51</v>
      </c>
      <c r="H36" s="14">
        <f>ROUND(F36*G36,2)</f>
        <v/>
      </c>
    </row>
    <row r="37">
      <c r="A37" s="126">
        <f>A36+1</f>
        <v/>
      </c>
      <c r="B37" s="21" t="n"/>
      <c r="C37" s="46" t="inlineStr">
        <is>
          <t>01.7.02.06-0017</t>
        </is>
      </c>
      <c r="D37" s="176" t="inlineStr">
        <is>
          <t>Картон строительный прокладочный, марка Б</t>
        </is>
      </c>
      <c r="E37" s="181" t="inlineStr">
        <is>
          <t>т</t>
        </is>
      </c>
      <c r="F37" s="181" t="n">
        <v>0.03</v>
      </c>
      <c r="G37" s="14" t="n">
        <v>19800</v>
      </c>
      <c r="H37" s="14">
        <f>ROUND(F37*G37,2)</f>
        <v/>
      </c>
    </row>
    <row r="38">
      <c r="A38" s="126">
        <f>A37+1</f>
        <v/>
      </c>
      <c r="B38" s="21" t="n"/>
      <c r="C38" s="46" t="inlineStr">
        <is>
          <t>14.4.02.09-0001</t>
        </is>
      </c>
      <c r="D38" s="176" t="inlineStr">
        <is>
          <t>Краска</t>
        </is>
      </c>
      <c r="E38" s="181" t="inlineStr">
        <is>
          <t>кг</t>
        </is>
      </c>
      <c r="F38" s="181" t="n">
        <v>15.2</v>
      </c>
      <c r="G38" s="14" t="n">
        <v>28.6</v>
      </c>
      <c r="H38" s="14">
        <f>ROUND(F38*G38,2)</f>
        <v/>
      </c>
    </row>
    <row r="39">
      <c r="A39" s="126">
        <f>A38+1</f>
        <v/>
      </c>
      <c r="B39" s="21" t="n"/>
      <c r="C39" s="46" t="inlineStr">
        <is>
          <t>999-9950</t>
        </is>
      </c>
      <c r="D39" s="176" t="inlineStr">
        <is>
          <t>Вспомогательные ненормируемые ресурсы</t>
        </is>
      </c>
      <c r="E39" s="181" t="inlineStr">
        <is>
          <t>руб.</t>
        </is>
      </c>
      <c r="F39" s="181" t="n">
        <v>478.05</v>
      </c>
      <c r="G39" s="14" t="n">
        <v>1</v>
      </c>
      <c r="H39" s="14">
        <f>ROUND(F39*G39,2)</f>
        <v/>
      </c>
    </row>
    <row r="40" ht="25.5" customHeight="1">
      <c r="A40" s="126">
        <f>A39+1</f>
        <v/>
      </c>
      <c r="B40" s="21" t="n"/>
      <c r="C40" s="46" t="inlineStr">
        <is>
          <t>01.7.19.04-0031</t>
        </is>
      </c>
      <c r="D40" s="176" t="inlineStr">
        <is>
          <t>Прокладки резиновые (пластина техническая прессованная)</t>
        </is>
      </c>
      <c r="E40" s="181" t="inlineStr">
        <is>
          <t>кг</t>
        </is>
      </c>
      <c r="F40" s="181" t="n">
        <v>18.75</v>
      </c>
      <c r="G40" s="14" t="n">
        <v>23.09</v>
      </c>
      <c r="H40" s="14">
        <f>ROUND(F40*G40,2)</f>
        <v/>
      </c>
    </row>
    <row r="41">
      <c r="A41" s="126">
        <f>A40+1</f>
        <v/>
      </c>
      <c r="B41" s="21" t="n"/>
      <c r="C41" s="46" t="inlineStr">
        <is>
          <t>07.2.07.13-0171</t>
        </is>
      </c>
      <c r="D41" s="176" t="inlineStr">
        <is>
          <t>Подкладки металлические</t>
        </is>
      </c>
      <c r="E41" s="181" t="inlineStr">
        <is>
          <t>кг</t>
        </is>
      </c>
      <c r="F41" s="181" t="n">
        <v>30</v>
      </c>
      <c r="G41" s="14" t="n">
        <v>12.6</v>
      </c>
      <c r="H41" s="14">
        <f>ROUND(F41*G41,2)</f>
        <v/>
      </c>
    </row>
    <row r="42" ht="25.5" customHeight="1">
      <c r="A42" s="126">
        <f>A41+1</f>
        <v/>
      </c>
      <c r="B42" s="21" t="n"/>
      <c r="C42" s="46" t="inlineStr">
        <is>
          <t>11.1.03.05-0085</t>
        </is>
      </c>
      <c r="D42" s="176" t="inlineStr">
        <is>
          <t>Доски необрезные хвойных пород длиной: 4-6,5 м, все ширины, толщиной 44 мм и более, III сорта</t>
        </is>
      </c>
      <c r="E42" s="181" t="inlineStr">
        <is>
          <t>м3</t>
        </is>
      </c>
      <c r="F42" s="181" t="n">
        <v>0.3</v>
      </c>
      <c r="G42" s="14" t="n">
        <v>684</v>
      </c>
      <c r="H42" s="14">
        <f>ROUND(F42*G42,2)</f>
        <v/>
      </c>
    </row>
    <row r="43">
      <c r="A43" s="126">
        <f>A42+1</f>
        <v/>
      </c>
      <c r="B43" s="21" t="n"/>
      <c r="C43" s="46" t="inlineStr">
        <is>
          <t>01.7.15.06-0121</t>
        </is>
      </c>
      <c r="D43" s="176" t="inlineStr">
        <is>
          <t>Гвозди строительные с плоской головкой: 1,6x50 мм</t>
        </is>
      </c>
      <c r="E43" s="181" t="inlineStr">
        <is>
          <t>т</t>
        </is>
      </c>
      <c r="F43" s="181" t="n">
        <v>0.0225</v>
      </c>
      <c r="G43" s="14" t="n">
        <v>8475</v>
      </c>
      <c r="H43" s="14">
        <f>ROUND(F43*G43,2)</f>
        <v/>
      </c>
    </row>
    <row r="44">
      <c r="A44" s="126">
        <f>A43+1</f>
        <v/>
      </c>
      <c r="B44" s="21" t="n"/>
      <c r="C44" s="46" t="inlineStr">
        <is>
          <t>14.5.09.01-0003</t>
        </is>
      </c>
      <c r="D44" s="176" t="inlineStr">
        <is>
          <t>Ацетон технический, сорт высший</t>
        </is>
      </c>
      <c r="E44" s="181" t="inlineStr">
        <is>
          <t>т</t>
        </is>
      </c>
      <c r="F44" s="181" t="n">
        <v>0.018</v>
      </c>
      <c r="G44" s="14" t="n">
        <v>9360</v>
      </c>
      <c r="H44" s="14">
        <f>ROUND(F44*G44,2)</f>
        <v/>
      </c>
    </row>
    <row r="45" ht="25.5" customHeight="1">
      <c r="A45" s="126">
        <f>A44+1</f>
        <v/>
      </c>
      <c r="B45" s="21" t="n"/>
      <c r="C45" s="46" t="inlineStr">
        <is>
          <t>21.1.06.10-0376</t>
        </is>
      </c>
      <c r="D45" s="176" t="inlineStr">
        <is>
          <t>Кабель силовой с медными жилами ВВГнг(A)-LS 3х2,5ок-1000</t>
        </is>
      </c>
      <c r="E45" s="181" t="inlineStr">
        <is>
          <t>1000 м</t>
        </is>
      </c>
      <c r="F45" s="181" t="n">
        <v>0.01</v>
      </c>
      <c r="G45" s="14" t="n">
        <v>14498.24</v>
      </c>
      <c r="H45" s="14">
        <f>ROUND(F45*G45,2)</f>
        <v/>
      </c>
    </row>
    <row r="46">
      <c r="A46" s="126">
        <f>A45+1</f>
        <v/>
      </c>
      <c r="B46" s="21" t="n"/>
      <c r="C46" s="46" t="inlineStr">
        <is>
          <t>01.7.15.10-0053</t>
        </is>
      </c>
      <c r="D46" s="176" t="inlineStr">
        <is>
          <t>Скобы: металлические</t>
        </is>
      </c>
      <c r="E46" s="181" t="inlineStr">
        <is>
          <t>кг</t>
        </is>
      </c>
      <c r="F46" s="181" t="n">
        <v>21</v>
      </c>
      <c r="G46" s="14" t="n">
        <v>6.4</v>
      </c>
      <c r="H46" s="14">
        <f>ROUND(F46*G46,2)</f>
        <v/>
      </c>
    </row>
    <row r="47">
      <c r="A47" s="126">
        <f>A46+1</f>
        <v/>
      </c>
      <c r="B47" s="21" t="n"/>
      <c r="C47" s="46" t="inlineStr">
        <is>
          <t>01.7.11.07-0034</t>
        </is>
      </c>
      <c r="D47" s="176" t="inlineStr">
        <is>
          <t>Электроды диаметром: 4 мм Э42А</t>
        </is>
      </c>
      <c r="E47" s="181" t="inlineStr">
        <is>
          <t>кг</t>
        </is>
      </c>
      <c r="F47" s="181" t="n">
        <v>12</v>
      </c>
      <c r="G47" s="14" t="n">
        <v>10.57</v>
      </c>
      <c r="H47" s="14">
        <f>ROUND(F47*G47,2)</f>
        <v/>
      </c>
    </row>
    <row r="48">
      <c r="A48" s="126">
        <f>A47+1</f>
        <v/>
      </c>
      <c r="B48" s="21" t="n"/>
      <c r="C48" s="46" t="inlineStr">
        <is>
          <t>01.3.02.08-0001</t>
        </is>
      </c>
      <c r="D48" s="176" t="inlineStr">
        <is>
          <t>Кислород технический: газообразный</t>
        </is>
      </c>
      <c r="E48" s="181" t="inlineStr">
        <is>
          <t>м3</t>
        </is>
      </c>
      <c r="F48" s="181" t="n">
        <v>15.45</v>
      </c>
      <c r="G48" s="14" t="n">
        <v>6.22</v>
      </c>
      <c r="H48" s="14">
        <f>ROUND(F48*G48,2)</f>
        <v/>
      </c>
    </row>
    <row r="49">
      <c r="A49" s="126">
        <f>A48+1</f>
        <v/>
      </c>
      <c r="B49" s="21" t="n"/>
      <c r="C49" s="46" t="inlineStr">
        <is>
          <t>01.3.01.07-0008</t>
        </is>
      </c>
      <c r="D49" s="176" t="inlineStr">
        <is>
          <t>Спирт этиловый ректификованный технический, сорт I</t>
        </is>
      </c>
      <c r="E49" s="181" t="inlineStr">
        <is>
          <t>т</t>
        </is>
      </c>
      <c r="F49" s="181" t="n">
        <v>0.0024</v>
      </c>
      <c r="G49" s="14" t="n">
        <v>38890</v>
      </c>
      <c r="H49" s="14">
        <f>ROUND(F49*G49,2)</f>
        <v/>
      </c>
    </row>
    <row r="50">
      <c r="A50" s="126">
        <f>A49+1</f>
        <v/>
      </c>
      <c r="B50" s="21" t="n"/>
      <c r="C50" s="46" t="inlineStr">
        <is>
          <t>01.7.15.03-0042</t>
        </is>
      </c>
      <c r="D50" s="176" t="inlineStr">
        <is>
          <t>Болты с гайками и шайбами строительные</t>
        </is>
      </c>
      <c r="E50" s="181" t="inlineStr">
        <is>
          <t>кг</t>
        </is>
      </c>
      <c r="F50" s="181" t="n">
        <v>1.29</v>
      </c>
      <c r="G50" s="14" t="n">
        <v>9.039999999999999</v>
      </c>
      <c r="H50" s="14">
        <f>ROUND(F50*G50,2)</f>
        <v/>
      </c>
    </row>
    <row r="51" ht="25.5" customHeight="1">
      <c r="A51" s="126">
        <f>A50+1</f>
        <v/>
      </c>
      <c r="B51" s="21" t="n"/>
      <c r="C51" s="46" t="inlineStr">
        <is>
          <t>01.3.01.06-0050</t>
        </is>
      </c>
      <c r="D51" s="176" t="inlineStr">
        <is>
          <t>Смазка универсальная тугоплавкая УТ (консталин жировой)</t>
        </is>
      </c>
      <c r="E51" s="181" t="inlineStr">
        <is>
          <t>т</t>
        </is>
      </c>
      <c r="F51" s="181" t="n">
        <v>0.0003</v>
      </c>
      <c r="G51" s="14" t="n">
        <v>17500</v>
      </c>
      <c r="H51" s="14">
        <f>ROUND(F51*G51,2)</f>
        <v/>
      </c>
    </row>
    <row r="52" ht="25.5" customHeight="1">
      <c r="A52" s="126">
        <f>A51+1</f>
        <v/>
      </c>
      <c r="B52" s="21" t="n"/>
      <c r="C52" s="46" t="inlineStr">
        <is>
          <t>08.3.07.01-0076</t>
        </is>
      </c>
      <c r="D52" s="176" t="inlineStr">
        <is>
          <t>Сталь полосовая, марка стали: Ст3сп шириной 50-200 мм толщиной 4-5 мм</t>
        </is>
      </c>
      <c r="E52" s="181" t="inlineStr">
        <is>
          <t>т</t>
        </is>
      </c>
      <c r="F52" s="181" t="n">
        <v>0.001</v>
      </c>
      <c r="G52" s="14" t="n">
        <v>5000</v>
      </c>
      <c r="H52" s="14">
        <f>ROUND(F52*G52,2)</f>
        <v/>
      </c>
    </row>
    <row r="53">
      <c r="A53" s="126">
        <f>A52+1</f>
        <v/>
      </c>
      <c r="B53" s="21" t="n"/>
      <c r="C53" s="46" t="inlineStr">
        <is>
          <t>01.7.06.07-0003</t>
        </is>
      </c>
      <c r="D53" s="176" t="inlineStr">
        <is>
          <t>Лента с запонками ЛМЗ</t>
        </is>
      </c>
      <c r="E53" s="181" t="inlineStr">
        <is>
          <t>100 м</t>
        </is>
      </c>
      <c r="F53" s="181" t="n">
        <v>0.025</v>
      </c>
      <c r="G53" s="14" t="n">
        <v>126</v>
      </c>
      <c r="H53" s="14">
        <f>ROUND(F53*G53,2)</f>
        <v/>
      </c>
    </row>
    <row r="54">
      <c r="A54" s="126">
        <f>A53+1</f>
        <v/>
      </c>
      <c r="B54" s="21" t="n"/>
      <c r="C54" s="46" t="inlineStr">
        <is>
          <t>01.7.20.08-0102</t>
        </is>
      </c>
      <c r="D54" s="176" t="inlineStr">
        <is>
          <t>Миткаль «Т-2» суровый (суровье)</t>
        </is>
      </c>
      <c r="E54" s="181" t="inlineStr">
        <is>
          <t>10 м</t>
        </is>
      </c>
      <c r="F54" s="181" t="n">
        <v>0.03</v>
      </c>
      <c r="G54" s="14" t="n">
        <v>73.65000000000001</v>
      </c>
      <c r="H54" s="14">
        <f>ROUND(F54*G54,2)</f>
        <v/>
      </c>
    </row>
    <row r="55">
      <c r="K55" s="20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75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75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0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3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4">
        <f>'Прил.1 Сравнит табл'!B7</f>
        <v/>
      </c>
    </row>
    <row r="8">
      <c r="B8" s="155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81" t="inlineStr">
        <is>
          <t>Наименование</t>
        </is>
      </c>
      <c r="C10" s="181" t="inlineStr">
        <is>
          <t>Сметная стоимость в ценах на 01.01.2023
 (руб.)</t>
        </is>
      </c>
      <c r="D10" s="181" t="inlineStr">
        <is>
          <t>Удельный вес, 
(в СМР)</t>
        </is>
      </c>
      <c r="E10" s="18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7" t="inlineStr">
        <is>
          <t>Эксплуатация машин основных</t>
        </is>
      </c>
      <c r="C12" s="43">
        <f>'Прил.5 Расчет СМР и ОБ'!J21</f>
        <v/>
      </c>
      <c r="D12" s="42">
        <f>C12/$C$24</f>
        <v/>
      </c>
      <c r="E12" s="42">
        <f>C12/$C$40</f>
        <v/>
      </c>
    </row>
    <row r="13">
      <c r="B13" s="7" t="inlineStr">
        <is>
          <t>Эксплуатация машин прочих</t>
        </is>
      </c>
      <c r="C13" s="43">
        <f>'Прил.5 Расчет СМР и ОБ'!J29</f>
        <v/>
      </c>
      <c r="D13" s="42">
        <f>C13/$C$24</f>
        <v/>
      </c>
      <c r="E13" s="42">
        <f>C13/$C$40</f>
        <v/>
      </c>
    </row>
    <row r="14">
      <c r="B14" s="7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7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7" t="inlineStr">
        <is>
          <t>Материалы основные</t>
        </is>
      </c>
      <c r="C16" s="43">
        <f>'Прил.5 Расчет СМР и ОБ'!J51</f>
        <v/>
      </c>
      <c r="D16" s="42">
        <f>C16/$C$24</f>
        <v/>
      </c>
      <c r="E16" s="42">
        <f>C16/$C$40</f>
        <v/>
      </c>
    </row>
    <row r="17">
      <c r="B17" s="7" t="inlineStr">
        <is>
          <t>Материалы прочие</t>
        </is>
      </c>
      <c r="C17" s="43">
        <f>'Прил.5 Расчет СМР и ОБ'!J68</f>
        <v/>
      </c>
      <c r="D17" s="42">
        <f>C17/$C$24</f>
        <v/>
      </c>
      <c r="E17" s="42">
        <f>C17/$C$40</f>
        <v/>
      </c>
      <c r="G17" s="203" t="n"/>
    </row>
    <row r="18">
      <c r="B18" s="7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7" t="inlineStr">
        <is>
          <t>ИТОГО</t>
        </is>
      </c>
      <c r="C19" s="43">
        <f>C18+C14+C11</f>
        <v/>
      </c>
      <c r="D19" s="42" t="n"/>
      <c r="E19" s="7" t="n"/>
    </row>
    <row r="20">
      <c r="B20" s="7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7" t="inlineStr">
        <is>
          <t>Сметная прибыль, %</t>
        </is>
      </c>
      <c r="C21" s="44">
        <f>'Прил.5 Расчет СМР и ОБ'!E72</f>
        <v/>
      </c>
      <c r="D21" s="42" t="n"/>
      <c r="E21" s="7" t="n"/>
    </row>
    <row r="22">
      <c r="B22" s="7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7" t="inlineStr">
        <is>
          <t>Накладные расходы, %</t>
        </is>
      </c>
      <c r="C23" s="44">
        <f>'Прил.5 Расчет СМР и ОБ'!E71</f>
        <v/>
      </c>
      <c r="D23" s="42" t="n"/>
      <c r="E23" s="7" t="n"/>
    </row>
    <row r="24">
      <c r="B24" s="7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3">
        <f>'Прил.5 Расчет СМР и ОБ'!J39</f>
        <v/>
      </c>
      <c r="D25" s="42" t="n"/>
      <c r="E25" s="4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3">
        <f>C25</f>
        <v/>
      </c>
      <c r="D26" s="42" t="n"/>
      <c r="E26" s="42">
        <f>C26/$C$40</f>
        <v/>
      </c>
    </row>
    <row r="27">
      <c r="B27" s="7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1">
        <f>ROUND(C24*3.9%,2)</f>
        <v/>
      </c>
      <c r="D29" s="7" t="n"/>
      <c r="E29" s="4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1">
        <f>ROUND((C24+C29)*2.1%,2)</f>
        <v/>
      </c>
      <c r="D30" s="7" t="n"/>
      <c r="E30" s="42">
        <f>C30/$C$40</f>
        <v/>
      </c>
    </row>
    <row r="31">
      <c r="B31" s="7" t="inlineStr">
        <is>
          <t>Пусконаладочные работы</t>
        </is>
      </c>
      <c r="C31" s="41" t="n">
        <v>160371.7</v>
      </c>
      <c r="D31" s="7" t="n"/>
      <c r="E31" s="4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4">
        <f>ROUND($C$27*0%,2)</f>
        <v/>
      </c>
      <c r="D32" s="7" t="n"/>
      <c r="E32" s="4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4">
        <f>ROUND($C$27*0%,2)</f>
        <v/>
      </c>
      <c r="D33" s="7" t="n"/>
      <c r="E33" s="4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4">
        <f>ROUND($C$27*0%,2)</f>
        <v/>
      </c>
      <c r="D34" s="7" t="n"/>
      <c r="E34" s="42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4">
        <f>ROUND($C$27*0%,2)</f>
        <v/>
      </c>
      <c r="D35" s="7" t="n"/>
      <c r="E35" s="4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4">
        <f>ROUND((C27+C32+C33+C34+C35+C29+C31+C30)*2.14%,2)</f>
        <v/>
      </c>
      <c r="D36" s="7" t="n"/>
      <c r="E36" s="42">
        <f>C36/$C$40</f>
        <v/>
      </c>
      <c r="G36" s="50" t="n"/>
      <c r="L36" s="18" t="n"/>
    </row>
    <row r="37">
      <c r="B37" s="7" t="inlineStr">
        <is>
          <t>Авторский надзор - 0,2%</t>
        </is>
      </c>
      <c r="C37" s="84">
        <f>ROUND((C27+C32+C33+C34+C35+C29+C31+C30)*0.2%,2)</f>
        <v/>
      </c>
      <c r="D37" s="7" t="n"/>
      <c r="E37" s="42">
        <f>C37/$C$40</f>
        <v/>
      </c>
      <c r="G37" s="50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5">
        <f>C27+C32+C33+C34+C35+C29+C31+C30+C36+C37</f>
        <v/>
      </c>
      <c r="D38" s="7" t="n"/>
      <c r="E38" s="42">
        <f>C38/$C$40</f>
        <v/>
      </c>
    </row>
    <row r="39" ht="13.5" customHeight="1">
      <c r="B39" s="7" t="inlineStr">
        <is>
          <t>Непредвиденные расходы</t>
        </is>
      </c>
      <c r="C39" s="43">
        <f>ROUND(C38*3%,2)</f>
        <v/>
      </c>
      <c r="D39" s="7" t="n"/>
      <c r="E39" s="42">
        <f>C39/$C$38</f>
        <v/>
      </c>
    </row>
    <row r="40">
      <c r="B40" s="7" t="inlineStr">
        <is>
          <t>ВСЕГО:</t>
        </is>
      </c>
      <c r="C40" s="43">
        <f>C39+C38</f>
        <v/>
      </c>
      <c r="D40" s="7" t="n"/>
      <c r="E40" s="42">
        <f>C40/$C$40</f>
        <v/>
      </c>
    </row>
    <row r="41">
      <c r="B41" s="7" t="inlineStr">
        <is>
          <t>ИТОГО ПОКАЗАТЕЛЬ НА ЕД. ИЗМ.</t>
        </is>
      </c>
      <c r="C41" s="43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5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5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13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0" t="n"/>
      <c r="J2" s="53" t="inlineStr">
        <is>
          <t>Приложение №5</t>
        </is>
      </c>
    </row>
    <row r="3">
      <c r="A3" s="86" t="n"/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</row>
    <row r="4" ht="12.75" customFormat="1" customHeight="1" s="6">
      <c r="A4" s="169" t="inlineStr">
        <is>
          <t>Расчет стоимости СМР и оборудования</t>
        </is>
      </c>
      <c r="I4" s="169" t="n"/>
      <c r="J4" s="169" t="n"/>
    </row>
    <row r="5" ht="12.75" customFormat="1" customHeight="1" s="6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ht="26.25" customFormat="1" customHeight="1" s="6">
      <c r="A6" s="170" t="inlineStr">
        <is>
          <t>Наименование разрабатываемого показателя УНЦ</t>
        </is>
      </c>
      <c r="D6" s="88" t="inlineStr">
        <is>
          <t>Ячейка выключателя КРУ с элегазовой изоляцией 6-15кВ, ном.ток 1250А, ном.ток отключения 20кА</t>
        </is>
      </c>
      <c r="E6" s="88" t="n"/>
      <c r="F6" s="88" t="n"/>
      <c r="G6" s="88" t="n"/>
      <c r="H6" s="88" t="n"/>
      <c r="I6" s="88" t="n"/>
      <c r="J6" s="88" t="n"/>
    </row>
    <row r="7" ht="12.75" customFormat="1" customHeight="1" s="6">
      <c r="A7" s="170" t="inlineStr">
        <is>
          <t>Единица измерения  — 1 ячейка</t>
        </is>
      </c>
      <c r="I7" s="168" t="n"/>
      <c r="J7" s="168" t="n"/>
    </row>
    <row r="8" ht="12.75" customFormat="1" customHeight="1" s="6">
      <c r="A8" s="90" t="n"/>
      <c r="B8" s="90" t="n"/>
      <c r="C8" s="90" t="n"/>
      <c r="D8" s="90" t="n"/>
      <c r="E8" s="90" t="n"/>
      <c r="F8" s="90" t="n"/>
      <c r="G8" s="90" t="n"/>
      <c r="H8" s="90" t="n"/>
      <c r="I8" s="90" t="n"/>
      <c r="J8" s="90" t="n"/>
    </row>
    <row r="9" ht="27" customHeight="1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91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91" t="n"/>
    </row>
    <row r="10" ht="28.5" customHeight="1">
      <c r="A10" s="193" t="n"/>
      <c r="B10" s="193" t="n"/>
      <c r="C10" s="193" t="n"/>
      <c r="D10" s="193" t="n"/>
      <c r="E10" s="193" t="n"/>
      <c r="F10" s="157" t="inlineStr">
        <is>
          <t>на ед. изм.</t>
        </is>
      </c>
      <c r="G10" s="157" t="inlineStr">
        <is>
          <t>общая</t>
        </is>
      </c>
      <c r="H10" s="193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47" t="inlineStr">
        <is>
          <t>Затраты труда рабочих-строителей</t>
        </is>
      </c>
      <c r="C12" s="190" t="n"/>
      <c r="D12" s="190" t="n"/>
      <c r="E12" s="190" t="n"/>
      <c r="F12" s="190" t="n"/>
      <c r="G12" s="190" t="n"/>
      <c r="H12" s="191" t="n"/>
      <c r="I12" s="92" t="n"/>
      <c r="J12" s="92" t="n"/>
      <c r="L12" s="80" t="n"/>
    </row>
    <row r="13" ht="25.5" customHeight="1">
      <c r="A13" s="157" t="n">
        <v>1</v>
      </c>
      <c r="B13" s="93" t="inlineStr">
        <is>
          <t>1-4-0</t>
        </is>
      </c>
      <c r="C13" s="156" t="inlineStr">
        <is>
          <t>Затраты труда рабочих (средний разряд работы 4,0)</t>
        </is>
      </c>
      <c r="D13" s="157" t="inlineStr">
        <is>
          <t>чел.-ч.</t>
        </is>
      </c>
      <c r="E13" s="204">
        <f>G13/F13</f>
        <v/>
      </c>
      <c r="F13" s="96" t="n">
        <v>9.4</v>
      </c>
      <c r="G13" s="96" t="n">
        <v>749.76</v>
      </c>
      <c r="H13" s="166">
        <f>G13/G14</f>
        <v/>
      </c>
      <c r="I13" s="96">
        <f>'ФОТр.тек.'!E13</f>
        <v/>
      </c>
      <c r="J13" s="96">
        <f>ROUND(I13*E13,2)</f>
        <v/>
      </c>
    </row>
    <row r="14" ht="25.5" customFormat="1" customHeight="1" s="1">
      <c r="A14" s="157" t="n"/>
      <c r="B14" s="157" t="n"/>
      <c r="C14" s="147" t="inlineStr">
        <is>
          <t>Итого по разделу "Затраты труда рабочих-строителей"</t>
        </is>
      </c>
      <c r="D14" s="157" t="inlineStr">
        <is>
          <t>чел.-ч.</t>
        </is>
      </c>
      <c r="E14" s="204">
        <f>SUM(E13:E13)</f>
        <v/>
      </c>
      <c r="F14" s="96" t="n"/>
      <c r="G14" s="96">
        <f>SUM(G13:G13)</f>
        <v/>
      </c>
      <c r="H14" s="166" t="n">
        <v>1</v>
      </c>
      <c r="I14" s="96" t="n"/>
      <c r="J14" s="96">
        <f>SUM(J13:J13)</f>
        <v/>
      </c>
      <c r="K14" s="205" t="n"/>
      <c r="L14" s="81" t="n"/>
    </row>
    <row r="15" ht="14.25" customFormat="1" customHeight="1" s="1">
      <c r="A15" s="157" t="n"/>
      <c r="B15" s="156" t="inlineStr">
        <is>
          <t>Затраты труда машинистов</t>
        </is>
      </c>
      <c r="C15" s="190" t="n"/>
      <c r="D15" s="190" t="n"/>
      <c r="E15" s="190" t="n"/>
      <c r="F15" s="190" t="n"/>
      <c r="G15" s="190" t="n"/>
      <c r="H15" s="191" t="n"/>
      <c r="I15" s="92" t="n"/>
      <c r="J15" s="92" t="n"/>
    </row>
    <row r="16" ht="14.25" customFormat="1" customHeight="1" s="1">
      <c r="A16" s="157" t="n">
        <v>2</v>
      </c>
      <c r="B16" s="157" t="n">
        <v>2</v>
      </c>
      <c r="C16" s="156" t="inlineStr">
        <is>
          <t>Затраты труда машинистов</t>
        </is>
      </c>
      <c r="D16" s="157" t="inlineStr">
        <is>
          <t>чел.-ч.</t>
        </is>
      </c>
      <c r="E16" s="204" t="n">
        <v>21.9884375</v>
      </c>
      <c r="F16" s="96" t="n">
        <v>11.85</v>
      </c>
      <c r="G16" s="96">
        <f>ROUND(E16*F16,2)</f>
        <v/>
      </c>
      <c r="H16" s="166" t="n">
        <v>1</v>
      </c>
      <c r="I16" s="96">
        <f>ROUND(F16*Прил.10!D10,2)</f>
        <v/>
      </c>
      <c r="J16" s="96">
        <f>ROUND(I16*E16,2)</f>
        <v/>
      </c>
      <c r="L16" s="48" t="n"/>
    </row>
    <row r="17" ht="14.25" customFormat="1" customHeight="1" s="1">
      <c r="A17" s="157" t="n"/>
      <c r="B17" s="147" t="inlineStr">
        <is>
          <t>Машины и механизмы</t>
        </is>
      </c>
      <c r="C17" s="190" t="n"/>
      <c r="D17" s="190" t="n"/>
      <c r="E17" s="190" t="n"/>
      <c r="F17" s="190" t="n"/>
      <c r="G17" s="190" t="n"/>
      <c r="H17" s="191" t="n"/>
      <c r="I17" s="166" t="n"/>
      <c r="J17" s="166" t="n"/>
      <c r="L17" s="80" t="n"/>
    </row>
    <row r="18" ht="14.25" customFormat="1" customHeight="1" s="1">
      <c r="A18" s="157" t="n"/>
      <c r="B18" s="156" t="inlineStr">
        <is>
          <t>Основные машины и механизмы</t>
        </is>
      </c>
      <c r="C18" s="190" t="n"/>
      <c r="D18" s="190" t="n"/>
      <c r="E18" s="190" t="n"/>
      <c r="F18" s="190" t="n"/>
      <c r="G18" s="190" t="n"/>
      <c r="H18" s="191" t="n"/>
      <c r="I18" s="92" t="n"/>
      <c r="J18" s="92" t="n"/>
    </row>
    <row r="19" ht="25.5" customFormat="1" customHeight="1" s="1">
      <c r="A19" s="157" t="n">
        <v>3</v>
      </c>
      <c r="B19" s="93" t="inlineStr">
        <is>
          <t>91.06.03-058</t>
        </is>
      </c>
      <c r="C19" s="156" t="inlineStr">
        <is>
          <t>Лебедки электрические тяговым усилием 156,96 кН (16 т)</t>
        </is>
      </c>
      <c r="D19" s="157" t="inlineStr">
        <is>
          <t>маш.час</t>
        </is>
      </c>
      <c r="E19" s="99" t="n">
        <v>15.538125</v>
      </c>
      <c r="F19" s="100" t="n">
        <v>131.44</v>
      </c>
      <c r="G19" s="96">
        <f>ROUND(E19*F19,2)</f>
        <v/>
      </c>
      <c r="H19" s="166">
        <f>G19/$G$30</f>
        <v/>
      </c>
      <c r="I19" s="96">
        <f>ROUND(F19*Прил.10!$D$11,2)</f>
        <v/>
      </c>
      <c r="J19" s="96">
        <f>ROUND(I19*E19,2)</f>
        <v/>
      </c>
    </row>
    <row r="20" ht="25.5" customFormat="1" customHeight="1" s="1">
      <c r="A20" s="157" t="n">
        <v>4</v>
      </c>
      <c r="B20" s="93" t="inlineStr">
        <is>
          <t>91.05.05-014</t>
        </is>
      </c>
      <c r="C20" s="156" t="inlineStr">
        <is>
          <t>Краны на автомобильном ходу, грузоподъемность 10 т</t>
        </is>
      </c>
      <c r="D20" s="157" t="inlineStr">
        <is>
          <t>маш.час</t>
        </is>
      </c>
      <c r="E20" s="204" t="n">
        <v>3.1253125</v>
      </c>
      <c r="F20" s="100" t="n">
        <v>111.99</v>
      </c>
      <c r="G20" s="96">
        <f>ROUND(E20*F20,2)</f>
        <v/>
      </c>
      <c r="H20" s="166">
        <f>G20/$G$30</f>
        <v/>
      </c>
      <c r="I20" s="96">
        <f>ROUND(F20*Прил.10!$D$11,2)</f>
        <v/>
      </c>
      <c r="J20" s="96">
        <f>ROUND(I20*E20,2)</f>
        <v/>
      </c>
    </row>
    <row r="21" ht="14.25" customFormat="1" customHeight="1" s="1">
      <c r="A21" s="157" t="n"/>
      <c r="B21" s="157" t="n"/>
      <c r="C21" s="156" t="inlineStr">
        <is>
          <t>Итого основные машины и механизмы</t>
        </is>
      </c>
      <c r="D21" s="157" t="n"/>
      <c r="E21" s="206" t="n"/>
      <c r="F21" s="96" t="n"/>
      <c r="G21" s="96">
        <f>SUM(G19:G20)</f>
        <v/>
      </c>
      <c r="H21" s="166">
        <f>G21/G30</f>
        <v/>
      </c>
      <c r="I21" s="96" t="n"/>
      <c r="J21" s="96">
        <f>SUM(J19:J20)</f>
        <v/>
      </c>
      <c r="L21" s="205" t="n"/>
    </row>
    <row r="22" hidden="1" outlineLevel="1" ht="25.5" customFormat="1" customHeight="1" s="1">
      <c r="A22" s="157" t="n">
        <v>5</v>
      </c>
      <c r="B22" s="93" t="inlineStr">
        <is>
          <t>91.14.02-001</t>
        </is>
      </c>
      <c r="C22" s="156" t="inlineStr">
        <is>
          <t>Автомобили бортовые, грузоподъемность: до 5 т</t>
        </is>
      </c>
      <c r="D22" s="157" t="inlineStr">
        <is>
          <t>маш.час</t>
        </is>
      </c>
      <c r="E22" s="99" t="n">
        <v>3.096875</v>
      </c>
      <c r="F22" s="100" t="n">
        <v>65.70999999999999</v>
      </c>
      <c r="G22" s="96">
        <f>ROUND(E22*F22,2)</f>
        <v/>
      </c>
      <c r="H22" s="166">
        <f>G22/$G$30</f>
        <v/>
      </c>
      <c r="I22" s="96">
        <f>ROUND(F22*Прил.10!$D$11,2)</f>
        <v/>
      </c>
      <c r="J22" s="96">
        <f>ROUND(I22*E22,2)</f>
        <v/>
      </c>
      <c r="L22" s="205" t="n"/>
    </row>
    <row r="23" hidden="1" outlineLevel="1" ht="25.5" customFormat="1" customHeight="1" s="1">
      <c r="A23" s="157" t="n">
        <v>6</v>
      </c>
      <c r="B23" s="93" t="inlineStr">
        <is>
          <t>91.17.04-161</t>
        </is>
      </c>
      <c r="C23" s="156" t="inlineStr">
        <is>
          <t>Полуавтоматы сварочные номинальным сварочным током 40-500 А</t>
        </is>
      </c>
      <c r="D23" s="157" t="inlineStr">
        <is>
          <t>маш.час</t>
        </is>
      </c>
      <c r="E23" s="102" t="n">
        <v>3.5625</v>
      </c>
      <c r="F23" s="100" t="n">
        <v>16.44</v>
      </c>
      <c r="G23" s="96">
        <f>ROUND(E23*F23,2)</f>
        <v/>
      </c>
      <c r="H23" s="166">
        <f>G23/$G$30</f>
        <v/>
      </c>
      <c r="I23" s="96">
        <f>ROUND(F23*Прил.10!$D$11,2)</f>
        <v/>
      </c>
      <c r="J23" s="96">
        <f>ROUND(I23*E23,2)</f>
        <v/>
      </c>
      <c r="L23" s="205" t="n"/>
    </row>
    <row r="24" hidden="1" outlineLevel="1" ht="14.25" customFormat="1" customHeight="1" s="1">
      <c r="A24" s="157" t="n">
        <v>7</v>
      </c>
      <c r="B24" s="93" t="inlineStr">
        <is>
          <t>91.21.22-438</t>
        </is>
      </c>
      <c r="C24" s="156" t="inlineStr">
        <is>
          <t>Установка: передвижная цеолитовая</t>
        </is>
      </c>
      <c r="D24" s="157" t="inlineStr">
        <is>
          <t>маш.час</t>
        </is>
      </c>
      <c r="E24" s="99" t="n">
        <v>0.9875</v>
      </c>
      <c r="F24" s="100" t="n">
        <v>38.65</v>
      </c>
      <c r="G24" s="96">
        <f>ROUND(E24*F24,2)</f>
        <v/>
      </c>
      <c r="H24" s="166">
        <f>G24/$G$30</f>
        <v/>
      </c>
      <c r="I24" s="96">
        <f>ROUND(F24*Прил.10!$D$11,2)</f>
        <v/>
      </c>
      <c r="J24" s="96">
        <f>ROUND(I24*E24,2)</f>
        <v/>
      </c>
      <c r="L24" s="205" t="n"/>
    </row>
    <row r="25" hidden="1" outlineLevel="1" ht="14.25" customFormat="1" customHeight="1" s="1">
      <c r="A25" s="157" t="n">
        <v>8</v>
      </c>
      <c r="B25" s="93" t="inlineStr">
        <is>
          <t>91.19.12-021</t>
        </is>
      </c>
      <c r="C25" s="156" t="inlineStr">
        <is>
          <t>Насос вакуумный: 3,6 м3/мин</t>
        </is>
      </c>
      <c r="D25" s="157" t="inlineStr">
        <is>
          <t>маш.час</t>
        </is>
      </c>
      <c r="E25" s="99" t="n">
        <v>3.8875</v>
      </c>
      <c r="F25" s="100" t="n">
        <v>6.28</v>
      </c>
      <c r="G25" s="96">
        <f>ROUND(E25*F25,2)</f>
        <v/>
      </c>
      <c r="H25" s="166">
        <f>G25/$G$30</f>
        <v/>
      </c>
      <c r="I25" s="96">
        <f>ROUND(F25*Прил.10!$D$11,2)</f>
        <v/>
      </c>
      <c r="J25" s="96">
        <f>ROUND(I25*E25,2)</f>
        <v/>
      </c>
      <c r="L25" s="205" t="n"/>
    </row>
    <row r="26" hidden="1" outlineLevel="1" ht="25.5" customFormat="1" customHeight="1" s="1">
      <c r="A26" s="157" t="n">
        <v>9</v>
      </c>
      <c r="B26" s="93" t="inlineStr">
        <is>
          <t>91.21.22-091</t>
        </is>
      </c>
      <c r="C26" s="156" t="inlineStr">
        <is>
          <t>Выпрямитель полупроводниковый для подогрева трансформаторов</t>
        </is>
      </c>
      <c r="D26" s="157" t="inlineStr">
        <is>
          <t>маш.час</t>
        </is>
      </c>
      <c r="E26" s="99" t="n">
        <v>4.7125</v>
      </c>
      <c r="F26" s="100" t="n">
        <v>3.82</v>
      </c>
      <c r="G26" s="96">
        <f>ROUND(E26*F26,2)</f>
        <v/>
      </c>
      <c r="H26" s="166">
        <f>G26/$G$30</f>
        <v/>
      </c>
      <c r="I26" s="96">
        <f>ROUND(F26*Прил.10!$D$11,2)</f>
        <v/>
      </c>
      <c r="J26" s="96">
        <f>ROUND(I26*E26,2)</f>
        <v/>
      </c>
      <c r="L26" s="205" t="n"/>
    </row>
    <row r="27" hidden="1" outlineLevel="1" ht="25.5" customFormat="1" customHeight="1" s="1">
      <c r="A27" s="157" t="n">
        <v>10</v>
      </c>
      <c r="B27" s="93" t="inlineStr">
        <is>
          <t>91.19.02-002</t>
        </is>
      </c>
      <c r="C27" s="156" t="inlineStr">
        <is>
          <t>Маслонасосы шестеренные, производительность м3/час: 2,3</t>
        </is>
      </c>
      <c r="D27" s="157" t="inlineStr">
        <is>
          <t>маш.час</t>
        </is>
      </c>
      <c r="E27" s="99" t="n">
        <v>0.2475</v>
      </c>
      <c r="F27" s="100" t="n">
        <v>0.9</v>
      </c>
      <c r="G27" s="96">
        <f>ROUND(E27*F27,2)</f>
        <v/>
      </c>
      <c r="H27" s="166">
        <f>G27/$G$30</f>
        <v/>
      </c>
      <c r="I27" s="96">
        <f>ROUND(F27*Прил.10!$D$11,2)</f>
        <v/>
      </c>
      <c r="J27" s="96">
        <f>ROUND(I27*E27,2)</f>
        <v/>
      </c>
      <c r="L27" s="205" t="n"/>
    </row>
    <row r="28" hidden="1" outlineLevel="1" ht="25.5" customFormat="1" customHeight="1" s="1">
      <c r="A28" s="157" t="n">
        <v>11</v>
      </c>
      <c r="B28" s="93" t="inlineStr">
        <is>
          <t>91.17.04-233</t>
        </is>
      </c>
      <c r="C28" s="156" t="inlineStr">
        <is>
          <t>Установки для сварки: ручной дуговой (постоянного тока)</t>
        </is>
      </c>
      <c r="D28" s="157" t="inlineStr">
        <is>
          <t>маш.час</t>
        </is>
      </c>
      <c r="E28" s="99" t="n">
        <v>0.0125</v>
      </c>
      <c r="F28" s="100" t="n">
        <v>8.1</v>
      </c>
      <c r="G28" s="96">
        <f>ROUND(E28*F28,2)</f>
        <v/>
      </c>
      <c r="H28" s="166">
        <f>G28/$G$30</f>
        <v/>
      </c>
      <c r="I28" s="96">
        <f>ROUND(F28*Прил.10!$D$11,2)</f>
        <v/>
      </c>
      <c r="J28" s="96">
        <f>ROUND(I28*E28,2)</f>
        <v/>
      </c>
      <c r="L28" s="205" t="n"/>
    </row>
    <row r="29" collapsed="1" ht="14.25" customFormat="1" customHeight="1" s="1">
      <c r="A29" s="157" t="n"/>
      <c r="B29" s="157" t="n"/>
      <c r="C29" s="156" t="inlineStr">
        <is>
          <t>Итого прочие машины и механизмы</t>
        </is>
      </c>
      <c r="D29" s="157" t="n"/>
      <c r="E29" s="158" t="n"/>
      <c r="F29" s="96" t="n"/>
      <c r="G29" s="96">
        <f>SUM(G22:G28)</f>
        <v/>
      </c>
      <c r="H29" s="166">
        <f>G29/G30</f>
        <v/>
      </c>
      <c r="I29" s="96" t="n"/>
      <c r="J29" s="96">
        <f>SUM(J22:J28)</f>
        <v/>
      </c>
      <c r="K29" s="205" t="n"/>
      <c r="L29" s="80" t="n"/>
    </row>
    <row r="30" ht="25.5" customFormat="1" customHeight="1" s="1">
      <c r="A30" s="157" t="n"/>
      <c r="B30" s="171" t="n"/>
      <c r="C30" s="105" t="inlineStr">
        <is>
          <t>Итого по разделу «Машины и механизмы»</t>
        </is>
      </c>
      <c r="D30" s="171" t="n"/>
      <c r="E30" s="106" t="n"/>
      <c r="F30" s="107" t="n"/>
      <c r="G30" s="107">
        <f>G21+G29</f>
        <v/>
      </c>
      <c r="H30" s="108" t="n">
        <v>1</v>
      </c>
      <c r="I30" s="107" t="n"/>
      <c r="J30" s="107">
        <f>J21+J29</f>
        <v/>
      </c>
    </row>
    <row r="31">
      <c r="A31" s="164" t="n"/>
      <c r="B31" s="147" t="inlineStr">
        <is>
          <t xml:space="preserve">Оборудование </t>
        </is>
      </c>
      <c r="C31" s="190" t="n"/>
      <c r="D31" s="190" t="n"/>
      <c r="E31" s="190" t="n"/>
      <c r="F31" s="190" t="n"/>
      <c r="G31" s="190" t="n"/>
      <c r="H31" s="190" t="n"/>
      <c r="I31" s="190" t="n"/>
      <c r="J31" s="191" t="n"/>
    </row>
    <row r="32" ht="15" customHeight="1">
      <c r="A32" s="157" t="n"/>
      <c r="B32" s="167" t="inlineStr">
        <is>
          <t>Основное оборудование</t>
        </is>
      </c>
    </row>
    <row r="33" ht="38.25" customHeight="1">
      <c r="A33" s="157" t="n">
        <v>12</v>
      </c>
      <c r="B33" s="93" t="inlineStr">
        <is>
          <t>БЦ.77.13</t>
        </is>
      </c>
      <c r="C33" s="156" t="inlineStr">
        <is>
          <t>Ячейка выключателя КРУ с элегазовой изоляцией 6-15кВ, ном.ток 1250А, ном.ток отключения 20кА</t>
        </is>
      </c>
      <c r="D33" s="157" t="inlineStr">
        <is>
          <t>шт.</t>
        </is>
      </c>
      <c r="E33" s="204" t="n">
        <v>1</v>
      </c>
      <c r="F33" s="96">
        <f>ROUND(I33/Прил.10!$D$13,2)</f>
        <v/>
      </c>
      <c r="G33" s="96">
        <f>ROUND(E33*F33,2)</f>
        <v/>
      </c>
      <c r="H33" s="166">
        <f>G33/$G$38</f>
        <v/>
      </c>
      <c r="I33" s="96" t="n">
        <v>2080000</v>
      </c>
      <c r="J33" s="96">
        <f>ROUND(I33*E33,2)</f>
        <v/>
      </c>
      <c r="L33" s="82" t="n"/>
    </row>
    <row r="34">
      <c r="A34" s="157" t="n"/>
      <c r="B34" s="157" t="n"/>
      <c r="C34" s="156" t="inlineStr">
        <is>
          <t>Итого основное оборудование</t>
        </is>
      </c>
      <c r="D34" s="157" t="n"/>
      <c r="E34" s="204" t="n"/>
      <c r="F34" s="159" t="n"/>
      <c r="G34" s="96">
        <f>SUM(G33:G33)</f>
        <v/>
      </c>
      <c r="H34" s="166">
        <f>G34/$G$38</f>
        <v/>
      </c>
      <c r="I34" s="96" t="n"/>
      <c r="J34" s="96">
        <f>SUM(J33:J33)</f>
        <v/>
      </c>
      <c r="K34" s="205" t="n"/>
    </row>
    <row r="35" hidden="1" outlineLevel="1">
      <c r="A35" s="157" t="n"/>
      <c r="B35" s="157" t="n"/>
      <c r="C35" s="156" t="n"/>
      <c r="D35" s="157" t="n"/>
      <c r="E35" s="204" t="n"/>
      <c r="F35" s="159" t="n"/>
      <c r="G35" s="96">
        <f>ROUND(E35*F35,2)</f>
        <v/>
      </c>
      <c r="H35" s="166">
        <f>G35/$G$38</f>
        <v/>
      </c>
      <c r="I35" s="96">
        <f>ROUND(F35*Прил.10!$D$13,2)</f>
        <v/>
      </c>
      <c r="J35" s="96">
        <f>ROUND(I35*E35,2)</f>
        <v/>
      </c>
      <c r="K35" s="205" t="n"/>
    </row>
    <row r="36" hidden="1" outlineLevel="1">
      <c r="A36" s="157" t="n"/>
      <c r="B36" s="157" t="n"/>
      <c r="C36" s="156" t="n"/>
      <c r="D36" s="157" t="n"/>
      <c r="E36" s="204" t="n"/>
      <c r="F36" s="159" t="n"/>
      <c r="G36" s="96">
        <f>ROUND(E36*F36,2)</f>
        <v/>
      </c>
      <c r="H36" s="166">
        <f>G36/$G$38</f>
        <v/>
      </c>
      <c r="I36" s="96">
        <f>ROUND(F36*Прил.10!$D$13,2)</f>
        <v/>
      </c>
      <c r="J36" s="96">
        <f>ROUND(I36*E36,2)</f>
        <v/>
      </c>
      <c r="K36" s="205" t="n"/>
    </row>
    <row r="37" collapsed="1">
      <c r="A37" s="157" t="n"/>
      <c r="B37" s="157" t="n"/>
      <c r="C37" s="156" t="inlineStr">
        <is>
          <t>Итого прочее оборудование</t>
        </is>
      </c>
      <c r="D37" s="157" t="n"/>
      <c r="E37" s="158" t="n"/>
      <c r="F37" s="159" t="n"/>
      <c r="G37" s="96">
        <f>SUM(G35:G36)</f>
        <v/>
      </c>
      <c r="H37" s="166">
        <f>G37/$G$38</f>
        <v/>
      </c>
      <c r="I37" s="96" t="n"/>
      <c r="J37" s="96">
        <f>SUM(J35:J36)</f>
        <v/>
      </c>
      <c r="K37" s="205" t="n"/>
      <c r="L37" s="80" t="n"/>
    </row>
    <row r="38">
      <c r="A38" s="157" t="n"/>
      <c r="B38" s="157" t="n"/>
      <c r="C38" s="147" t="inlineStr">
        <is>
          <t>Итого по разделу «Оборудование»</t>
        </is>
      </c>
      <c r="D38" s="157" t="n"/>
      <c r="E38" s="158" t="n"/>
      <c r="F38" s="159" t="n"/>
      <c r="G38" s="96">
        <f>G34+G37</f>
        <v/>
      </c>
      <c r="H38" s="166">
        <f>(G34+G37)/G38</f>
        <v/>
      </c>
      <c r="I38" s="96" t="n"/>
      <c r="J38" s="96">
        <f>J37+J34</f>
        <v/>
      </c>
      <c r="K38" s="205" t="n"/>
    </row>
    <row r="39" ht="25.5" customHeight="1">
      <c r="A39" s="157" t="n"/>
      <c r="B39" s="157" t="n"/>
      <c r="C39" s="156" t="inlineStr">
        <is>
          <t>в том числе технологическое оборудование</t>
        </is>
      </c>
      <c r="D39" s="157" t="n"/>
      <c r="E39" s="158" t="n"/>
      <c r="F39" s="159" t="n"/>
      <c r="G39" s="96">
        <f>'Прил.6 Расчет ОБ'!G13</f>
        <v/>
      </c>
      <c r="H39" s="166">
        <f>G39/$G$38</f>
        <v/>
      </c>
      <c r="I39" s="96" t="n"/>
      <c r="J39" s="96">
        <f>ROUND(G39*Прил.10!$D$13,2)</f>
        <v/>
      </c>
      <c r="K39" s="205" t="n"/>
    </row>
    <row r="40" ht="14.25" customFormat="1" customHeight="1" s="1">
      <c r="A40" s="157" t="n"/>
      <c r="B40" s="207" t="inlineStr">
        <is>
          <t>Материалы</t>
        </is>
      </c>
      <c r="J40" s="208" t="n"/>
      <c r="K40" s="205" t="n"/>
    </row>
    <row r="41" ht="14.25" customFormat="1" customHeight="1" s="1">
      <c r="A41" s="157" t="n"/>
      <c r="B41" s="156" t="inlineStr">
        <is>
          <t>Основные материалы</t>
        </is>
      </c>
      <c r="C41" s="190" t="n"/>
      <c r="D41" s="190" t="n"/>
      <c r="E41" s="190" t="n"/>
      <c r="F41" s="190" t="n"/>
      <c r="G41" s="190" t="n"/>
      <c r="H41" s="191" t="n"/>
      <c r="I41" s="166" t="n"/>
      <c r="J41" s="166" t="n"/>
    </row>
    <row r="42" ht="14.25" customFormat="1" customHeight="1" s="1">
      <c r="A42" s="157" t="n">
        <v>13</v>
      </c>
      <c r="B42" s="93" t="inlineStr">
        <is>
          <t>01.1.02.01-0003</t>
        </is>
      </c>
      <c r="C42" s="156" t="inlineStr">
        <is>
          <t>Асботекстолит, марка Г</t>
        </is>
      </c>
      <c r="D42" s="157" t="inlineStr">
        <is>
          <t>т</t>
        </is>
      </c>
      <c r="E42" s="204" t="n">
        <v>0.0255</v>
      </c>
      <c r="F42" s="100" t="n">
        <v>161000</v>
      </c>
      <c r="G42" s="96">
        <f>ROUND(E42*F42,2)</f>
        <v/>
      </c>
      <c r="H42" s="166">
        <f>G42/$G$69</f>
        <v/>
      </c>
      <c r="I42" s="96">
        <f>ROUND(F42*Прил.10!$D$12,2)</f>
        <v/>
      </c>
      <c r="J42" s="96">
        <f>ROUND(I42*E42,2)</f>
        <v/>
      </c>
    </row>
    <row r="43" ht="14.25" customFormat="1" customHeight="1" s="1">
      <c r="A43" s="157" t="n">
        <v>14</v>
      </c>
      <c r="B43" s="93" t="inlineStr">
        <is>
          <t>01.3.02.02-0001</t>
        </is>
      </c>
      <c r="C43" s="156" t="inlineStr">
        <is>
          <t>Аргон газообразный, сорт I</t>
        </is>
      </c>
      <c r="D43" s="157" t="inlineStr">
        <is>
          <t>м3</t>
        </is>
      </c>
      <c r="E43" s="204" t="n">
        <v>121.5</v>
      </c>
      <c r="F43" s="100" t="n">
        <v>17.86</v>
      </c>
      <c r="G43" s="96">
        <f>ROUND(E43*F43,2)</f>
        <v/>
      </c>
      <c r="H43" s="166">
        <f>G43/$G$69</f>
        <v/>
      </c>
      <c r="I43" s="96">
        <f>ROUND(F43*Прил.10!$D$12,2)</f>
        <v/>
      </c>
      <c r="J43" s="96">
        <f>ROUND(I43*E43,2)</f>
        <v/>
      </c>
    </row>
    <row r="44" ht="25.5" customFormat="1" customHeight="1" s="1">
      <c r="A44" s="157" t="n">
        <v>15</v>
      </c>
      <c r="B44" s="93" t="inlineStr">
        <is>
          <t>21.1.08.03-0078</t>
        </is>
      </c>
      <c r="C44" s="156" t="inlineStr">
        <is>
          <t>Кабель контрольный КВВГЭнг(A)-FRLS 5х2,5</t>
        </is>
      </c>
      <c r="D44" s="157" t="inlineStr">
        <is>
          <t>1000 м</t>
        </is>
      </c>
      <c r="E44" s="204" t="n">
        <v>0.05</v>
      </c>
      <c r="F44" s="100" t="n">
        <v>36884.36</v>
      </c>
      <c r="G44" s="96">
        <f>ROUND(E44*F44,2)</f>
        <v/>
      </c>
      <c r="H44" s="166">
        <f>G44/$G$69</f>
        <v/>
      </c>
      <c r="I44" s="96">
        <f>ROUND(F44*Прил.10!$D$12,2)</f>
        <v/>
      </c>
      <c r="J44" s="96">
        <f>ROUND(I44*E44,2)</f>
        <v/>
      </c>
    </row>
    <row r="45" ht="25.5" customFormat="1" customHeight="1" s="1">
      <c r="A45" s="157" t="n">
        <v>16</v>
      </c>
      <c r="B45" s="93" t="inlineStr">
        <is>
          <t>01.1.02.09-0021</t>
        </is>
      </c>
      <c r="C45" s="156" t="inlineStr">
        <is>
          <t>Ткань асбестовая со стеклонитью АСТ-1, толщина 1,8 мм</t>
        </is>
      </c>
      <c r="D45" s="157" t="inlineStr">
        <is>
          <t>т</t>
        </is>
      </c>
      <c r="E45" s="204" t="n">
        <v>0.0268</v>
      </c>
      <c r="F45" s="100" t="n">
        <v>66860</v>
      </c>
      <c r="G45" s="96">
        <f>ROUND(E45*F45,2)</f>
        <v/>
      </c>
      <c r="H45" s="166">
        <f>G45/$G$69</f>
        <v/>
      </c>
      <c r="I45" s="96">
        <f>ROUND(F45*Прил.10!$D$12,2)</f>
        <v/>
      </c>
      <c r="J45" s="96">
        <f>ROUND(I45*E45,2)</f>
        <v/>
      </c>
    </row>
    <row r="46" ht="25.5" customFormat="1" customHeight="1" s="1">
      <c r="A46" s="157" t="n">
        <v>17</v>
      </c>
      <c r="B46" s="93" t="inlineStr">
        <is>
          <t>01.7.11.04-0002</t>
        </is>
      </c>
      <c r="C46" s="156" t="inlineStr">
        <is>
          <t>Проволока наплавочная ПП-Нп-19СТ, диаметр 3 мм</t>
        </is>
      </c>
      <c r="D46" s="157" t="inlineStr">
        <is>
          <t>т</t>
        </is>
      </c>
      <c r="E46" s="204" t="n">
        <v>0.08699999999999999</v>
      </c>
      <c r="F46" s="100" t="n">
        <v>20300</v>
      </c>
      <c r="G46" s="96">
        <f>ROUND(E46*F46,2)</f>
        <v/>
      </c>
      <c r="H46" s="166">
        <f>G46/$G$69</f>
        <v/>
      </c>
      <c r="I46" s="96">
        <f>ROUND(F46*Прил.10!$D$12,2)</f>
        <v/>
      </c>
      <c r="J46" s="96">
        <f>ROUND(I46*E46,2)</f>
        <v/>
      </c>
    </row>
    <row r="47" ht="38.25" customFormat="1" customHeight="1" s="1">
      <c r="A47" s="157" t="n">
        <v>18</v>
      </c>
      <c r="B47" s="93" t="inlineStr">
        <is>
          <t>25.1.01.04-0012</t>
        </is>
      </c>
      <c r="C47" s="156" t="inlineStr">
        <is>
          <t>Шпалы из древесины хвойных пород для колеи 600 мм, непропитанные, длина 1200 мм, тип II</t>
        </is>
      </c>
      <c r="D47" s="157" t="inlineStr">
        <is>
          <t>шт</t>
        </is>
      </c>
      <c r="E47" s="204" t="n">
        <v>30</v>
      </c>
      <c r="F47" s="100" t="n">
        <v>42.6</v>
      </c>
      <c r="G47" s="96">
        <f>ROUND(E47*F47,2)</f>
        <v/>
      </c>
      <c r="H47" s="166">
        <f>G47/$G$69</f>
        <v/>
      </c>
      <c r="I47" s="96">
        <f>ROUND(F47*Прил.10!$D$12,2)</f>
        <v/>
      </c>
      <c r="J47" s="96">
        <f>ROUND(I47*E47,2)</f>
        <v/>
      </c>
    </row>
    <row r="48" ht="14.25" customFormat="1" customHeight="1" s="1">
      <c r="A48" s="157" t="n">
        <v>19</v>
      </c>
      <c r="B48" s="93" t="inlineStr">
        <is>
          <t>01.3.02.03-0001</t>
        </is>
      </c>
      <c r="C48" s="156" t="inlineStr">
        <is>
          <t>Ацетилен газообразный технический</t>
        </is>
      </c>
      <c r="D48" s="157" t="inlineStr">
        <is>
          <t>м3</t>
        </is>
      </c>
      <c r="E48" s="204" t="n">
        <v>16.5</v>
      </c>
      <c r="F48" s="100" t="n">
        <v>38.51</v>
      </c>
      <c r="G48" s="96">
        <f>ROUND(E48*F48,2)</f>
        <v/>
      </c>
      <c r="H48" s="166">
        <f>G48/$G$69</f>
        <v/>
      </c>
      <c r="I48" s="96">
        <f>ROUND(F48*Прил.10!$D$12,2)</f>
        <v/>
      </c>
      <c r="J48" s="96">
        <f>ROUND(I48*E48,2)</f>
        <v/>
      </c>
    </row>
    <row r="49" ht="25.5" customFormat="1" customHeight="1" s="1">
      <c r="A49" s="157" t="n">
        <v>20</v>
      </c>
      <c r="B49" s="93" t="inlineStr">
        <is>
          <t>01.7.02.06-0017</t>
        </is>
      </c>
      <c r="C49" s="156" t="inlineStr">
        <is>
          <t>Картон строительный прокладочный, марка Б</t>
        </is>
      </c>
      <c r="D49" s="157" t="inlineStr">
        <is>
          <t>т</t>
        </is>
      </c>
      <c r="E49" s="204" t="n">
        <v>0.03</v>
      </c>
      <c r="F49" s="100" t="n">
        <v>19800</v>
      </c>
      <c r="G49" s="96">
        <f>ROUND(E49*F49,2)</f>
        <v/>
      </c>
      <c r="H49" s="166">
        <f>G49/$G$69</f>
        <v/>
      </c>
      <c r="I49" s="96">
        <f>ROUND(F49*Прил.10!$D$12,2)</f>
        <v/>
      </c>
      <c r="J49" s="96">
        <f>ROUND(I49*E49,2)</f>
        <v/>
      </c>
    </row>
    <row r="50" ht="14.25" customFormat="1" customHeight="1" s="1">
      <c r="A50" s="157" t="n">
        <v>21</v>
      </c>
      <c r="B50" s="93" t="inlineStr">
        <is>
          <t>14.4.02.09-0001</t>
        </is>
      </c>
      <c r="C50" s="156" t="inlineStr">
        <is>
          <t>Краска</t>
        </is>
      </c>
      <c r="D50" s="157" t="inlineStr">
        <is>
          <t>кг</t>
        </is>
      </c>
      <c r="E50" s="204" t="n">
        <v>15.2</v>
      </c>
      <c r="F50" s="100" t="n">
        <v>28.6</v>
      </c>
      <c r="G50" s="96">
        <f>ROUND(E50*F50,2)</f>
        <v/>
      </c>
      <c r="H50" s="166">
        <f>G50/$G$69</f>
        <v/>
      </c>
      <c r="I50" s="96">
        <f>ROUND(F50*Прил.10!$D$12,2)</f>
        <v/>
      </c>
      <c r="J50" s="96">
        <f>ROUND(I50*E50,2)</f>
        <v/>
      </c>
    </row>
    <row r="51" ht="14.25" customFormat="1" customHeight="1" s="1">
      <c r="A51" s="157" t="n"/>
      <c r="B51" s="157" t="n"/>
      <c r="C51" s="156" t="inlineStr">
        <is>
          <t>Итого основные материалы</t>
        </is>
      </c>
      <c r="D51" s="157" t="n"/>
      <c r="E51" s="204" t="n"/>
      <c r="F51" s="159" t="n"/>
      <c r="G51" s="96">
        <f>SUM(G42:G50)</f>
        <v/>
      </c>
      <c r="H51" s="166">
        <f>G51/$G$69</f>
        <v/>
      </c>
      <c r="I51" s="96" t="n"/>
      <c r="J51" s="96">
        <f>SUM(J42:J50)</f>
        <v/>
      </c>
      <c r="K51" s="205" t="n"/>
    </row>
    <row r="52" hidden="1" outlineLevel="1" ht="25.5" customFormat="1" customHeight="1" s="1">
      <c r="A52" s="157" t="n">
        <v>22</v>
      </c>
      <c r="B52" s="93" t="inlineStr">
        <is>
          <t>999-9950</t>
        </is>
      </c>
      <c r="C52" s="156" t="inlineStr">
        <is>
          <t>Вспомогательные ненормируемые ресурсы</t>
        </is>
      </c>
      <c r="D52" s="157" t="inlineStr">
        <is>
          <t>руб.</t>
        </is>
      </c>
      <c r="E52" s="204" t="n">
        <v>478.05</v>
      </c>
      <c r="F52" s="100" t="n">
        <v>1</v>
      </c>
      <c r="G52" s="96">
        <f>ROUND(F52*E52,2)</f>
        <v/>
      </c>
      <c r="H52" s="166">
        <f>G52/$G$69</f>
        <v/>
      </c>
      <c r="I52" s="96">
        <f>ROUND(F52*Прил.10!$D$12,2)</f>
        <v/>
      </c>
      <c r="J52" s="96">
        <f>ROUND(I52*E52,2)</f>
        <v/>
      </c>
    </row>
    <row r="53" hidden="1" outlineLevel="1" ht="25.5" customFormat="1" customHeight="1" s="1">
      <c r="A53" s="157" t="n">
        <v>23</v>
      </c>
      <c r="B53" s="93" t="inlineStr">
        <is>
          <t>01.7.19.04-0031</t>
        </is>
      </c>
      <c r="C53" s="156" t="inlineStr">
        <is>
          <t>Прокладки резиновые (пластина техническая прессованная)</t>
        </is>
      </c>
      <c r="D53" s="157" t="inlineStr">
        <is>
          <t>кг</t>
        </is>
      </c>
      <c r="E53" s="204" t="n">
        <v>18.75</v>
      </c>
      <c r="F53" s="100" t="n">
        <v>23.09</v>
      </c>
      <c r="G53" s="96">
        <f>ROUND(F53*E53,2)</f>
        <v/>
      </c>
      <c r="H53" s="166">
        <f>G53/$G$69</f>
        <v/>
      </c>
      <c r="I53" s="96">
        <f>ROUND(F53*Прил.10!$D$12,2)</f>
        <v/>
      </c>
      <c r="J53" s="96">
        <f>ROUND(I53*E53,2)</f>
        <v/>
      </c>
    </row>
    <row r="54" hidden="1" outlineLevel="1" ht="14.25" customFormat="1" customHeight="1" s="1">
      <c r="A54" s="157" t="n">
        <v>24</v>
      </c>
      <c r="B54" s="93" t="inlineStr">
        <is>
          <t>07.2.07.13-0171</t>
        </is>
      </c>
      <c r="C54" s="156" t="inlineStr">
        <is>
          <t>Подкладки металлические</t>
        </is>
      </c>
      <c r="D54" s="157" t="inlineStr">
        <is>
          <t>кг</t>
        </is>
      </c>
      <c r="E54" s="204" t="n">
        <v>30</v>
      </c>
      <c r="F54" s="100" t="n">
        <v>12.6</v>
      </c>
      <c r="G54" s="96">
        <f>ROUND(F54*E54,2)</f>
        <v/>
      </c>
      <c r="H54" s="166">
        <f>G54/$G$69</f>
        <v/>
      </c>
      <c r="I54" s="96">
        <f>ROUND(F54*Прил.10!$D$12,2)</f>
        <v/>
      </c>
      <c r="J54" s="96">
        <f>ROUND(I54*E54,2)</f>
        <v/>
      </c>
    </row>
    <row r="55" hidden="1" outlineLevel="1" ht="38.25" customFormat="1" customHeight="1" s="1">
      <c r="A55" s="157" t="n">
        <v>25</v>
      </c>
      <c r="B55" s="93" t="inlineStr">
        <is>
          <t>11.1.03.05-0085</t>
        </is>
      </c>
      <c r="C55" s="156" t="inlineStr">
        <is>
          <t>Доски необрезные хвойных пород длиной: 4-6,5 м, все ширины, толщиной 44 мм и более, III сорта</t>
        </is>
      </c>
      <c r="D55" s="157" t="inlineStr">
        <is>
          <t>м3</t>
        </is>
      </c>
      <c r="E55" s="204" t="n">
        <v>0.3</v>
      </c>
      <c r="F55" s="100" t="n">
        <v>684</v>
      </c>
      <c r="G55" s="96">
        <f>ROUND(F55*E55,2)</f>
        <v/>
      </c>
      <c r="H55" s="166">
        <f>G55/$G$69</f>
        <v/>
      </c>
      <c r="I55" s="96">
        <f>ROUND(F55*Прил.10!$D$12,2)</f>
        <v/>
      </c>
      <c r="J55" s="96">
        <f>ROUND(I55*E55,2)</f>
        <v/>
      </c>
    </row>
    <row r="56" hidden="1" outlineLevel="1" ht="25.5" customFormat="1" customHeight="1" s="1">
      <c r="A56" s="157" t="n">
        <v>26</v>
      </c>
      <c r="B56" s="93" t="inlineStr">
        <is>
          <t>01.7.15.06-0121</t>
        </is>
      </c>
      <c r="C56" s="156" t="inlineStr">
        <is>
          <t>Гвозди строительные с плоской головкой: 1,6x50 мм</t>
        </is>
      </c>
      <c r="D56" s="157" t="inlineStr">
        <is>
          <t>т</t>
        </is>
      </c>
      <c r="E56" s="204" t="n">
        <v>0.0225</v>
      </c>
      <c r="F56" s="100" t="n">
        <v>8475</v>
      </c>
      <c r="G56" s="96">
        <f>ROUND(F56*E56,2)</f>
        <v/>
      </c>
      <c r="H56" s="166">
        <f>G56/$G$69</f>
        <v/>
      </c>
      <c r="I56" s="96">
        <f>ROUND(F56*Прил.10!$D$12,2)</f>
        <v/>
      </c>
      <c r="J56" s="96">
        <f>ROUND(I56*E56,2)</f>
        <v/>
      </c>
    </row>
    <row r="57" hidden="1" outlineLevel="1" ht="14.25" customFormat="1" customHeight="1" s="1">
      <c r="A57" s="157" t="n">
        <v>27</v>
      </c>
      <c r="B57" s="93" t="inlineStr">
        <is>
          <t>14.5.09.01-0003</t>
        </is>
      </c>
      <c r="C57" s="156" t="inlineStr">
        <is>
          <t>Ацетон технический, сорт высший</t>
        </is>
      </c>
      <c r="D57" s="157" t="inlineStr">
        <is>
          <t>т</t>
        </is>
      </c>
      <c r="E57" s="204" t="n">
        <v>0.018</v>
      </c>
      <c r="F57" s="100" t="n">
        <v>9360</v>
      </c>
      <c r="G57" s="96">
        <f>ROUND(F57*E57,2)</f>
        <v/>
      </c>
      <c r="H57" s="166">
        <f>G57/$G$69</f>
        <v/>
      </c>
      <c r="I57" s="96">
        <f>ROUND(F57*Прил.10!$D$12,2)</f>
        <v/>
      </c>
      <c r="J57" s="96">
        <f>ROUND(I57*E57,2)</f>
        <v/>
      </c>
    </row>
    <row r="58" hidden="1" outlineLevel="1" ht="25.5" customFormat="1" customHeight="1" s="1">
      <c r="A58" s="157" t="n">
        <v>28</v>
      </c>
      <c r="B58" s="93" t="inlineStr">
        <is>
          <t>21.1.06.10-0376</t>
        </is>
      </c>
      <c r="C58" s="156" t="inlineStr">
        <is>
          <t>Кабель силовой с медными жилами ВВГнг(A)-LS 3х2,5ок-1000</t>
        </is>
      </c>
      <c r="D58" s="157" t="inlineStr">
        <is>
          <t>1000 м</t>
        </is>
      </c>
      <c r="E58" s="204" t="n">
        <v>0.01</v>
      </c>
      <c r="F58" s="100" t="n">
        <v>14498.24</v>
      </c>
      <c r="G58" s="96">
        <f>ROUND(F58*E58,2)</f>
        <v/>
      </c>
      <c r="H58" s="166">
        <f>G58/$G$69</f>
        <v/>
      </c>
      <c r="I58" s="96">
        <f>ROUND(F58*Прил.10!$D$12,2)</f>
        <v/>
      </c>
      <c r="J58" s="96">
        <f>ROUND(I58*E58,2)</f>
        <v/>
      </c>
    </row>
    <row r="59" hidden="1" outlineLevel="1" ht="14.25" customFormat="1" customHeight="1" s="1">
      <c r="A59" s="157" t="n">
        <v>29</v>
      </c>
      <c r="B59" s="93" t="inlineStr">
        <is>
          <t>01.7.15.10-0053</t>
        </is>
      </c>
      <c r="C59" s="156" t="inlineStr">
        <is>
          <t>Скобы: металлические</t>
        </is>
      </c>
      <c r="D59" s="157" t="inlineStr">
        <is>
          <t>кг</t>
        </is>
      </c>
      <c r="E59" s="204" t="n">
        <v>21</v>
      </c>
      <c r="F59" s="100" t="n">
        <v>6.4</v>
      </c>
      <c r="G59" s="96">
        <f>ROUND(F59*E59,2)</f>
        <v/>
      </c>
      <c r="H59" s="166">
        <f>G59/$G$69</f>
        <v/>
      </c>
      <c r="I59" s="96">
        <f>ROUND(F59*Прил.10!$D$12,2)</f>
        <v/>
      </c>
      <c r="J59" s="96">
        <f>ROUND(I59*E59,2)</f>
        <v/>
      </c>
    </row>
    <row r="60" hidden="1" outlineLevel="1" ht="14.25" customFormat="1" customHeight="1" s="1">
      <c r="A60" s="157" t="n">
        <v>30</v>
      </c>
      <c r="B60" s="93" t="inlineStr">
        <is>
          <t>01.7.11.07-0034</t>
        </is>
      </c>
      <c r="C60" s="156" t="inlineStr">
        <is>
          <t>Электроды диаметром: 4 мм Э42А</t>
        </is>
      </c>
      <c r="D60" s="157" t="inlineStr">
        <is>
          <t>кг</t>
        </is>
      </c>
      <c r="E60" s="204" t="n">
        <v>12</v>
      </c>
      <c r="F60" s="100" t="n">
        <v>10.57</v>
      </c>
      <c r="G60" s="96">
        <f>ROUND(F60*E60,2)</f>
        <v/>
      </c>
      <c r="H60" s="166">
        <f>G60/$G$69</f>
        <v/>
      </c>
      <c r="I60" s="96">
        <f>ROUND(F60*Прил.10!$D$12,2)</f>
        <v/>
      </c>
      <c r="J60" s="96">
        <f>ROUND(I60*E60,2)</f>
        <v/>
      </c>
    </row>
    <row r="61" hidden="1" outlineLevel="1" ht="14.25" customFormat="1" customHeight="1" s="1">
      <c r="A61" s="157" t="n">
        <v>31</v>
      </c>
      <c r="B61" s="93" t="inlineStr">
        <is>
          <t>01.3.02.08-0001</t>
        </is>
      </c>
      <c r="C61" s="156" t="inlineStr">
        <is>
          <t>Кислород технический: газообразный</t>
        </is>
      </c>
      <c r="D61" s="157" t="inlineStr">
        <is>
          <t>м3</t>
        </is>
      </c>
      <c r="E61" s="204" t="n">
        <v>15.45</v>
      </c>
      <c r="F61" s="100" t="n">
        <v>6.22</v>
      </c>
      <c r="G61" s="96">
        <f>ROUND(F61*E61,2)</f>
        <v/>
      </c>
      <c r="H61" s="166">
        <f>G61/$G$69</f>
        <v/>
      </c>
      <c r="I61" s="96">
        <f>ROUND(F61*Прил.10!$D$12,2)</f>
        <v/>
      </c>
      <c r="J61" s="96">
        <f>ROUND(I61*E61,2)</f>
        <v/>
      </c>
    </row>
    <row r="62" hidden="1" outlineLevel="1" ht="25.5" customFormat="1" customHeight="1" s="1">
      <c r="A62" s="157" t="n">
        <v>32</v>
      </c>
      <c r="B62" s="93" t="inlineStr">
        <is>
          <t>01.3.01.07-0008</t>
        </is>
      </c>
      <c r="C62" s="156" t="inlineStr">
        <is>
          <t>Спирт этиловый ректификованный технический, сорт I</t>
        </is>
      </c>
      <c r="D62" s="157" t="inlineStr">
        <is>
          <t>т</t>
        </is>
      </c>
      <c r="E62" s="204" t="n">
        <v>0.0024</v>
      </c>
      <c r="F62" s="100" t="n">
        <v>38890</v>
      </c>
      <c r="G62" s="96">
        <f>ROUND(F62*E62,2)</f>
        <v/>
      </c>
      <c r="H62" s="166">
        <f>G62/$G$69</f>
        <v/>
      </c>
      <c r="I62" s="96">
        <f>ROUND(F62*Прил.10!$D$12,2)</f>
        <v/>
      </c>
      <c r="J62" s="96">
        <f>ROUND(I62*E62,2)</f>
        <v/>
      </c>
    </row>
    <row r="63" hidden="1" outlineLevel="1" ht="14.25" customFormat="1" customHeight="1" s="1">
      <c r="A63" s="157" t="n">
        <v>33</v>
      </c>
      <c r="B63" s="93" t="inlineStr">
        <is>
          <t>01.7.15.03-0042</t>
        </is>
      </c>
      <c r="C63" s="156" t="inlineStr">
        <is>
          <t>Болты с гайками и шайбами строительные</t>
        </is>
      </c>
      <c r="D63" s="157" t="inlineStr">
        <is>
          <t>кг</t>
        </is>
      </c>
      <c r="E63" s="204" t="n">
        <v>1.29</v>
      </c>
      <c r="F63" s="100" t="n">
        <v>9.039999999999999</v>
      </c>
      <c r="G63" s="96">
        <f>ROUND(F63*E63,2)</f>
        <v/>
      </c>
      <c r="H63" s="166">
        <f>G63/$G$69</f>
        <v/>
      </c>
      <c r="I63" s="96">
        <f>ROUND(F63*Прил.10!$D$12,2)</f>
        <v/>
      </c>
      <c r="J63" s="96">
        <f>ROUND(I63*E63,2)</f>
        <v/>
      </c>
    </row>
    <row r="64" hidden="1" outlineLevel="1" ht="25.5" customFormat="1" customHeight="1" s="1">
      <c r="A64" s="157" t="n">
        <v>34</v>
      </c>
      <c r="B64" s="93" t="inlineStr">
        <is>
          <t>01.3.01.06-0050</t>
        </is>
      </c>
      <c r="C64" s="156" t="inlineStr">
        <is>
          <t>Смазка универсальная тугоплавкая УТ (консталин жировой)</t>
        </is>
      </c>
      <c r="D64" s="157" t="inlineStr">
        <is>
          <t>т</t>
        </is>
      </c>
      <c r="E64" s="204" t="n">
        <v>0.0003</v>
      </c>
      <c r="F64" s="100" t="n">
        <v>17500</v>
      </c>
      <c r="G64" s="96">
        <f>ROUND(F64*E64,2)</f>
        <v/>
      </c>
      <c r="H64" s="166">
        <f>G64/$G$69</f>
        <v/>
      </c>
      <c r="I64" s="96">
        <f>ROUND(F64*Прил.10!$D$12,2)</f>
        <v/>
      </c>
      <c r="J64" s="96">
        <f>ROUND(I64*E64,2)</f>
        <v/>
      </c>
    </row>
    <row r="65" hidden="1" outlineLevel="1" ht="25.5" customFormat="1" customHeight="1" s="1">
      <c r="A65" s="157" t="n">
        <v>35</v>
      </c>
      <c r="B65" s="93" t="inlineStr">
        <is>
          <t>08.3.07.01-0076</t>
        </is>
      </c>
      <c r="C65" s="156" t="inlineStr">
        <is>
          <t>Сталь полосовая, марка стали: Ст3сп шириной 50-200 мм толщиной 4-5 мм</t>
        </is>
      </c>
      <c r="D65" s="157" t="inlineStr">
        <is>
          <t>т</t>
        </is>
      </c>
      <c r="E65" s="204" t="n">
        <v>0.001</v>
      </c>
      <c r="F65" s="100" t="n">
        <v>5000</v>
      </c>
      <c r="G65" s="96">
        <f>ROUND(F65*E65,2)</f>
        <v/>
      </c>
      <c r="H65" s="166">
        <f>G65/$G$69</f>
        <v/>
      </c>
      <c r="I65" s="96">
        <f>ROUND(F65*Прил.10!$D$12,2)</f>
        <v/>
      </c>
      <c r="J65" s="96">
        <f>ROUND(I65*E65,2)</f>
        <v/>
      </c>
    </row>
    <row r="66" hidden="1" outlineLevel="1" ht="14.25" customFormat="1" customHeight="1" s="1">
      <c r="A66" s="157" t="n">
        <v>36</v>
      </c>
      <c r="B66" s="93" t="inlineStr">
        <is>
          <t>01.7.06.07-0003</t>
        </is>
      </c>
      <c r="C66" s="156" t="inlineStr">
        <is>
          <t>Лента с запонками ЛМЗ</t>
        </is>
      </c>
      <c r="D66" s="157" t="inlineStr">
        <is>
          <t>100 м</t>
        </is>
      </c>
      <c r="E66" s="204" t="n">
        <v>0.025</v>
      </c>
      <c r="F66" s="100" t="n">
        <v>126</v>
      </c>
      <c r="G66" s="96">
        <f>ROUND(F66*E66,2)</f>
        <v/>
      </c>
      <c r="H66" s="166">
        <f>G66/$G$69</f>
        <v/>
      </c>
      <c r="I66" s="96">
        <f>ROUND(F66*Прил.10!$D$12,2)</f>
        <v/>
      </c>
      <c r="J66" s="96">
        <f>ROUND(I66*E66,2)</f>
        <v/>
      </c>
    </row>
    <row r="67" hidden="1" outlineLevel="1" ht="14.25" customFormat="1" customHeight="1" s="1">
      <c r="A67" s="157" t="n">
        <v>37</v>
      </c>
      <c r="B67" s="93" t="inlineStr">
        <is>
          <t>01.7.20.08-0102</t>
        </is>
      </c>
      <c r="C67" s="156" t="inlineStr">
        <is>
          <t>Миткаль «Т-2» суровый (суровье)</t>
        </is>
      </c>
      <c r="D67" s="157" t="inlineStr">
        <is>
          <t>10 м</t>
        </is>
      </c>
      <c r="E67" s="204" t="n">
        <v>0.03</v>
      </c>
      <c r="F67" s="100" t="n">
        <v>73.65000000000001</v>
      </c>
      <c r="G67" s="96">
        <f>ROUND(F67*E67,2)</f>
        <v/>
      </c>
      <c r="H67" s="166">
        <f>G67/$G$69</f>
        <v/>
      </c>
      <c r="I67" s="96">
        <f>ROUND(F67*Прил.10!$D$12,2)</f>
        <v/>
      </c>
      <c r="J67" s="96">
        <f>ROUND(I67*E67,2)</f>
        <v/>
      </c>
    </row>
    <row r="68" collapsed="1" ht="14.25" customFormat="1" customHeight="1" s="1">
      <c r="A68" s="157" t="n"/>
      <c r="B68" s="157" t="n"/>
      <c r="C68" s="156" t="inlineStr">
        <is>
          <t>Итого прочие материалы</t>
        </is>
      </c>
      <c r="D68" s="157" t="n"/>
      <c r="E68" s="158" t="n"/>
      <c r="F68" s="159" t="n"/>
      <c r="G68" s="96">
        <f>SUM(G52:G67)</f>
        <v/>
      </c>
      <c r="H68" s="166">
        <f>G68/G69</f>
        <v/>
      </c>
      <c r="I68" s="96" t="n"/>
      <c r="J68" s="96">
        <f>SUM(J52:J67)</f>
        <v/>
      </c>
      <c r="L68" s="80" t="n"/>
    </row>
    <row r="69" ht="14.25" customFormat="1" customHeight="1" s="1">
      <c r="A69" s="157" t="n"/>
      <c r="B69" s="157" t="n"/>
      <c r="C69" s="147" t="inlineStr">
        <is>
          <t>Итого по разделу «Материалы»</t>
        </is>
      </c>
      <c r="D69" s="157" t="n"/>
      <c r="E69" s="158" t="n"/>
      <c r="F69" s="159" t="n"/>
      <c r="G69" s="96">
        <f>G51+G68</f>
        <v/>
      </c>
      <c r="H69" s="166" t="n">
        <v>1</v>
      </c>
      <c r="I69" s="159" t="n"/>
      <c r="J69" s="96">
        <f>J51+J68</f>
        <v/>
      </c>
      <c r="K69" s="205" t="n"/>
    </row>
    <row r="70" ht="14.25" customFormat="1" customHeight="1" s="1">
      <c r="A70" s="157" t="n"/>
      <c r="B70" s="157" t="n"/>
      <c r="C70" s="156" t="inlineStr">
        <is>
          <t>ИТОГО ПО РМ</t>
        </is>
      </c>
      <c r="D70" s="157" t="n"/>
      <c r="E70" s="158" t="n"/>
      <c r="F70" s="159" t="n"/>
      <c r="G70" s="96">
        <f>G14+G30+G69</f>
        <v/>
      </c>
      <c r="H70" s="166" t="n"/>
      <c r="I70" s="159" t="n"/>
      <c r="J70" s="96">
        <f>J14+J30+J69</f>
        <v/>
      </c>
    </row>
    <row r="71" ht="14.25" customFormat="1" customHeight="1" s="1">
      <c r="A71" s="157" t="n"/>
      <c r="B71" s="157" t="n"/>
      <c r="C71" s="156" t="inlineStr">
        <is>
          <t>Накладные расходы</t>
        </is>
      </c>
      <c r="D71" s="157" t="inlineStr">
        <is>
          <t>%</t>
        </is>
      </c>
      <c r="E71" s="111" t="n">
        <v>1.04</v>
      </c>
      <c r="F71" s="159" t="n"/>
      <c r="G71" s="96" t="n">
        <v>37118</v>
      </c>
      <c r="H71" s="166" t="n"/>
      <c r="I71" s="159" t="n"/>
      <c r="J71" s="96">
        <f>ROUND(E71*(J14+J16),2)</f>
        <v/>
      </c>
      <c r="K71" s="47" t="n"/>
    </row>
    <row r="72" ht="14.25" customFormat="1" customHeight="1" s="1">
      <c r="A72" s="157" t="n"/>
      <c r="B72" s="157" t="n"/>
      <c r="C72" s="156" t="inlineStr">
        <is>
          <t>Сметная прибыль</t>
        </is>
      </c>
      <c r="D72" s="157" t="inlineStr">
        <is>
          <t>%</t>
        </is>
      </c>
      <c r="E72" s="111" t="n">
        <v>0.71</v>
      </c>
      <c r="F72" s="159" t="n"/>
      <c r="G72" s="96" t="n">
        <v>24127</v>
      </c>
      <c r="H72" s="166" t="n"/>
      <c r="I72" s="159" t="n"/>
      <c r="J72" s="96">
        <f>ROUND(E72*(J14+J16),2)</f>
        <v/>
      </c>
      <c r="K72" s="47" t="n"/>
    </row>
    <row r="73" ht="14.25" customFormat="1" customHeight="1" s="1">
      <c r="A73" s="157" t="n"/>
      <c r="B73" s="157" t="n"/>
      <c r="C73" s="156" t="inlineStr">
        <is>
          <t>Итого СМР (с НР и СП)</t>
        </is>
      </c>
      <c r="D73" s="157" t="n"/>
      <c r="E73" s="158" t="n"/>
      <c r="F73" s="159" t="n"/>
      <c r="G73" s="96">
        <f>G14+G30+G69+G71+G72</f>
        <v/>
      </c>
      <c r="H73" s="166" t="n"/>
      <c r="I73" s="159" t="n"/>
      <c r="J73" s="96">
        <f>J14+J30+J69+J71+J72</f>
        <v/>
      </c>
      <c r="L73" s="48" t="n"/>
    </row>
    <row r="74" ht="14.25" customFormat="1" customHeight="1" s="1">
      <c r="A74" s="157" t="n"/>
      <c r="B74" s="157" t="n"/>
      <c r="C74" s="156" t="inlineStr">
        <is>
          <t>ВСЕГО СМР + ОБОРУДОВАНИЕ</t>
        </is>
      </c>
      <c r="D74" s="157" t="n"/>
      <c r="E74" s="158" t="n"/>
      <c r="F74" s="159" t="n"/>
      <c r="G74" s="96">
        <f>G73+G38</f>
        <v/>
      </c>
      <c r="H74" s="166" t="n"/>
      <c r="I74" s="159" t="n"/>
      <c r="J74" s="96">
        <f>J73+J38</f>
        <v/>
      </c>
      <c r="L74" s="47" t="n"/>
    </row>
    <row r="75" ht="14.25" customFormat="1" customHeight="1" s="1">
      <c r="A75" s="157" t="n"/>
      <c r="B75" s="157" t="n"/>
      <c r="C75" s="156" t="inlineStr">
        <is>
          <t>ИТОГО ПОКАЗАТЕЛЬ НА ЕД. ИЗМ.</t>
        </is>
      </c>
      <c r="D75" s="157" t="inlineStr">
        <is>
          <t>ед.</t>
        </is>
      </c>
      <c r="E75" s="99" t="n">
        <v>1</v>
      </c>
      <c r="F75" s="159" t="n"/>
      <c r="G75" s="96">
        <f>G74/E75</f>
        <v/>
      </c>
      <c r="H75" s="166" t="n"/>
      <c r="I75" s="159" t="n"/>
      <c r="J75" s="96">
        <f>J74/E75</f>
        <v/>
      </c>
      <c r="L75" s="80" t="n"/>
    </row>
    <row r="76">
      <c r="A76" s="86" t="n"/>
      <c r="B76" s="86" t="n"/>
      <c r="C76" s="86" t="n"/>
      <c r="D76" s="86" t="n"/>
      <c r="E76" s="86" t="n"/>
      <c r="F76" s="86" t="n"/>
      <c r="G76" s="86" t="n"/>
      <c r="H76" s="86" t="n"/>
      <c r="I76" s="86" t="n"/>
      <c r="J76" s="86" t="n"/>
    </row>
    <row r="77" ht="14.25" customFormat="1" customHeight="1" s="1">
      <c r="A77" s="112" t="n"/>
      <c r="B77" s="86" t="n"/>
      <c r="C77" s="86" t="n"/>
      <c r="D77" s="86" t="n"/>
      <c r="E77" s="86" t="n"/>
      <c r="F77" s="86" t="n"/>
      <c r="G77" s="86" t="n"/>
      <c r="H77" s="86" t="n"/>
      <c r="I77" s="86" t="n"/>
      <c r="J77" s="86" t="n"/>
    </row>
    <row r="78" ht="14.25" customFormat="1" customHeight="1" s="1">
      <c r="A78" s="90" t="inlineStr">
        <is>
          <t>Составил ______________________        Е.А. Князева</t>
        </is>
      </c>
      <c r="B78" s="86" t="n"/>
      <c r="C78" s="86" t="n"/>
      <c r="D78" s="86" t="n"/>
      <c r="E78" s="86" t="n"/>
      <c r="F78" s="86" t="n"/>
      <c r="G78" s="86" t="n"/>
      <c r="H78" s="86" t="n"/>
      <c r="I78" s="86" t="n"/>
      <c r="J78" s="86" t="n"/>
    </row>
    <row r="79" ht="14.25" customFormat="1" customHeight="1" s="1">
      <c r="A79" s="75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75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0" t="inlineStr">
        <is>
          <t>Приложение №6</t>
        </is>
      </c>
    </row>
    <row r="2" ht="21.75" customHeight="1">
      <c r="A2" s="180" t="n"/>
      <c r="B2" s="180" t="n"/>
      <c r="C2" s="180" t="n"/>
      <c r="D2" s="180" t="n"/>
      <c r="E2" s="180" t="n"/>
      <c r="F2" s="180" t="n"/>
      <c r="G2" s="180" t="n"/>
    </row>
    <row r="3">
      <c r="A3" s="153" t="inlineStr">
        <is>
          <t>Расчет стоимости оборудования</t>
        </is>
      </c>
    </row>
    <row r="4" ht="25.5" customHeight="1">
      <c r="A4" s="179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81" t="inlineStr">
        <is>
          <t>№ пп.</t>
        </is>
      </c>
      <c r="B6" s="181" t="inlineStr">
        <is>
          <t>Код ресурса</t>
        </is>
      </c>
      <c r="C6" s="181" t="inlineStr">
        <is>
          <t>Наименование</t>
        </is>
      </c>
      <c r="D6" s="181" t="inlineStr">
        <is>
          <t>Ед. изм.</t>
        </is>
      </c>
      <c r="E6" s="181" t="inlineStr">
        <is>
          <t>Кол-во единиц по проектным данным</t>
        </is>
      </c>
      <c r="F6" s="184" t="inlineStr">
        <is>
          <t>Сметная стоимость в ценах на 01.01.2000 (руб.)</t>
        </is>
      </c>
      <c r="G6" s="191" t="n"/>
    </row>
    <row r="7">
      <c r="A7" s="193" t="n"/>
      <c r="B7" s="193" t="n"/>
      <c r="C7" s="193" t="n"/>
      <c r="D7" s="193" t="n"/>
      <c r="E7" s="193" t="n"/>
      <c r="F7" s="181" t="inlineStr">
        <is>
          <t>на ед. изм.</t>
        </is>
      </c>
      <c r="G7" s="181" t="inlineStr">
        <is>
          <t>общая</t>
        </is>
      </c>
    </row>
    <row r="8">
      <c r="A8" s="181" t="n">
        <v>1</v>
      </c>
      <c r="B8" s="181" t="n">
        <v>2</v>
      </c>
      <c r="C8" s="181" t="n">
        <v>3</v>
      </c>
      <c r="D8" s="181" t="n">
        <v>4</v>
      </c>
      <c r="E8" s="181" t="n">
        <v>5</v>
      </c>
      <c r="F8" s="181" t="n">
        <v>6</v>
      </c>
      <c r="G8" s="181" t="n">
        <v>7</v>
      </c>
    </row>
    <row r="9" ht="15" customHeight="1">
      <c r="A9" s="7" t="n"/>
      <c r="B9" s="176" t="inlineStr">
        <is>
          <t>ИНЖЕНЕРНОЕ ОБОРУДОВАНИЕ</t>
        </is>
      </c>
      <c r="C9" s="190" t="n"/>
      <c r="D9" s="190" t="n"/>
      <c r="E9" s="190" t="n"/>
      <c r="F9" s="190" t="n"/>
      <c r="G9" s="191" t="n"/>
    </row>
    <row r="10" ht="27" customHeight="1">
      <c r="A10" s="181" t="n"/>
      <c r="B10" s="148" t="n"/>
      <c r="C10" s="176" t="inlineStr">
        <is>
          <t>ИТОГО ИНЖЕНЕРНОЕ ОБОРУДОВАНИЕ</t>
        </is>
      </c>
      <c r="D10" s="148" t="n"/>
      <c r="E10" s="8" t="n"/>
      <c r="F10" s="178" t="n"/>
      <c r="G10" s="178" t="n">
        <v>0</v>
      </c>
    </row>
    <row r="11">
      <c r="A11" s="181" t="n"/>
      <c r="B11" s="176" t="inlineStr">
        <is>
          <t>ТЕХНОЛОГИЧЕСКОЕ ОБОРУДОВАНИЕ</t>
        </is>
      </c>
      <c r="C11" s="190" t="n"/>
      <c r="D11" s="190" t="n"/>
      <c r="E11" s="190" t="n"/>
      <c r="F11" s="190" t="n"/>
      <c r="G11" s="191" t="n"/>
    </row>
    <row r="12" ht="25.5" customHeight="1">
      <c r="A12" s="181" t="n">
        <v>1</v>
      </c>
      <c r="B12" s="46">
        <f>'Прил.5 Расчет СМР и ОБ'!B33</f>
        <v/>
      </c>
      <c r="C12" s="83">
        <f>'Прил.5 Расчет СМР и ОБ'!C33</f>
        <v/>
      </c>
      <c r="D12" s="46">
        <f>'Прил.5 Расчет СМР и ОБ'!D33</f>
        <v/>
      </c>
      <c r="E12" s="46">
        <f>'Прил.5 Расчет СМР и ОБ'!E33</f>
        <v/>
      </c>
      <c r="F12" s="209">
        <f>'Прил.5 Расчет СМР и ОБ'!F33</f>
        <v/>
      </c>
      <c r="G12" s="14">
        <f>ROUND(E12*F12,2)</f>
        <v/>
      </c>
    </row>
    <row r="13" ht="25.5" customHeight="1">
      <c r="A13" s="181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8" t="n"/>
      <c r="G13" s="14">
        <f>SUM(G12:G12)</f>
        <v/>
      </c>
    </row>
    <row r="14" ht="19.5" customHeight="1">
      <c r="A14" s="181" t="n"/>
      <c r="B14" s="176" t="n"/>
      <c r="C14" s="176" t="inlineStr">
        <is>
          <t>Всего по разделу «Оборудование»</t>
        </is>
      </c>
      <c r="D14" s="176" t="n"/>
      <c r="E14" s="177" t="n"/>
      <c r="F14" s="178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5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5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0" t="inlineStr">
        <is>
          <t>Приложение №7</t>
        </is>
      </c>
    </row>
    <row r="2">
      <c r="A2" s="180" t="n"/>
      <c r="B2" s="180" t="n"/>
      <c r="C2" s="180" t="n"/>
      <c r="D2" s="180" t="n"/>
    </row>
    <row r="3" ht="24.75" customHeight="1">
      <c r="A3" s="153" t="inlineStr">
        <is>
          <t>Расчет показателя УНЦ</t>
        </is>
      </c>
    </row>
    <row r="4" ht="24.75" customHeight="1">
      <c r="A4" s="153" t="n"/>
      <c r="B4" s="153" t="n"/>
      <c r="C4" s="153" t="n"/>
      <c r="D4" s="153" t="n"/>
    </row>
    <row r="5" ht="45" customHeight="1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</f>
        <v/>
      </c>
    </row>
    <row r="6" ht="19.9" customHeight="1">
      <c r="A6" s="179" t="inlineStr">
        <is>
          <t>Единица измерения  — 1 ячейка</t>
        </is>
      </c>
      <c r="D6" s="179" t="n"/>
    </row>
    <row r="7">
      <c r="A7" s="6" t="n"/>
      <c r="B7" s="6" t="n"/>
      <c r="C7" s="6" t="n"/>
      <c r="D7" s="6" t="n"/>
    </row>
    <row r="8" ht="14.45" customHeight="1">
      <c r="A8" s="181" t="inlineStr">
        <is>
          <t>Код показателя</t>
        </is>
      </c>
      <c r="B8" s="181" t="inlineStr">
        <is>
          <t>Наименование показателя</t>
        </is>
      </c>
      <c r="C8" s="181" t="inlineStr">
        <is>
          <t>Наименование РМ, входящих в состав показателя</t>
        </is>
      </c>
      <c r="D8" s="181" t="inlineStr">
        <is>
          <t>Норматив цены на 01.01.2023, тыс.руб.</t>
        </is>
      </c>
    </row>
    <row r="9" ht="15" customHeight="1">
      <c r="A9" s="193" t="n"/>
      <c r="B9" s="193" t="n"/>
      <c r="C9" s="193" t="n"/>
      <c r="D9" s="193" t="n"/>
    </row>
    <row r="10">
      <c r="A10" s="181" t="n">
        <v>1</v>
      </c>
      <c r="B10" s="181" t="n">
        <v>2</v>
      </c>
      <c r="C10" s="181" t="n">
        <v>3</v>
      </c>
      <c r="D10" s="181" t="n">
        <v>4</v>
      </c>
    </row>
    <row r="11" ht="41.45" customHeight="1">
      <c r="A11" s="181" t="inlineStr">
        <is>
          <t>В9-02-1</t>
        </is>
      </c>
      <c r="B11" s="181" t="inlineStr">
        <is>
          <t xml:space="preserve">УНЦ ячейки выключателя КРУ с элегазовой изоляцией 6-15 кВ </t>
        </is>
      </c>
      <c r="C11" s="117">
        <f>D5</f>
        <v/>
      </c>
      <c r="D11" s="118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5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75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9" t="inlineStr">
        <is>
          <t>Приложение № 10</t>
        </is>
      </c>
    </row>
    <row r="5" ht="18.75" customHeight="1">
      <c r="B5" s="30" t="n"/>
    </row>
    <row r="6" ht="15.75" customHeight="1">
      <c r="B6" s="145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44" t="inlineStr">
        <is>
          <t>Наименование индекса / норм сопутствующих затрат</t>
        </is>
      </c>
      <c r="C8" s="144" t="inlineStr">
        <is>
          <t>Дата применения и обоснование индекса / норм сопутствующих затрат</t>
        </is>
      </c>
      <c r="D8" s="144" t="inlineStr">
        <is>
          <t>Размер индекса / норма сопутствующих затрат</t>
        </is>
      </c>
    </row>
    <row r="9" ht="15.75" customHeight="1">
      <c r="B9" s="144" t="n">
        <v>1</v>
      </c>
      <c r="C9" s="144" t="n">
        <v>2</v>
      </c>
      <c r="D9" s="144" t="n">
        <v>3</v>
      </c>
    </row>
    <row r="10" ht="47.25" customHeight="1">
      <c r="B10" s="144" t="inlineStr">
        <is>
          <t xml:space="preserve">Индекс изменения сметной стоимости на 1 квартал 2023 года. ОЗП </t>
        </is>
      </c>
      <c r="C10" s="144" t="inlineStr">
        <is>
          <t>Письмо Минстроя России от 30.03.2023г. №17106-ИФ/09  прил.1</t>
        </is>
      </c>
      <c r="D10" s="144" t="n">
        <v>44.29</v>
      </c>
    </row>
    <row r="11" ht="47.25" customHeight="1">
      <c r="B11" s="144" t="inlineStr">
        <is>
          <t>Индекс изменения сметной стоимости на 1 квартал 2023 года. ЭМ</t>
        </is>
      </c>
      <c r="C11" s="144" t="inlineStr">
        <is>
          <t>Письмо Минстроя России от 30.03.2023г. №17106-ИФ/09  прил.1</t>
        </is>
      </c>
      <c r="D11" s="144" t="n">
        <v>13.47</v>
      </c>
    </row>
    <row r="12" ht="47.25" customHeight="1">
      <c r="B12" s="144" t="inlineStr">
        <is>
          <t>Индекс изменения сметной стоимости на 1 квартал 2023 года. МАТ</t>
        </is>
      </c>
      <c r="C12" s="144" t="inlineStr">
        <is>
          <t>Письмо Минстроя России от 30.03.2023г. №17106-ИФ/09  прил.1</t>
        </is>
      </c>
      <c r="D12" s="144" t="n">
        <v>8.039999999999999</v>
      </c>
    </row>
    <row r="13" ht="31.5" customHeight="1">
      <c r="B13" s="144" t="inlineStr">
        <is>
          <t>Индекс изменения сметной стоимости на 1 квартал 2023 года. ОБ</t>
        </is>
      </c>
      <c r="C13" s="144" t="inlineStr">
        <is>
          <t>Письмо Минстроя России от 23.02.2023г. №9791-ИФ/09 прил.6</t>
        </is>
      </c>
      <c r="D13" s="144" t="n">
        <v>6.26</v>
      </c>
    </row>
    <row r="14" ht="94.5" customHeight="1">
      <c r="B14" s="144" t="inlineStr">
        <is>
          <t>Временные здания и сооружения</t>
        </is>
      </c>
      <c r="C14" s="14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44" t="inlineStr">
        <is>
          <t>Дополнительные затраты при производстве строительно-монтажных работ в зимнее время</t>
        </is>
      </c>
      <c r="C15" s="14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44" t="inlineStr">
        <is>
          <t>Пусконаладочные работы</t>
        </is>
      </c>
      <c r="C16" s="144" t="n"/>
      <c r="D16" s="144" t="inlineStr">
        <is>
          <t>Расчет</t>
        </is>
      </c>
    </row>
    <row r="17" ht="31.5" customHeight="1">
      <c r="B17" s="144" t="inlineStr">
        <is>
          <t>Строительный контроль</t>
        </is>
      </c>
      <c r="C17" s="144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44" t="inlineStr">
        <is>
          <t>Авторский надзор - 0,2%</t>
        </is>
      </c>
      <c r="C18" s="144" t="inlineStr">
        <is>
          <t>Приказ от 4.08.2020 № 421/пр п.173</t>
        </is>
      </c>
      <c r="D18" s="36" t="n">
        <v>0.002</v>
      </c>
    </row>
    <row r="19" ht="31.5" customHeight="1">
      <c r="B19" s="144" t="inlineStr">
        <is>
          <t>Непредвиденные расходы</t>
        </is>
      </c>
      <c r="C19" s="144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8" t="inlineStr">
        <is>
          <t>Составил ______________________        Е.А. Князева</t>
        </is>
      </c>
      <c r="C26" s="1" t="n"/>
    </row>
    <row r="27">
      <c r="B27" s="75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5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0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1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9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2" t="n">
        <v>1.139</v>
      </c>
      <c r="F12" s="1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n"/>
    </row>
    <row r="13" ht="60" customHeight="1">
      <c r="A13" s="134" t="inlineStr">
        <is>
          <t>1.7</t>
        </is>
      </c>
      <c r="B13" s="135" t="inlineStr">
        <is>
          <t>Размер средств на оплату труда рабочих-строителей в текущем уровне цен (ФОТр.тек.), руб/чел.-ч</t>
        </is>
      </c>
      <c r="C13" s="136" t="inlineStr">
        <is>
          <t>ФОТр.тек.</t>
        </is>
      </c>
      <c r="D13" s="136" t="inlineStr">
        <is>
          <t>(С1ср/tср*КТ*Т*Кув)*Кинф</t>
        </is>
      </c>
      <c r="E13" s="137">
        <f>((E7*E9/E8)*E11)*E12</f>
        <v/>
      </c>
      <c r="F13" s="1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2025-01-24T11:55:30Z</dcterms:modified>
  <cp:lastModifiedBy>112</cp:lastModifiedBy>
</cp:coreProperties>
</file>