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xlnm.Print_Area" localSheetId="1">'Прил.2 Расч стоим'!$A$1:$K$28</definedName>
    <definedName name="_Toc132270799" localSheetId="2">Прил.3!$A$3</definedName>
    <definedName name="_xlnm.Print_Titles" localSheetId="2">'Прил.3'!$9:$11</definedName>
    <definedName name="_xlnm.Print_Area" localSheetId="2">'Прил.3'!$A$1:$H$62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#,##0.0"/>
    <numFmt numFmtId="165" formatCode="#,##0.000"/>
    <numFmt numFmtId="166" formatCode="0.0000"/>
    <numFmt numFmtId="167" formatCode="#,##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0"/>
    <numFmt numFmtId="172" formatCode="0.000"/>
  </numFmts>
  <fonts count="23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3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6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10" fillId="0" borderId="1" applyAlignment="1" pivotButton="0" quotePrefix="0" xfId="0">
      <alignment horizontal="center" vertical="center" wrapText="1"/>
    </xf>
    <xf numFmtId="43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68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1" applyAlignment="1" pivotButton="0" quotePrefix="0" xfId="0">
      <alignment vertical="center" wrapText="1"/>
    </xf>
    <xf numFmtId="169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6" fontId="0" fillId="4" borderId="8" applyAlignment="1" pivotButton="0" quotePrefix="0" xfId="0">
      <alignment horizontal="center" vertical="center"/>
    </xf>
    <xf numFmtId="166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6" fontId="0" fillId="4" borderId="10" applyAlignment="1" pivotButton="0" quotePrefix="0" xfId="0">
      <alignment horizontal="center" vertical="center"/>
    </xf>
    <xf numFmtId="166" fontId="0" fillId="0" borderId="10" applyAlignment="1" pivotButton="0" quotePrefix="0" xfId="0">
      <alignment horizontal="center" vertical="center"/>
    </xf>
    <xf numFmtId="166" fontId="0" fillId="4" borderId="6" applyAlignment="1" pivotButton="0" quotePrefix="0" xfId="0">
      <alignment horizontal="center" vertical="center"/>
    </xf>
    <xf numFmtId="166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0" fillId="5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3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71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167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3" fontId="2" fillId="2" borderId="1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2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3" fontId="2" fillId="0" borderId="1" applyAlignment="1" pivotButton="0" quotePrefix="0" xfId="0">
      <alignment horizontal="center" vertical="center" wrapText="1"/>
    </xf>
    <xf numFmtId="1" fontId="2" fillId="0" borderId="2" applyAlignment="1" pivotButton="0" quotePrefix="0" xfId="0">
      <alignment horizontal="center" vertical="center" wrapText="1"/>
    </xf>
    <xf numFmtId="0" fontId="21" fillId="0" borderId="0" pivotButton="0" quotePrefix="0" xfId="0"/>
    <xf numFmtId="49" fontId="0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 wrapText="1"/>
    </xf>
    <xf numFmtId="0" fontId="0" fillId="0" borderId="3" applyAlignment="1" pivotButton="0" quotePrefix="0" xfId="0">
      <alignment horizontal="center" vertical="center" wrapText="1"/>
    </xf>
    <xf numFmtId="166" fontId="0" fillId="2" borderId="3" applyAlignment="1" pivotButton="0" quotePrefix="0" xfId="0">
      <alignment horizontal="center" vertical="center"/>
    </xf>
    <xf numFmtId="0" fontId="0" fillId="0" borderId="3" applyAlignment="1" pivotButton="0" quotePrefix="0" xfId="0">
      <alignment wrapText="1"/>
    </xf>
    <xf numFmtId="49" fontId="0" fillId="0" borderId="18" applyAlignment="1" pivotButton="0" quotePrefix="0" xfId="0">
      <alignment horizontal="center" vertical="center"/>
    </xf>
    <xf numFmtId="0" fontId="7" fillId="0" borderId="18" applyAlignment="1" pivotButton="0" quotePrefix="0" xfId="0">
      <alignment vertical="center" wrapText="1"/>
    </xf>
    <xf numFmtId="0" fontId="0" fillId="0" borderId="18" applyAlignment="1" pivotButton="0" quotePrefix="0" xfId="0">
      <alignment horizontal="center" vertical="center" wrapText="1"/>
    </xf>
    <xf numFmtId="4" fontId="7" fillId="0" borderId="18" applyAlignment="1" pivotButton="0" quotePrefix="0" xfId="0">
      <alignment horizontal="center" vertical="center"/>
    </xf>
    <xf numFmtId="0" fontId="0" fillId="0" borderId="18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4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4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3" pivotButton="0" quotePrefix="0" xfId="0"/>
    <xf numFmtId="0" fontId="0" fillId="0" borderId="2" pivotButton="0" quotePrefix="0" xfId="0"/>
    <xf numFmtId="0" fontId="0" fillId="0" borderId="19" pivotButton="0" quotePrefix="0" xfId="0"/>
    <xf numFmtId="0" fontId="0" fillId="0" borderId="20" pivotButton="0" quotePrefix="0" xfId="0"/>
    <xf numFmtId="168" fontId="11" fillId="2" borderId="0" pivotButton="0" quotePrefix="0" xfId="0"/>
    <xf numFmtId="43" fontId="3" fillId="2" borderId="1" applyAlignment="1" pivotButton="0" quotePrefix="0" xfId="0">
      <alignment vertical="center" wrapText="1"/>
    </xf>
    <xf numFmtId="169" fontId="12" fillId="2" borderId="0" pivotButton="0" quotePrefix="0" xfId="0"/>
    <xf numFmtId="172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43" fontId="3" fillId="0" borderId="1" applyAlignment="1" pivotButton="0" quotePrefix="0" xfId="0">
      <alignment vertical="center" wrapText="1"/>
    </xf>
    <xf numFmtId="170" fontId="14" fillId="0" borderId="0" pivotButton="0" quotePrefix="0" xfId="0"/>
    <xf numFmtId="43" fontId="0" fillId="0" borderId="0" pivotButton="0" quotePrefix="0" xfId="0"/>
    <xf numFmtId="167" fontId="2" fillId="2" borderId="1" applyAlignment="1" pivotButton="0" quotePrefix="0" xfId="0">
      <alignment horizontal="center" vertical="center" wrapText="1"/>
    </xf>
    <xf numFmtId="43" fontId="1" fillId="0" borderId="0" pivotButton="0" quotePrefix="0" xfId="0"/>
    <xf numFmtId="171" fontId="2" fillId="2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  <xf numFmtId="0" fontId="3" fillId="0" borderId="23" applyAlignment="1" pivotButton="0" quotePrefix="0" xfId="0">
      <alignment horizontal="left" vertical="center" wrapText="1"/>
    </xf>
    <xf numFmtId="0" fontId="0" fillId="0" borderId="15" pivotButton="0" quotePrefix="0" xfId="0"/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6" fontId="0" fillId="2" borderId="3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G32"/>
  <sheetViews>
    <sheetView tabSelected="1" view="pageBreakPreview" topLeftCell="C21" zoomScale="60" zoomScaleNormal="130" workbookViewId="0">
      <selection activeCell="D26" sqref="D26"/>
    </sheetView>
  </sheetViews>
  <sheetFormatPr baseColWidth="8" defaultRowHeight="15"/>
  <cols>
    <col width="36.85546875" customWidth="1" min="3" max="3"/>
    <col width="39.42578125" customWidth="1" min="4" max="4"/>
    <col width="14.28515625" customWidth="1" min="7" max="7"/>
    <col width="15" customWidth="1" min="10" max="10"/>
  </cols>
  <sheetData>
    <row r="3" ht="15.75" customHeight="1">
      <c r="B3" s="142" t="inlineStr">
        <is>
          <t>Приложение № 1</t>
        </is>
      </c>
    </row>
    <row r="4" ht="18.75" customHeight="1">
      <c r="B4" s="143" t="inlineStr">
        <is>
          <t>Сравнительная таблица отбора объекта-представителя</t>
        </is>
      </c>
    </row>
    <row r="5" ht="84" customHeight="1">
      <c r="B5" s="14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90" t="n"/>
      <c r="C6" s="90" t="n"/>
      <c r="D6" s="90" t="n"/>
    </row>
    <row r="7" ht="64.5" customHeight="1">
      <c r="B7" s="145" t="inlineStr">
        <is>
          <t>Наименование разрабатываемого показателя УНЦ — Ячейка выключателя КРУ с элегазовой изоляцией 20кВ, ном.ток 1250А, ном.ток отключения 25кА</t>
        </is>
      </c>
    </row>
    <row r="8" ht="31.5" customHeight="1">
      <c r="B8" s="145" t="inlineStr">
        <is>
          <t>Сопоставимый уровень цен: 2 квартал 2015 г.</t>
        </is>
      </c>
    </row>
    <row r="9" ht="15.75" customHeight="1">
      <c r="B9" s="145" t="inlineStr">
        <is>
          <t>Единица измерения  — 1 ячейка</t>
        </is>
      </c>
    </row>
    <row r="10" ht="18.75" customHeight="1">
      <c r="B10" s="36" t="n"/>
    </row>
    <row r="11" ht="15.75" customHeight="1">
      <c r="B11" s="147" t="inlineStr">
        <is>
          <t>№ п/п</t>
        </is>
      </c>
      <c r="C11" s="147" t="inlineStr">
        <is>
          <t>Параметр</t>
        </is>
      </c>
      <c r="D11" s="147" t="inlineStr">
        <is>
          <t xml:space="preserve">Объект-представитель </t>
        </is>
      </c>
    </row>
    <row r="12" ht="31.5" customHeight="1">
      <c r="B12" s="147" t="n">
        <v>1</v>
      </c>
      <c r="C12" s="70" t="inlineStr">
        <is>
          <t>Наименование объекта-представителя</t>
        </is>
      </c>
      <c r="D12" s="147" t="inlineStr">
        <is>
          <t>ПС 220 кВ Орская</t>
        </is>
      </c>
    </row>
    <row r="13" ht="31.5" customHeight="1">
      <c r="B13" s="147" t="n">
        <v>2</v>
      </c>
      <c r="C13" s="70" t="inlineStr">
        <is>
          <t>Наименование субъекта Российской Федерации</t>
        </is>
      </c>
      <c r="D13" s="147" t="inlineStr">
        <is>
          <t>Оренбургская область</t>
        </is>
      </c>
    </row>
    <row r="14" ht="15.75" customHeight="1">
      <c r="B14" s="147" t="n">
        <v>3</v>
      </c>
      <c r="C14" s="70" t="inlineStr">
        <is>
          <t>Климатический район и подрайон</t>
        </is>
      </c>
      <c r="D14" s="147" t="inlineStr">
        <is>
          <t>IВ</t>
        </is>
      </c>
    </row>
    <row r="15" ht="15.75" customHeight="1">
      <c r="B15" s="147" t="n">
        <v>4</v>
      </c>
      <c r="C15" s="70" t="inlineStr">
        <is>
          <t>Мощность объекта</t>
        </is>
      </c>
      <c r="D15" s="147" t="n">
        <v>1</v>
      </c>
    </row>
    <row r="16" ht="94.5" customHeight="1">
      <c r="B16" s="147" t="n">
        <v>5</v>
      </c>
      <c r="C16" s="3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7" t="inlineStr">
        <is>
          <t>Выключатель 6 кВ</t>
        </is>
      </c>
    </row>
    <row r="17" ht="78.75" customHeight="1">
      <c r="B17" s="147" t="n">
        <v>6</v>
      </c>
      <c r="C17" s="3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7">
        <f>SUM(D18:D21)</f>
        <v/>
      </c>
    </row>
    <row r="18" ht="15.75" customHeight="1">
      <c r="B18" s="91" t="inlineStr">
        <is>
          <t>6.1</t>
        </is>
      </c>
      <c r="C18" s="70" t="inlineStr">
        <is>
          <t>строительно-монтажные работы</t>
        </is>
      </c>
      <c r="D18" s="121" t="n">
        <v>1294.92</v>
      </c>
    </row>
    <row r="19" ht="15.75" customHeight="1">
      <c r="B19" s="91" t="inlineStr">
        <is>
          <t>6.2</t>
        </is>
      </c>
      <c r="C19" s="70" t="inlineStr">
        <is>
          <t>оборудование и инвентарь</t>
        </is>
      </c>
      <c r="D19" s="121" t="n">
        <v>1910.81</v>
      </c>
    </row>
    <row r="20" ht="15.75" customHeight="1">
      <c r="B20" s="91" t="inlineStr">
        <is>
          <t>6.3</t>
        </is>
      </c>
      <c r="C20" s="70" t="inlineStr">
        <is>
          <t>пусконаладочные работы</t>
        </is>
      </c>
      <c r="D20" s="121" t="n">
        <v>0</v>
      </c>
    </row>
    <row r="21" ht="15.75" customHeight="1">
      <c r="B21" s="91" t="inlineStr">
        <is>
          <t>6.4</t>
        </is>
      </c>
      <c r="C21" s="70" t="inlineStr">
        <is>
          <t>прочие и лимитированные затраты</t>
        </is>
      </c>
      <c r="D21" s="121" t="n">
        <v>528.84</v>
      </c>
    </row>
    <row r="22" ht="15.75" customHeight="1">
      <c r="B22" s="147" t="n">
        <v>7</v>
      </c>
      <c r="C22" s="70" t="inlineStr">
        <is>
          <t>Сопоставимый уровень цен</t>
        </is>
      </c>
      <c r="D22" s="147" t="inlineStr">
        <is>
          <t>2 квартал 2015 г.</t>
        </is>
      </c>
      <c r="G22" s="98" t="n"/>
    </row>
    <row r="23" ht="110.25" customHeight="1">
      <c r="B23" s="147" t="n">
        <v>8</v>
      </c>
      <c r="C23" s="3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7">
        <f>D17</f>
        <v/>
      </c>
    </row>
    <row r="24" ht="47.25" customHeight="1">
      <c r="B24" s="147" t="n">
        <v>9</v>
      </c>
      <c r="C24" s="38" t="inlineStr">
        <is>
          <t>Приведенная сметная стоимость на единицу мощности, тыс. руб. (строка 8/строку 4)</t>
        </is>
      </c>
      <c r="D24" s="121">
        <f>D23/D15</f>
        <v/>
      </c>
      <c r="G24" s="98" t="n"/>
    </row>
    <row r="25" hidden="1" ht="110.25" customHeight="1">
      <c r="B25" s="147" t="n">
        <v>10</v>
      </c>
      <c r="C25" s="70" t="inlineStr">
        <is>
          <t>Примечание</t>
        </is>
      </c>
      <c r="D25" s="70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>
      <c r="B26" s="92" t="n"/>
      <c r="C26" s="93" t="n"/>
      <c r="D26" s="93" t="n"/>
    </row>
    <row r="27">
      <c r="B27" s="6" t="inlineStr">
        <is>
          <t>Составил ______________________        Е.А. Князева</t>
        </is>
      </c>
      <c r="C27" s="1" t="n"/>
    </row>
    <row r="28">
      <c r="B28" s="94" t="inlineStr">
        <is>
          <t xml:space="preserve">                         (подпись, инициалы, фамилия)</t>
        </is>
      </c>
      <c r="C28" s="1" t="n"/>
    </row>
    <row r="29">
      <c r="B29" s="94" t="n"/>
      <c r="C29" s="1" t="n"/>
    </row>
    <row r="30">
      <c r="B30" s="6" t="inlineStr">
        <is>
          <t>Проверил ______________________        А.В. Костянецкая</t>
        </is>
      </c>
      <c r="C30" s="1" t="n"/>
    </row>
    <row r="31">
      <c r="B31" s="94" t="inlineStr">
        <is>
          <t xml:space="preserve">                        (подпись, инициалы, фамилия)</t>
        </is>
      </c>
      <c r="C31" s="1" t="n"/>
    </row>
    <row r="32" ht="15.75" customHeight="1">
      <c r="B32" s="93" t="n"/>
      <c r="C32" s="93" t="n"/>
      <c r="D32" s="93" t="n"/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82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3" zoomScale="60" zoomScaleNormal="100" workbookViewId="0">
      <selection activeCell="E17" sqref="E17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142" t="inlineStr">
        <is>
          <t>Приложение № 2</t>
        </is>
      </c>
    </row>
    <row r="4" ht="15.75" customHeight="1">
      <c r="B4" s="148" t="inlineStr">
        <is>
          <t>Расчет стоимости основных видов работ для выбора объекта-представителя</t>
        </is>
      </c>
    </row>
    <row r="5" ht="15.75" customHeight="1">
      <c r="B5" s="39" t="n"/>
      <c r="C5" s="39" t="n"/>
      <c r="D5" s="39" t="n"/>
      <c r="E5" s="39" t="n"/>
      <c r="F5" s="39" t="n"/>
      <c r="G5" s="39" t="n"/>
      <c r="H5" s="39" t="n"/>
      <c r="I5" s="39" t="n"/>
      <c r="J5" s="39" t="n"/>
      <c r="K5" s="39" t="n"/>
    </row>
    <row r="6" ht="15.75" customHeight="1">
      <c r="B6" s="145">
        <f>'Прил.1 Сравнит табл'!B7</f>
        <v/>
      </c>
    </row>
    <row r="7" ht="15.75" customHeight="1">
      <c r="B7" s="145">
        <f>'Прил.1 Сравнит табл'!B9</f>
        <v/>
      </c>
    </row>
    <row r="8" ht="18.75" customHeight="1">
      <c r="B8" s="36" t="n"/>
    </row>
    <row r="9" ht="15.75" customHeight="1">
      <c r="B9" s="147" t="inlineStr">
        <is>
          <t>№ п/п</t>
        </is>
      </c>
      <c r="C9" s="14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7" t="inlineStr">
        <is>
          <t>Объект-представитель 1</t>
        </is>
      </c>
      <c r="E9" s="190" t="n"/>
      <c r="F9" s="190" t="n"/>
      <c r="G9" s="190" t="n"/>
      <c r="H9" s="190" t="n"/>
      <c r="I9" s="190" t="n"/>
      <c r="J9" s="191" t="n"/>
    </row>
    <row r="10" ht="15.75" customHeight="1">
      <c r="B10" s="192" t="n"/>
      <c r="C10" s="192" t="n"/>
      <c r="D10" s="147" t="inlineStr">
        <is>
          <t>Номер сметы</t>
        </is>
      </c>
      <c r="E10" s="147" t="inlineStr">
        <is>
          <t>Наименование сметы</t>
        </is>
      </c>
      <c r="F10" s="147" t="inlineStr">
        <is>
          <t>Сметная стоимость в уровне цен 2 кв. 2015 г., тыс. руб.</t>
        </is>
      </c>
      <c r="G10" s="190" t="n"/>
      <c r="H10" s="190" t="n"/>
      <c r="I10" s="190" t="n"/>
      <c r="J10" s="191" t="n"/>
    </row>
    <row r="11" ht="31.5" customHeight="1">
      <c r="B11" s="193" t="n"/>
      <c r="C11" s="193" t="n"/>
      <c r="D11" s="193" t="n"/>
      <c r="E11" s="193" t="n"/>
      <c r="F11" s="147" t="inlineStr">
        <is>
          <t>Строительные работы</t>
        </is>
      </c>
      <c r="G11" s="147" t="inlineStr">
        <is>
          <t>Монтажные работы</t>
        </is>
      </c>
      <c r="H11" s="147" t="inlineStr">
        <is>
          <t>Оборудование</t>
        </is>
      </c>
      <c r="I11" s="147" t="inlineStr">
        <is>
          <t>Прочее</t>
        </is>
      </c>
      <c r="J11" s="147" t="inlineStr">
        <is>
          <t>Всего</t>
        </is>
      </c>
    </row>
    <row r="12" ht="47.25" customHeight="1">
      <c r="B12" s="147" t="n">
        <v>1</v>
      </c>
      <c r="C12" s="147" t="inlineStr">
        <is>
          <t>Выключатель 20 кВ</t>
        </is>
      </c>
      <c r="D12" s="91" t="inlineStr">
        <is>
          <t>02-05-05</t>
        </is>
      </c>
      <c r="E12" s="147" t="inlineStr">
        <is>
          <t xml:space="preserve">КРУ 10 кВ  в здании ЗРУ  10 кВ № 2  </t>
        </is>
      </c>
      <c r="F12" s="121">
        <f>232481*5.57/1000</f>
        <v/>
      </c>
      <c r="G12" s="121" t="n"/>
      <c r="H12" s="121">
        <f>472973*4.04/1000</f>
        <v/>
      </c>
      <c r="I12" s="121">
        <f>66604*7.94/1000</f>
        <v/>
      </c>
      <c r="J12" s="121">
        <f>SUM(F12:I12)</f>
        <v/>
      </c>
    </row>
    <row r="13" ht="15.75" customHeight="1">
      <c r="B13" s="149" t="inlineStr">
        <is>
          <t>Всего по объекту:</t>
        </is>
      </c>
      <c r="C13" s="194" t="n"/>
      <c r="D13" s="194" t="n"/>
      <c r="E13" s="195" t="n"/>
      <c r="F13" s="122">
        <f>SUM(F12)</f>
        <v/>
      </c>
      <c r="G13" s="122" t="n"/>
      <c r="H13" s="122">
        <f>SUM(H12)</f>
        <v/>
      </c>
      <c r="I13" s="123">
        <f>I12</f>
        <v/>
      </c>
      <c r="J13" s="122">
        <f>SUM(J12)</f>
        <v/>
      </c>
    </row>
    <row r="14" ht="15.75" customHeight="1">
      <c r="B14" s="146" t="inlineStr">
        <is>
          <t>Всего по объекту в сопоставимом уровне цен 2 кв. 2015 г:</t>
        </is>
      </c>
      <c r="C14" s="190" t="n"/>
      <c r="D14" s="190" t="n"/>
      <c r="E14" s="191" t="n"/>
      <c r="F14" s="123">
        <f>SUM(F13)</f>
        <v/>
      </c>
      <c r="G14" s="123" t="n"/>
      <c r="H14" s="123">
        <f>SUM(H13)</f>
        <v/>
      </c>
      <c r="I14" s="123">
        <f>SUM(I13)</f>
        <v/>
      </c>
      <c r="J14" s="123">
        <f>SUM(J13)</f>
        <v/>
      </c>
    </row>
    <row r="18">
      <c r="C18" s="6" t="inlineStr">
        <is>
          <t>Составил ______________________        Е.А. Князева</t>
        </is>
      </c>
      <c r="D18" s="1" t="n"/>
    </row>
    <row r="19">
      <c r="C19" s="94" t="inlineStr">
        <is>
          <t xml:space="preserve">                         (подпись, инициалы, фамилия)</t>
        </is>
      </c>
      <c r="D19" s="1" t="n"/>
    </row>
    <row r="20">
      <c r="C20" s="6" t="n"/>
      <c r="D20" s="1" t="n"/>
    </row>
    <row r="21">
      <c r="C21" s="6" t="inlineStr">
        <is>
          <t>Проверил ______________________        А.В. Костянецкая</t>
        </is>
      </c>
      <c r="D21" s="1" t="n"/>
    </row>
    <row r="22">
      <c r="C22" s="94" t="inlineStr">
        <is>
          <t xml:space="preserve">                        (подпись, инициалы, фамилия)</t>
        </is>
      </c>
      <c r="D22" s="1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1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61"/>
  <sheetViews>
    <sheetView view="pageBreakPreview" topLeftCell="A48" zoomScale="115" zoomScaleSheetLayoutView="115" workbookViewId="0">
      <selection activeCell="E60" sqref="E60"/>
    </sheetView>
  </sheetViews>
  <sheetFormatPr baseColWidth="8" defaultRowHeight="15"/>
  <cols>
    <col width="12.5703125" customWidth="1" min="2" max="2"/>
    <col width="17" customWidth="1" min="3" max="3"/>
    <col width="49.7109375" customWidth="1" min="4" max="4"/>
    <col width="16.28515625" customWidth="1" min="5" max="5"/>
    <col width="20.7109375" customWidth="1" min="6" max="6"/>
    <col width="16.140625" customWidth="1" min="7" max="7"/>
    <col width="16.7109375" customWidth="1" min="8" max="8"/>
    <col width="4.5703125" customWidth="1" min="9" max="9"/>
    <col width="5.140625" customWidth="1" min="10" max="10"/>
    <col width="13" customWidth="1" min="11" max="11"/>
    <col width="9.140625" customWidth="1" min="12" max="12"/>
  </cols>
  <sheetData>
    <row r="2" ht="15.75" customHeight="1">
      <c r="A2" s="142" t="inlineStr">
        <is>
          <t xml:space="preserve">Приложение № 3 </t>
        </is>
      </c>
    </row>
    <row r="3" ht="18.75" customHeight="1">
      <c r="A3" s="143" t="inlineStr">
        <is>
          <t>Объектная ресурсная ведомость</t>
        </is>
      </c>
    </row>
    <row r="4">
      <c r="B4" s="96" t="n"/>
    </row>
    <row r="5" ht="18.75" customHeight="1">
      <c r="A5" s="143" t="n"/>
      <c r="B5" s="143" t="n"/>
      <c r="C5" s="155" t="n"/>
    </row>
    <row r="6" ht="18.75" customHeight="1">
      <c r="A6" s="36" t="n"/>
    </row>
    <row r="7" ht="32.25" customHeight="1">
      <c r="A7" s="152">
        <f>'Прил.1 Сравнит табл'!B7</f>
        <v/>
      </c>
    </row>
    <row r="8" ht="15.75" customHeight="1">
      <c r="A8" s="40" t="n"/>
      <c r="B8" s="40" t="n"/>
      <c r="C8" s="40" t="n"/>
      <c r="D8" s="40" t="n"/>
      <c r="E8" s="40" t="n"/>
      <c r="F8" s="40" t="n"/>
      <c r="G8" s="40" t="n"/>
      <c r="H8" s="196" t="n"/>
    </row>
    <row r="9" ht="38.25" customHeight="1">
      <c r="A9" s="147" t="inlineStr">
        <is>
          <t>п/п</t>
        </is>
      </c>
      <c r="B9" s="147" t="inlineStr">
        <is>
          <t>№ЛСР</t>
        </is>
      </c>
      <c r="C9" s="147" t="inlineStr">
        <is>
          <t>Код ресурса</t>
        </is>
      </c>
      <c r="D9" s="147" t="inlineStr">
        <is>
          <t>Наименование ресурса</t>
        </is>
      </c>
      <c r="E9" s="147" t="inlineStr">
        <is>
          <t>Ед. изм.</t>
        </is>
      </c>
      <c r="F9" s="147" t="inlineStr">
        <is>
          <t>Кол-во единиц по данным объекта-представителя</t>
        </is>
      </c>
      <c r="G9" s="147" t="inlineStr">
        <is>
          <t>Сметная стоимость в ценах на 01.01.2000 (руб.)</t>
        </is>
      </c>
      <c r="H9" s="191" t="n"/>
    </row>
    <row r="10" ht="40.5" customHeight="1">
      <c r="A10" s="193" t="n"/>
      <c r="B10" s="193" t="n"/>
      <c r="C10" s="193" t="n"/>
      <c r="D10" s="193" t="n"/>
      <c r="E10" s="193" t="n"/>
      <c r="F10" s="193" t="n"/>
      <c r="G10" s="147" t="inlineStr">
        <is>
          <t>на ед.изм.</t>
        </is>
      </c>
      <c r="H10" s="147" t="inlineStr">
        <is>
          <t>общая</t>
        </is>
      </c>
    </row>
    <row r="11" ht="15.75" customHeight="1">
      <c r="A11" s="147" t="n">
        <v>1</v>
      </c>
      <c r="B11" s="43" t="n"/>
      <c r="C11" s="147" t="n">
        <v>2</v>
      </c>
      <c r="D11" s="147" t="inlineStr">
        <is>
          <t>З</t>
        </is>
      </c>
      <c r="E11" s="147" t="n">
        <v>4</v>
      </c>
      <c r="F11" s="147" t="n">
        <v>5</v>
      </c>
      <c r="G11" s="43" t="n">
        <v>6</v>
      </c>
      <c r="H11" s="43" t="n">
        <v>7</v>
      </c>
    </row>
    <row r="12" ht="15" customHeight="1">
      <c r="A12" s="153" t="inlineStr">
        <is>
          <t>Затраты труда рабочих</t>
        </is>
      </c>
      <c r="B12" s="190" t="n"/>
      <c r="C12" s="190" t="n"/>
      <c r="D12" s="190" t="n"/>
      <c r="E12" s="190" t="n"/>
      <c r="F12" s="197">
        <f>SUM(F13:F14)</f>
        <v/>
      </c>
      <c r="G12" s="103" t="n"/>
      <c r="H12" s="197">
        <f>SUM(H13:H14)</f>
        <v/>
      </c>
      <c r="J12" s="198" t="n"/>
      <c r="K12" s="18" t="n"/>
    </row>
    <row r="13">
      <c r="A13" s="105" t="n">
        <v>1</v>
      </c>
      <c r="B13" s="124" t="n"/>
      <c r="C13" s="105" t="inlineStr">
        <is>
          <t>1-4-0</t>
        </is>
      </c>
      <c r="D13" s="159" t="inlineStr">
        <is>
          <t>Затраты труда рабочих (средний разряд работы 4,0)</t>
        </is>
      </c>
      <c r="E13" s="160" t="inlineStr">
        <is>
          <t>чел.-ч</t>
        </is>
      </c>
      <c r="F13" s="199" t="n">
        <v>76.180774367379</v>
      </c>
      <c r="G13" s="114" t="n">
        <v>9.4</v>
      </c>
      <c r="H13" s="114">
        <f>ROUND(F13*G13,2)</f>
        <v/>
      </c>
    </row>
    <row r="14">
      <c r="A14" s="126">
        <f>A13+1</f>
        <v/>
      </c>
      <c r="B14" s="124" t="n"/>
      <c r="C14" s="105" t="inlineStr">
        <is>
          <t>1-4-2</t>
        </is>
      </c>
      <c r="D14" s="159" t="inlineStr">
        <is>
          <t>Затраты труда рабочих (средний разряд работы 4,2)</t>
        </is>
      </c>
      <c r="E14" s="160" t="inlineStr">
        <is>
          <t>чел.-ч</t>
        </is>
      </c>
      <c r="F14" s="199" t="n">
        <v>3.3936006326214</v>
      </c>
      <c r="G14" s="114" t="n">
        <v>9.92</v>
      </c>
      <c r="H14" s="114">
        <f>ROUND(F14*G14,2)</f>
        <v/>
      </c>
    </row>
    <row r="15" ht="15" customHeight="1">
      <c r="A15" s="150" t="inlineStr">
        <is>
          <t>Затраты труда машинистов</t>
        </is>
      </c>
      <c r="B15" s="190" t="n"/>
      <c r="C15" s="190" t="n"/>
      <c r="D15" s="190" t="n"/>
      <c r="E15" s="191" t="n"/>
      <c r="F15" s="103" t="n"/>
      <c r="G15" s="103" t="n"/>
      <c r="H15" s="197">
        <f>H16</f>
        <v/>
      </c>
    </row>
    <row r="16">
      <c r="A16" s="126">
        <f>A14+1</f>
        <v/>
      </c>
      <c r="B16" s="124" t="n"/>
      <c r="C16" s="105" t="n">
        <v>2</v>
      </c>
      <c r="D16" s="159" t="inlineStr">
        <is>
          <t>Затраты труда машинистов</t>
        </is>
      </c>
      <c r="E16" s="160" t="inlineStr">
        <is>
          <t>чел.-ч</t>
        </is>
      </c>
      <c r="F16" s="160" t="n">
        <v>21.9884375</v>
      </c>
      <c r="G16" s="114" t="n"/>
      <c r="H16" s="200">
        <f>'Прил.5 Расчет СМР и ОБ'!G16</f>
        <v/>
      </c>
      <c r="L16" s="42" t="n"/>
    </row>
    <row r="17" ht="15" customHeight="1">
      <c r="A17" s="150" t="inlineStr">
        <is>
          <t>Машины и механизмы</t>
        </is>
      </c>
      <c r="B17" s="190" t="n"/>
      <c r="C17" s="190" t="n"/>
      <c r="D17" s="190" t="n"/>
      <c r="E17" s="191" t="n"/>
      <c r="F17" s="103" t="n"/>
      <c r="G17" s="103" t="n"/>
      <c r="H17" s="197">
        <f>SUM(H18:H26)</f>
        <v/>
      </c>
      <c r="K17" s="18" t="n"/>
    </row>
    <row r="18" ht="25.5" customHeight="1">
      <c r="A18" s="105">
        <f>A16+1</f>
        <v/>
      </c>
      <c r="B18" s="124" t="n"/>
      <c r="C18" s="105" t="inlineStr">
        <is>
          <t>91.06.03-058</t>
        </is>
      </c>
      <c r="D18" s="159" t="inlineStr">
        <is>
          <t>Лебедки электрические тяговым усилием 156,96 кН (16 т)</t>
        </is>
      </c>
      <c r="E18" s="160" t="inlineStr">
        <is>
          <t>маш.-ч</t>
        </is>
      </c>
      <c r="F18" s="160" t="n">
        <v>15.538125</v>
      </c>
      <c r="G18" s="116" t="n">
        <v>131.44</v>
      </c>
      <c r="H18" s="114">
        <f>ROUND(F18*G18,2)</f>
        <v/>
      </c>
    </row>
    <row r="19" ht="25.5" customHeight="1">
      <c r="A19" s="105">
        <f>A18+1</f>
        <v/>
      </c>
      <c r="B19" s="124" t="n"/>
      <c r="C19" s="105" t="inlineStr">
        <is>
          <t>91.05.05-014</t>
        </is>
      </c>
      <c r="D19" s="159" t="inlineStr">
        <is>
          <t>Краны на автомобильном ходу, грузоподъемность 10 т</t>
        </is>
      </c>
      <c r="E19" s="160" t="inlineStr">
        <is>
          <t>маш.-ч</t>
        </is>
      </c>
      <c r="F19" s="161" t="n">
        <v>3.1253125</v>
      </c>
      <c r="G19" s="116" t="n">
        <v>111.99</v>
      </c>
      <c r="H19" s="114">
        <f>ROUND(F19*G19,2)</f>
        <v/>
      </c>
    </row>
    <row r="20">
      <c r="A20" s="105">
        <f>A19+1</f>
        <v/>
      </c>
      <c r="B20" s="124" t="n"/>
      <c r="C20" s="105" t="inlineStr">
        <is>
          <t>91.14.02-001</t>
        </is>
      </c>
      <c r="D20" s="159" t="inlineStr">
        <is>
          <t>Автомобили бортовые, грузоподъемность: до 5 т</t>
        </is>
      </c>
      <c r="E20" s="160" t="inlineStr">
        <is>
          <t>маш.-ч</t>
        </is>
      </c>
      <c r="F20" s="160" t="n">
        <v>3.096875</v>
      </c>
      <c r="G20" s="116" t="n">
        <v>65.70999999999999</v>
      </c>
      <c r="H20" s="114">
        <f>ROUND(F20*G20,2)</f>
        <v/>
      </c>
    </row>
    <row r="21" ht="25.5" customHeight="1">
      <c r="A21" s="105">
        <f>A20+1</f>
        <v/>
      </c>
      <c r="B21" s="124" t="n"/>
      <c r="C21" s="105" t="inlineStr">
        <is>
          <t>91.17.04-161</t>
        </is>
      </c>
      <c r="D21" s="159" t="inlineStr">
        <is>
          <t>Полуавтоматы сварочные номинальным сварочным током 40-500 А</t>
        </is>
      </c>
      <c r="E21" s="160" t="inlineStr">
        <is>
          <t>маш.-ч</t>
        </is>
      </c>
      <c r="F21" s="160" t="n">
        <v>3.5625</v>
      </c>
      <c r="G21" s="116" t="n">
        <v>16.44</v>
      </c>
      <c r="H21" s="114">
        <f>ROUND(F21*G21,2)</f>
        <v/>
      </c>
    </row>
    <row r="22">
      <c r="A22" s="105">
        <f>A21+1</f>
        <v/>
      </c>
      <c r="B22" s="124" t="n"/>
      <c r="C22" s="105" t="inlineStr">
        <is>
          <t>91.21.22-438</t>
        </is>
      </c>
      <c r="D22" s="159" t="inlineStr">
        <is>
          <t>Установка: передвижная цеолитовая</t>
        </is>
      </c>
      <c r="E22" s="160" t="inlineStr">
        <is>
          <t>маш.-ч</t>
        </is>
      </c>
      <c r="F22" s="160" t="n">
        <v>0.9875</v>
      </c>
      <c r="G22" s="116" t="n">
        <v>38.65</v>
      </c>
      <c r="H22" s="114">
        <f>ROUND(F22*G22,2)</f>
        <v/>
      </c>
    </row>
    <row r="23">
      <c r="A23" s="105">
        <f>A22+1</f>
        <v/>
      </c>
      <c r="B23" s="124" t="n"/>
      <c r="C23" s="105" t="inlineStr">
        <is>
          <t>91.19.12-021</t>
        </is>
      </c>
      <c r="D23" s="159" t="inlineStr">
        <is>
          <t>Насос вакуумный: 3,6 м3/мин</t>
        </is>
      </c>
      <c r="E23" s="160" t="inlineStr">
        <is>
          <t>маш.-ч</t>
        </is>
      </c>
      <c r="F23" s="160" t="n">
        <v>3.8875</v>
      </c>
      <c r="G23" s="116" t="n">
        <v>6.28</v>
      </c>
      <c r="H23" s="114">
        <f>ROUND(F23*G23,2)</f>
        <v/>
      </c>
    </row>
    <row r="24" ht="25.5" customHeight="1">
      <c r="A24" s="105">
        <f>A23+1</f>
        <v/>
      </c>
      <c r="B24" s="124" t="n"/>
      <c r="C24" s="105" t="inlineStr">
        <is>
          <t>91.21.22-091</t>
        </is>
      </c>
      <c r="D24" s="159" t="inlineStr">
        <is>
          <t>Выпрямитель полупроводниковый для подогрева трансформаторов</t>
        </is>
      </c>
      <c r="E24" s="160" t="inlineStr">
        <is>
          <t>маш.-ч</t>
        </is>
      </c>
      <c r="F24" s="160" t="n">
        <v>4.7125</v>
      </c>
      <c r="G24" s="116" t="n">
        <v>3.82</v>
      </c>
      <c r="H24" s="114">
        <f>ROUND(F24*G24,2)</f>
        <v/>
      </c>
    </row>
    <row r="25" ht="25.5" customHeight="1">
      <c r="A25" s="105">
        <f>A24+1</f>
        <v/>
      </c>
      <c r="B25" s="124" t="n"/>
      <c r="C25" s="105" t="inlineStr">
        <is>
          <t>91.19.02-002</t>
        </is>
      </c>
      <c r="D25" s="159" t="inlineStr">
        <is>
          <t>Маслонасосы шестеренные, производительность м3/час: 2,3</t>
        </is>
      </c>
      <c r="E25" s="160" t="inlineStr">
        <is>
          <t>маш.-ч</t>
        </is>
      </c>
      <c r="F25" s="160" t="n">
        <v>0.2475</v>
      </c>
      <c r="G25" s="116" t="n">
        <v>0.9</v>
      </c>
      <c r="H25" s="114">
        <f>ROUND(F25*G25,2)</f>
        <v/>
      </c>
    </row>
    <row r="26" ht="25.5" customHeight="1">
      <c r="A26" s="105">
        <f>A25+1</f>
        <v/>
      </c>
      <c r="B26" s="124" t="n"/>
      <c r="C26" s="105" t="inlineStr">
        <is>
          <t>91.17.04-233</t>
        </is>
      </c>
      <c r="D26" s="159" t="inlineStr">
        <is>
          <t>Установки для сварки: ручной дуговой (постоянного тока)</t>
        </is>
      </c>
      <c r="E26" s="160" t="inlineStr">
        <is>
          <t>маш.-ч</t>
        </is>
      </c>
      <c r="F26" s="160" t="n">
        <v>0.0125</v>
      </c>
      <c r="G26" s="116" t="n">
        <v>8.1</v>
      </c>
      <c r="H26" s="114">
        <f>ROUND(F26*G26,2)</f>
        <v/>
      </c>
    </row>
    <row r="27" ht="15" customHeight="1">
      <c r="A27" s="150" t="inlineStr">
        <is>
          <t>Оборудование</t>
        </is>
      </c>
      <c r="B27" s="190" t="n"/>
      <c r="C27" s="190" t="n"/>
      <c r="D27" s="190" t="n"/>
      <c r="E27" s="191" t="n"/>
      <c r="F27" s="103" t="n"/>
      <c r="G27" s="103" t="n"/>
      <c r="H27" s="197">
        <f>SUM(H28:H28)</f>
        <v/>
      </c>
    </row>
    <row r="28">
      <c r="A28" s="128">
        <f>A26+1</f>
        <v/>
      </c>
      <c r="B28" s="151" t="n"/>
      <c r="C28" s="56" t="inlineStr">
        <is>
          <t>Прайс из СД ОП</t>
        </is>
      </c>
      <c r="D28" s="166" t="inlineStr">
        <is>
          <t>КРУ 20 кВ</t>
        </is>
      </c>
      <c r="E28" s="167" t="inlineStr">
        <is>
          <t>шт.</t>
        </is>
      </c>
      <c r="F28" s="167" t="n">
        <v>1</v>
      </c>
      <c r="G28" s="14" t="n">
        <v>1623865.81</v>
      </c>
      <c r="H28" s="14">
        <f>ROUND(F28*G28,2)</f>
        <v/>
      </c>
    </row>
    <row r="29" ht="15" customHeight="1">
      <c r="A29" s="151" t="inlineStr">
        <is>
          <t>Материалы</t>
        </is>
      </c>
      <c r="B29" s="190" t="n"/>
      <c r="C29" s="190" t="n"/>
      <c r="D29" s="190" t="n"/>
      <c r="E29" s="191" t="n"/>
      <c r="F29" s="45" t="n"/>
      <c r="G29" s="45" t="n"/>
      <c r="H29" s="201">
        <f>SUM(H30:H54)</f>
        <v/>
      </c>
      <c r="K29" s="18" t="n"/>
    </row>
    <row r="30">
      <c r="A30" s="128">
        <f>A28+1</f>
        <v/>
      </c>
      <c r="B30" s="21" t="n"/>
      <c r="C30" s="56" t="inlineStr">
        <is>
          <t>01.1.02.01-0003</t>
        </is>
      </c>
      <c r="D30" s="166" t="inlineStr">
        <is>
          <t>Асботекстолит, марка Г</t>
        </is>
      </c>
      <c r="E30" s="167" t="inlineStr">
        <is>
          <t>т</t>
        </is>
      </c>
      <c r="F30" s="167" t="n">
        <v>0.0255</v>
      </c>
      <c r="G30" s="14" t="n">
        <v>161000</v>
      </c>
      <c r="H30" s="14">
        <f>ROUND(F30*G30,2)</f>
        <v/>
      </c>
    </row>
    <row r="31">
      <c r="A31" s="128">
        <f>A30+1</f>
        <v/>
      </c>
      <c r="B31" s="21" t="n"/>
      <c r="C31" s="56" t="inlineStr">
        <is>
          <t>01.3.02.02-0001</t>
        </is>
      </c>
      <c r="D31" s="166" t="inlineStr">
        <is>
          <t>Аргон газообразный, сорт I</t>
        </is>
      </c>
      <c r="E31" s="167" t="inlineStr">
        <is>
          <t>м3</t>
        </is>
      </c>
      <c r="F31" s="167" t="n">
        <v>121.5</v>
      </c>
      <c r="G31" s="14" t="n">
        <v>17.86</v>
      </c>
      <c r="H31" s="14">
        <f>ROUND(F31*G31,2)</f>
        <v/>
      </c>
    </row>
    <row r="32">
      <c r="A32" s="128">
        <f>A31+1</f>
        <v/>
      </c>
      <c r="B32" s="21" t="n"/>
      <c r="C32" s="56" t="inlineStr">
        <is>
          <t>21.1.08.03-0078</t>
        </is>
      </c>
      <c r="D32" s="166" t="inlineStr">
        <is>
          <t>Кабель контрольный КВВГЭнг(A)-FRLS 5х2,5</t>
        </is>
      </c>
      <c r="E32" s="167" t="inlineStr">
        <is>
          <t>1000 м</t>
        </is>
      </c>
      <c r="F32" s="167" t="n">
        <v>0.05</v>
      </c>
      <c r="G32" s="14" t="n">
        <v>36884.36</v>
      </c>
      <c r="H32" s="14">
        <f>ROUND(F32*G32,2)</f>
        <v/>
      </c>
    </row>
    <row r="33" ht="25.5" customHeight="1">
      <c r="A33" s="128">
        <f>A32+1</f>
        <v/>
      </c>
      <c r="B33" s="21" t="n"/>
      <c r="C33" s="56" t="inlineStr">
        <is>
          <t>01.1.02.09-0021</t>
        </is>
      </c>
      <c r="D33" s="166" t="inlineStr">
        <is>
          <t>Ткань асбестовая со стеклонитью АСТ-1, толщина 1,8 мм</t>
        </is>
      </c>
      <c r="E33" s="167" t="inlineStr">
        <is>
          <t>т</t>
        </is>
      </c>
      <c r="F33" s="167" t="n">
        <v>0.0268</v>
      </c>
      <c r="G33" s="14" t="n">
        <v>66860</v>
      </c>
      <c r="H33" s="14">
        <f>ROUND(F33*G33,2)</f>
        <v/>
      </c>
    </row>
    <row r="34">
      <c r="A34" s="128">
        <f>A33+1</f>
        <v/>
      </c>
      <c r="B34" s="21" t="n"/>
      <c r="C34" s="56" t="inlineStr">
        <is>
          <t>01.7.11.04-0002</t>
        </is>
      </c>
      <c r="D34" s="166" t="inlineStr">
        <is>
          <t>Проволока наплавочная ПП-Нп-19СТ, диаметр 3 мм</t>
        </is>
      </c>
      <c r="E34" s="167" t="inlineStr">
        <is>
          <t>т</t>
        </is>
      </c>
      <c r="F34" s="167" t="n">
        <v>0.08699999999999999</v>
      </c>
      <c r="G34" s="14" t="n">
        <v>20300</v>
      </c>
      <c r="H34" s="14">
        <f>ROUND(F34*G34,2)</f>
        <v/>
      </c>
    </row>
    <row r="35" ht="25.5" customHeight="1">
      <c r="A35" s="128">
        <f>A34+1</f>
        <v/>
      </c>
      <c r="B35" s="21" t="n"/>
      <c r="C35" s="56" t="inlineStr">
        <is>
          <t>25.1.01.04-0012</t>
        </is>
      </c>
      <c r="D35" s="166" t="inlineStr">
        <is>
          <t>Шпалы из древесины хвойных пород для колеи 600 мм, непропитанные, длина 1200 мм, тип II</t>
        </is>
      </c>
      <c r="E35" s="167" t="inlineStr">
        <is>
          <t>шт</t>
        </is>
      </c>
      <c r="F35" s="167" t="n">
        <v>30</v>
      </c>
      <c r="G35" s="14" t="n">
        <v>42.6</v>
      </c>
      <c r="H35" s="14">
        <f>ROUND(F35*G35,2)</f>
        <v/>
      </c>
    </row>
    <row r="36">
      <c r="A36" s="128">
        <f>A35+1</f>
        <v/>
      </c>
      <c r="B36" s="21" t="n"/>
      <c r="C36" s="56" t="inlineStr">
        <is>
          <t>01.3.02.03-0001</t>
        </is>
      </c>
      <c r="D36" s="166" t="inlineStr">
        <is>
          <t>Ацетилен газообразный технический</t>
        </is>
      </c>
      <c r="E36" s="167" t="inlineStr">
        <is>
          <t>м3</t>
        </is>
      </c>
      <c r="F36" s="167" t="n">
        <v>16.5</v>
      </c>
      <c r="G36" s="14" t="n">
        <v>38.51</v>
      </c>
      <c r="H36" s="14">
        <f>ROUND(F36*G36,2)</f>
        <v/>
      </c>
    </row>
    <row r="37">
      <c r="A37" s="128">
        <f>A36+1</f>
        <v/>
      </c>
      <c r="B37" s="21" t="n"/>
      <c r="C37" s="56" t="inlineStr">
        <is>
          <t>01.7.02.06-0017</t>
        </is>
      </c>
      <c r="D37" s="166" t="inlineStr">
        <is>
          <t>Картон строительный прокладочный, марка Б</t>
        </is>
      </c>
      <c r="E37" s="167" t="inlineStr">
        <is>
          <t>т</t>
        </is>
      </c>
      <c r="F37" s="167" t="n">
        <v>0.03</v>
      </c>
      <c r="G37" s="14" t="n">
        <v>19800</v>
      </c>
      <c r="H37" s="14">
        <f>ROUND(F37*G37,2)</f>
        <v/>
      </c>
    </row>
    <row r="38">
      <c r="A38" s="128">
        <f>A37+1</f>
        <v/>
      </c>
      <c r="B38" s="21" t="n"/>
      <c r="C38" s="56" t="inlineStr">
        <is>
          <t>14.4.02.09-0001</t>
        </is>
      </c>
      <c r="D38" s="166" t="inlineStr">
        <is>
          <t>Краска</t>
        </is>
      </c>
      <c r="E38" s="167" t="inlineStr">
        <is>
          <t>кг</t>
        </is>
      </c>
      <c r="F38" s="167" t="n">
        <v>15.2</v>
      </c>
      <c r="G38" s="14" t="n">
        <v>28.6</v>
      </c>
      <c r="H38" s="14">
        <f>ROUND(F38*G38,2)</f>
        <v/>
      </c>
    </row>
    <row r="39">
      <c r="A39" s="128">
        <f>A38+1</f>
        <v/>
      </c>
      <c r="B39" s="21" t="n"/>
      <c r="C39" s="56" t="inlineStr">
        <is>
          <t>999-9950</t>
        </is>
      </c>
      <c r="D39" s="166" t="inlineStr">
        <is>
          <t>Вспомогательные ненормируемые ресурсы</t>
        </is>
      </c>
      <c r="E39" s="167" t="inlineStr">
        <is>
          <t>руб.</t>
        </is>
      </c>
      <c r="F39" s="167" t="n">
        <v>478.05</v>
      </c>
      <c r="G39" s="14" t="n">
        <v>1</v>
      </c>
      <c r="H39" s="14">
        <f>ROUND(F39*G39,2)</f>
        <v/>
      </c>
    </row>
    <row r="40" ht="25.5" customHeight="1">
      <c r="A40" s="128">
        <f>A39+1</f>
        <v/>
      </c>
      <c r="B40" s="21" t="n"/>
      <c r="C40" s="56" t="inlineStr">
        <is>
          <t>01.7.19.04-0031</t>
        </is>
      </c>
      <c r="D40" s="166" t="inlineStr">
        <is>
          <t>Прокладки резиновые (пластина техническая прессованная)</t>
        </is>
      </c>
      <c r="E40" s="167" t="inlineStr">
        <is>
          <t>кг</t>
        </is>
      </c>
      <c r="F40" s="167" t="n">
        <v>18.75</v>
      </c>
      <c r="G40" s="14" t="n">
        <v>23.09</v>
      </c>
      <c r="H40" s="14">
        <f>ROUND(F40*G40,2)</f>
        <v/>
      </c>
    </row>
    <row r="41">
      <c r="A41" s="128">
        <f>A40+1</f>
        <v/>
      </c>
      <c r="B41" s="21" t="n"/>
      <c r="C41" s="56" t="inlineStr">
        <is>
          <t>07.2.07.13-0171</t>
        </is>
      </c>
      <c r="D41" s="166" t="inlineStr">
        <is>
          <t>Подкладки металлические</t>
        </is>
      </c>
      <c r="E41" s="167" t="inlineStr">
        <is>
          <t>кг</t>
        </is>
      </c>
      <c r="F41" s="167" t="n">
        <v>30</v>
      </c>
      <c r="G41" s="14" t="n">
        <v>12.6</v>
      </c>
      <c r="H41" s="14">
        <f>ROUND(F41*G41,2)</f>
        <v/>
      </c>
    </row>
    <row r="42" ht="25.5" customHeight="1">
      <c r="A42" s="128">
        <f>A41+1</f>
        <v/>
      </c>
      <c r="B42" s="21" t="n"/>
      <c r="C42" s="56" t="inlineStr">
        <is>
          <t>11.1.03.05-0085</t>
        </is>
      </c>
      <c r="D42" s="166" t="inlineStr">
        <is>
          <t>Доски необрезные хвойных пород длиной: 4-6,5 м, все ширины, толщиной 44 мм и более, III сорта</t>
        </is>
      </c>
      <c r="E42" s="167" t="inlineStr">
        <is>
          <t>м3</t>
        </is>
      </c>
      <c r="F42" s="167" t="n">
        <v>0.3</v>
      </c>
      <c r="G42" s="14" t="n">
        <v>684</v>
      </c>
      <c r="H42" s="14">
        <f>ROUND(F42*G42,2)</f>
        <v/>
      </c>
    </row>
    <row r="43">
      <c r="A43" s="128">
        <f>A42+1</f>
        <v/>
      </c>
      <c r="B43" s="21" t="n"/>
      <c r="C43" s="56" t="inlineStr">
        <is>
          <t>01.7.15.06-0121</t>
        </is>
      </c>
      <c r="D43" s="166" t="inlineStr">
        <is>
          <t>Гвозди строительные с плоской головкой: 1,6x50 мм</t>
        </is>
      </c>
      <c r="E43" s="167" t="inlineStr">
        <is>
          <t>т</t>
        </is>
      </c>
      <c r="F43" s="167" t="n">
        <v>0.0225</v>
      </c>
      <c r="G43" s="14" t="n">
        <v>8475</v>
      </c>
      <c r="H43" s="14">
        <f>ROUND(F43*G43,2)</f>
        <v/>
      </c>
    </row>
    <row r="44">
      <c r="A44" s="128">
        <f>A43+1</f>
        <v/>
      </c>
      <c r="B44" s="21" t="n"/>
      <c r="C44" s="56" t="inlineStr">
        <is>
          <t>14.5.09.01-0003</t>
        </is>
      </c>
      <c r="D44" s="166" t="inlineStr">
        <is>
          <t>Ацетон технический, сорт высший</t>
        </is>
      </c>
      <c r="E44" s="167" t="inlineStr">
        <is>
          <t>т</t>
        </is>
      </c>
      <c r="F44" s="167" t="n">
        <v>0.018</v>
      </c>
      <c r="G44" s="14" t="n">
        <v>9360</v>
      </c>
      <c r="H44" s="14">
        <f>ROUND(F44*G44,2)</f>
        <v/>
      </c>
    </row>
    <row r="45" ht="25.5" customHeight="1">
      <c r="A45" s="128">
        <f>A44+1</f>
        <v/>
      </c>
      <c r="B45" s="21" t="n"/>
      <c r="C45" s="56" t="inlineStr">
        <is>
          <t>21.1.06.10-0376</t>
        </is>
      </c>
      <c r="D45" s="166" t="inlineStr">
        <is>
          <t>Кабель силовой с медными жилами ВВГнг(A)-LS 3х2,5ок-1000</t>
        </is>
      </c>
      <c r="E45" s="167" t="inlineStr">
        <is>
          <t>1000 м</t>
        </is>
      </c>
      <c r="F45" s="167" t="n">
        <v>0.01</v>
      </c>
      <c r="G45" s="14" t="n">
        <v>14498.24</v>
      </c>
      <c r="H45" s="14">
        <f>ROUND(F45*G45,2)</f>
        <v/>
      </c>
    </row>
    <row r="46">
      <c r="A46" s="128">
        <f>A45+1</f>
        <v/>
      </c>
      <c r="B46" s="21" t="n"/>
      <c r="C46" s="56" t="inlineStr">
        <is>
          <t>01.7.15.10-0053</t>
        </is>
      </c>
      <c r="D46" s="166" t="inlineStr">
        <is>
          <t>Скобы: металлические</t>
        </is>
      </c>
      <c r="E46" s="167" t="inlineStr">
        <is>
          <t>кг</t>
        </is>
      </c>
      <c r="F46" s="167" t="n">
        <v>21</v>
      </c>
      <c r="G46" s="14" t="n">
        <v>6.4</v>
      </c>
      <c r="H46" s="14">
        <f>ROUND(F46*G46,2)</f>
        <v/>
      </c>
    </row>
    <row r="47">
      <c r="A47" s="128">
        <f>A46+1</f>
        <v/>
      </c>
      <c r="B47" s="21" t="n"/>
      <c r="C47" s="56" t="inlineStr">
        <is>
          <t>01.7.11.07-0034</t>
        </is>
      </c>
      <c r="D47" s="166" t="inlineStr">
        <is>
          <t>Электроды диаметром: 4 мм Э42А</t>
        </is>
      </c>
      <c r="E47" s="167" t="inlineStr">
        <is>
          <t>кг</t>
        </is>
      </c>
      <c r="F47" s="167" t="n">
        <v>12</v>
      </c>
      <c r="G47" s="14" t="n">
        <v>10.57</v>
      </c>
      <c r="H47" s="14">
        <f>ROUND(F47*G47,2)</f>
        <v/>
      </c>
    </row>
    <row r="48">
      <c r="A48" s="128">
        <f>A47+1</f>
        <v/>
      </c>
      <c r="B48" s="21" t="n"/>
      <c r="C48" s="56" t="inlineStr">
        <is>
          <t>01.3.02.08-0001</t>
        </is>
      </c>
      <c r="D48" s="166" t="inlineStr">
        <is>
          <t>Кислород технический: газообразный</t>
        </is>
      </c>
      <c r="E48" s="167" t="inlineStr">
        <is>
          <t>м3</t>
        </is>
      </c>
      <c r="F48" s="167" t="n">
        <v>15.45</v>
      </c>
      <c r="G48" s="14" t="n">
        <v>6.22</v>
      </c>
      <c r="H48" s="14">
        <f>ROUND(F48*G48,2)</f>
        <v/>
      </c>
    </row>
    <row r="49">
      <c r="A49" s="128">
        <f>A48+1</f>
        <v/>
      </c>
      <c r="B49" s="21" t="n"/>
      <c r="C49" s="56" t="inlineStr">
        <is>
          <t>01.3.01.07-0008</t>
        </is>
      </c>
      <c r="D49" s="166" t="inlineStr">
        <is>
          <t>Спирт этиловый ректификованный технический, сорт I</t>
        </is>
      </c>
      <c r="E49" s="167" t="inlineStr">
        <is>
          <t>т</t>
        </is>
      </c>
      <c r="F49" s="167" t="n">
        <v>0.0024</v>
      </c>
      <c r="G49" s="14" t="n">
        <v>38890</v>
      </c>
      <c r="H49" s="14">
        <f>ROUND(F49*G49,2)</f>
        <v/>
      </c>
    </row>
    <row r="50">
      <c r="A50" s="128">
        <f>A49+1</f>
        <v/>
      </c>
      <c r="B50" s="21" t="n"/>
      <c r="C50" s="56" t="inlineStr">
        <is>
          <t>01.7.15.03-0042</t>
        </is>
      </c>
      <c r="D50" s="166" t="inlineStr">
        <is>
          <t>Болты с гайками и шайбами строительные</t>
        </is>
      </c>
      <c r="E50" s="167" t="inlineStr">
        <is>
          <t>кг</t>
        </is>
      </c>
      <c r="F50" s="167" t="n">
        <v>1.29</v>
      </c>
      <c r="G50" s="14" t="n">
        <v>9.039999999999999</v>
      </c>
      <c r="H50" s="14">
        <f>ROUND(F50*G50,2)</f>
        <v/>
      </c>
    </row>
    <row r="51" ht="25.5" customHeight="1">
      <c r="A51" s="128">
        <f>A50+1</f>
        <v/>
      </c>
      <c r="B51" s="21" t="n"/>
      <c r="C51" s="56" t="inlineStr">
        <is>
          <t>01.3.01.06-0050</t>
        </is>
      </c>
      <c r="D51" s="166" t="inlineStr">
        <is>
          <t>Смазка универсальная тугоплавкая УТ (консталин жировой)</t>
        </is>
      </c>
      <c r="E51" s="167" t="inlineStr">
        <is>
          <t>т</t>
        </is>
      </c>
      <c r="F51" s="167" t="n">
        <v>0.0003</v>
      </c>
      <c r="G51" s="14" t="n">
        <v>17500</v>
      </c>
      <c r="H51" s="14">
        <f>ROUND(F51*G51,2)</f>
        <v/>
      </c>
    </row>
    <row r="52" ht="25.5" customHeight="1">
      <c r="A52" s="128">
        <f>A51+1</f>
        <v/>
      </c>
      <c r="B52" s="21" t="n"/>
      <c r="C52" s="56" t="inlineStr">
        <is>
          <t>08.3.07.01-0076</t>
        </is>
      </c>
      <c r="D52" s="166" t="inlineStr">
        <is>
          <t>Сталь полосовая, марка стали: Ст3сп шириной 50-200 мм толщиной 4-5 мм</t>
        </is>
      </c>
      <c r="E52" s="167" t="inlineStr">
        <is>
          <t>т</t>
        </is>
      </c>
      <c r="F52" s="167" t="n">
        <v>0.001</v>
      </c>
      <c r="G52" s="14" t="n">
        <v>5000</v>
      </c>
      <c r="H52" s="14">
        <f>ROUND(F52*G52,2)</f>
        <v/>
      </c>
    </row>
    <row r="53">
      <c r="A53" s="128">
        <f>A52+1</f>
        <v/>
      </c>
      <c r="B53" s="21" t="n"/>
      <c r="C53" s="56" t="inlineStr">
        <is>
          <t>01.7.06.07-0003</t>
        </is>
      </c>
      <c r="D53" s="166" t="inlineStr">
        <is>
          <t>Лента с запонками ЛМЗ</t>
        </is>
      </c>
      <c r="E53" s="167" t="inlineStr">
        <is>
          <t>100 м</t>
        </is>
      </c>
      <c r="F53" s="167" t="n">
        <v>0.025</v>
      </c>
      <c r="G53" s="14" t="n">
        <v>126</v>
      </c>
      <c r="H53" s="14">
        <f>ROUND(F53*G53,2)</f>
        <v/>
      </c>
    </row>
    <row r="54">
      <c r="A54" s="128">
        <f>A53+1</f>
        <v/>
      </c>
      <c r="B54" s="21" t="n"/>
      <c r="C54" s="56" t="inlineStr">
        <is>
          <t>01.7.20.08-0102</t>
        </is>
      </c>
      <c r="D54" s="166" t="inlineStr">
        <is>
          <t>Миткаль «Т-2» суровый (суровье)</t>
        </is>
      </c>
      <c r="E54" s="167" t="inlineStr">
        <is>
          <t>10 м</t>
        </is>
      </c>
      <c r="F54" s="167" t="n">
        <v>0.03</v>
      </c>
      <c r="G54" s="14" t="n">
        <v>73.65000000000001</v>
      </c>
      <c r="H54" s="14">
        <f>ROUND(F54*G54,2)</f>
        <v/>
      </c>
    </row>
    <row r="55">
      <c r="K55" s="202" t="n"/>
    </row>
    <row r="57">
      <c r="B57" s="6" t="inlineStr">
        <is>
          <t>Составил ______________________        Е.А. Князева</t>
        </is>
      </c>
      <c r="C57" s="1" t="n"/>
    </row>
    <row r="58">
      <c r="B58" s="94" t="inlineStr">
        <is>
          <t xml:space="preserve">                         (подпись, инициалы, фамилия)</t>
        </is>
      </c>
      <c r="C58" s="1" t="n"/>
    </row>
    <row r="59">
      <c r="B59" s="6" t="n"/>
      <c r="C59" s="1" t="n"/>
    </row>
    <row r="60">
      <c r="B60" s="6" t="inlineStr">
        <is>
          <t>Проверил ______________________        А.В. Костянецкая</t>
        </is>
      </c>
      <c r="C60" s="1" t="n"/>
    </row>
    <row r="61">
      <c r="B61" s="94" t="inlineStr">
        <is>
          <t xml:space="preserve">                        (подпись, инициалы, фамилия)</t>
        </is>
      </c>
      <c r="C61" s="1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83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56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4.5" customHeight="1">
      <c r="B7" s="157">
        <f>'Прил.1 Сравнит табл'!B7</f>
        <v/>
      </c>
    </row>
    <row r="8">
      <c r="B8" s="158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>
      <c r="B10" s="167" t="inlineStr">
        <is>
          <t>Наименование</t>
        </is>
      </c>
      <c r="C10" s="167" t="inlineStr">
        <is>
          <t>Сметная стоимость в ценах на 01.01.2023
 (руб.)</t>
        </is>
      </c>
      <c r="D10" s="167" t="inlineStr">
        <is>
          <t>Удельный вес, 
(в СМР)</t>
        </is>
      </c>
      <c r="E10" s="167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48">
        <f>'Прил.5 Расчет СМР и ОБ'!J14</f>
        <v/>
      </c>
      <c r="D11" s="47">
        <f>C11/$C$24</f>
        <v/>
      </c>
      <c r="E11" s="47">
        <f>C11/$C$40</f>
        <v/>
      </c>
    </row>
    <row r="12">
      <c r="B12" s="7" t="inlineStr">
        <is>
          <t>Эксплуатация машин основных</t>
        </is>
      </c>
      <c r="C12" s="48">
        <f>'Прил.5 Расчет СМР и ОБ'!J21</f>
        <v/>
      </c>
      <c r="D12" s="47">
        <f>C12/$C$24</f>
        <v/>
      </c>
      <c r="E12" s="47">
        <f>C12/$C$40</f>
        <v/>
      </c>
    </row>
    <row r="13">
      <c r="B13" s="7" t="inlineStr">
        <is>
          <t>Эксплуатация машин прочих</t>
        </is>
      </c>
      <c r="C13" s="48">
        <f>'Прил.5 Расчет СМР и ОБ'!J29</f>
        <v/>
      </c>
      <c r="D13" s="47">
        <f>C13/$C$24</f>
        <v/>
      </c>
      <c r="E13" s="47">
        <f>C13/$C$40</f>
        <v/>
      </c>
    </row>
    <row r="14">
      <c r="B14" s="7" t="inlineStr">
        <is>
          <t>ЭКСПЛУАТАЦИЯ МАШИН, ВСЕГО:</t>
        </is>
      </c>
      <c r="C14" s="48">
        <f>C13+C12</f>
        <v/>
      </c>
      <c r="D14" s="47">
        <f>C14/$C$24</f>
        <v/>
      </c>
      <c r="E14" s="47">
        <f>C14/$C$40</f>
        <v/>
      </c>
    </row>
    <row r="15">
      <c r="B15" s="7" t="inlineStr">
        <is>
          <t>в том числе зарплата машинистов</t>
        </is>
      </c>
      <c r="C15" s="48">
        <f>'Прил.5 Расчет СМР и ОБ'!J16</f>
        <v/>
      </c>
      <c r="D15" s="47">
        <f>C15/$C$24</f>
        <v/>
      </c>
      <c r="E15" s="47">
        <f>C15/$C$40</f>
        <v/>
      </c>
    </row>
    <row r="16">
      <c r="B16" s="7" t="inlineStr">
        <is>
          <t>Материалы основные</t>
        </is>
      </c>
      <c r="C16" s="48">
        <f>'Прил.5 Расчет СМР и ОБ'!J51</f>
        <v/>
      </c>
      <c r="D16" s="47">
        <f>C16/$C$24</f>
        <v/>
      </c>
      <c r="E16" s="47">
        <f>C16/$C$40</f>
        <v/>
      </c>
    </row>
    <row r="17">
      <c r="B17" s="7" t="inlineStr">
        <is>
          <t>Материалы прочие</t>
        </is>
      </c>
      <c r="C17" s="48">
        <f>'Прил.5 Расчет СМР и ОБ'!J68</f>
        <v/>
      </c>
      <c r="D17" s="47">
        <f>C17/$C$24</f>
        <v/>
      </c>
      <c r="E17" s="47">
        <f>C17/$C$40</f>
        <v/>
      </c>
      <c r="G17" s="203" t="n"/>
    </row>
    <row r="18">
      <c r="B18" s="7" t="inlineStr">
        <is>
          <t>МАТЕРИАЛЫ, ВСЕГО:</t>
        </is>
      </c>
      <c r="C18" s="48">
        <f>C17+C16</f>
        <v/>
      </c>
      <c r="D18" s="47">
        <f>C18/$C$24</f>
        <v/>
      </c>
      <c r="E18" s="47">
        <f>C18/$C$40</f>
        <v/>
      </c>
    </row>
    <row r="19">
      <c r="B19" s="7" t="inlineStr">
        <is>
          <t>ИТОГО</t>
        </is>
      </c>
      <c r="C19" s="48">
        <f>C18+C14+C11</f>
        <v/>
      </c>
      <c r="D19" s="47" t="n"/>
      <c r="E19" s="7" t="n"/>
    </row>
    <row r="20">
      <c r="B20" s="7" t="inlineStr">
        <is>
          <t>Сметная прибыль, руб.</t>
        </is>
      </c>
      <c r="C20" s="48">
        <f>ROUND(C21*(C11+C15),2)</f>
        <v/>
      </c>
      <c r="D20" s="47">
        <f>C20/$C$24</f>
        <v/>
      </c>
      <c r="E20" s="47">
        <f>C20/$C$40</f>
        <v/>
      </c>
    </row>
    <row r="21">
      <c r="B21" s="7" t="inlineStr">
        <is>
          <t>Сметная прибыль, %</t>
        </is>
      </c>
      <c r="C21" s="49">
        <f>'Прил.5 Расчет СМР и ОБ'!E72</f>
        <v/>
      </c>
      <c r="D21" s="47" t="n"/>
      <c r="E21" s="7" t="n"/>
    </row>
    <row r="22">
      <c r="B22" s="7" t="inlineStr">
        <is>
          <t>Накладные расходы, руб.</t>
        </is>
      </c>
      <c r="C22" s="48">
        <f>ROUND(C23*(C11+C15),2)</f>
        <v/>
      </c>
      <c r="D22" s="47">
        <f>C22/$C$24</f>
        <v/>
      </c>
      <c r="E22" s="47">
        <f>C22/$C$40</f>
        <v/>
      </c>
    </row>
    <row r="23">
      <c r="B23" s="7" t="inlineStr">
        <is>
          <t>Накладные расходы, %</t>
        </is>
      </c>
      <c r="C23" s="49">
        <f>'Прил.5 Расчет СМР и ОБ'!E71</f>
        <v/>
      </c>
      <c r="D23" s="47" t="n"/>
      <c r="E23" s="7" t="n"/>
    </row>
    <row r="24">
      <c r="B24" s="7" t="inlineStr">
        <is>
          <t>ВСЕГО СМР с НР и СП</t>
        </is>
      </c>
      <c r="C24" s="48">
        <f>C19+C20+C22</f>
        <v/>
      </c>
      <c r="D24" s="47">
        <f>C24/$C$24</f>
        <v/>
      </c>
      <c r="E24" s="47">
        <f>C24/$C$40</f>
        <v/>
      </c>
    </row>
    <row r="25" ht="25.5" customHeight="1">
      <c r="B25" s="7" t="inlineStr">
        <is>
          <t>ВСЕГО стоимость оборудования, в том числе</t>
        </is>
      </c>
      <c r="C25" s="48">
        <f>'Прил.5 Расчет СМР и ОБ'!J39</f>
        <v/>
      </c>
      <c r="D25" s="47" t="n"/>
      <c r="E25" s="47">
        <f>C25/$C$40</f>
        <v/>
      </c>
    </row>
    <row r="26" ht="25.5" customHeight="1">
      <c r="B26" s="7" t="inlineStr">
        <is>
          <t>стоимость оборудования технологического</t>
        </is>
      </c>
      <c r="C26" s="48">
        <f>C25</f>
        <v/>
      </c>
      <c r="D26" s="47" t="n"/>
      <c r="E26" s="47">
        <f>C26/$C$40</f>
        <v/>
      </c>
    </row>
    <row r="27">
      <c r="B27" s="7" t="inlineStr">
        <is>
          <t>ИТОГО (СМР + ОБОРУДОВАНИЕ)</t>
        </is>
      </c>
      <c r="C27" s="46">
        <f>C24+C25</f>
        <v/>
      </c>
      <c r="D27" s="47" t="n"/>
      <c r="E27" s="47">
        <f>C27/$C$40</f>
        <v/>
      </c>
    </row>
    <row r="28" ht="33" customHeight="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>
      <c r="B29" s="7" t="inlineStr">
        <is>
          <t>Временные здания и сооружения - 3,9%</t>
        </is>
      </c>
      <c r="C29" s="46">
        <f>ROUND(C24*3.9%,2)</f>
        <v/>
      </c>
      <c r="D29" s="7" t="n"/>
      <c r="E29" s="47">
        <f>C29/$C$40</f>
        <v/>
      </c>
    </row>
    <row r="30" ht="38.25" customHeight="1">
      <c r="B30" s="7" t="inlineStr">
        <is>
          <t>Дополнительные затраты при производстве строительно-монтажных работ в зимнее время - 2,1%</t>
        </is>
      </c>
      <c r="C30" s="46">
        <f>ROUND((C24+C29)*2.1%,2)</f>
        <v/>
      </c>
      <c r="D30" s="7" t="n"/>
      <c r="E30" s="47">
        <f>C30/$C$40</f>
        <v/>
      </c>
    </row>
    <row r="31">
      <c r="B31" s="7" t="inlineStr">
        <is>
          <t>Пусконаладочные работы</t>
        </is>
      </c>
      <c r="C31" s="46" t="n">
        <v>160371.7</v>
      </c>
      <c r="D31" s="7" t="n"/>
      <c r="E31" s="47">
        <f>C31/$C$40</f>
        <v/>
      </c>
    </row>
    <row r="32" ht="25.5" customHeight="1">
      <c r="B32" s="7" t="inlineStr">
        <is>
          <t>Затраты по перевозке работников к месту работы и обратно</t>
        </is>
      </c>
      <c r="C32" s="101">
        <f>ROUND($C$27*0%,2)</f>
        <v/>
      </c>
      <c r="D32" s="7" t="n"/>
      <c r="E32" s="47">
        <f>C32/$C$40</f>
        <v/>
      </c>
    </row>
    <row r="33" ht="25.5" customHeight="1">
      <c r="B33" s="7" t="inlineStr">
        <is>
          <t>Затраты, связанные с осуществлением работ вахтовым методом</t>
        </is>
      </c>
      <c r="C33" s="101">
        <f>ROUND($C$27*0%,2)</f>
        <v/>
      </c>
      <c r="D33" s="7" t="n"/>
      <c r="E33" s="47">
        <f>C33/$C$40</f>
        <v/>
      </c>
    </row>
    <row r="34" ht="51" customHeight="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01">
        <f>ROUND($C$27*0%,2)</f>
        <v/>
      </c>
      <c r="D34" s="7" t="n"/>
      <c r="E34" s="47">
        <f>C34/$C$40</f>
        <v/>
      </c>
    </row>
    <row r="35" ht="76.5" customHeight="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01">
        <f>ROUND($C$27*0%,2)</f>
        <v/>
      </c>
      <c r="D35" s="7" t="n"/>
      <c r="E35" s="47">
        <f>C35/$C$40</f>
        <v/>
      </c>
    </row>
    <row r="36" ht="25.5" customHeight="1">
      <c r="B36" s="7" t="inlineStr">
        <is>
          <t>Строительный контроль и содержание службы заказчика - 2,14%</t>
        </is>
      </c>
      <c r="C36" s="101">
        <f>ROUND((C27+C32+C33+C34+C35+C29+C31+C30)*2.14%,2)</f>
        <v/>
      </c>
      <c r="D36" s="7" t="n"/>
      <c r="E36" s="47">
        <f>C36/$C$40</f>
        <v/>
      </c>
      <c r="G36" s="69" t="n"/>
      <c r="L36" s="18" t="n"/>
    </row>
    <row r="37">
      <c r="B37" s="7" t="inlineStr">
        <is>
          <t>Авторский надзор - 0,2%</t>
        </is>
      </c>
      <c r="C37" s="101">
        <f>ROUND((C27+C32+C33+C34+C35+C29+C31+C30)*0.2%,2)</f>
        <v/>
      </c>
      <c r="D37" s="7" t="n"/>
      <c r="E37" s="47">
        <f>C37/$C$40</f>
        <v/>
      </c>
      <c r="G37" s="69" t="n"/>
      <c r="L37" s="18" t="n"/>
    </row>
    <row r="38" ht="38.25" customHeight="1">
      <c r="B38" s="7" t="inlineStr">
        <is>
          <t>ИТОГО (СМР+ОБОРУДОВАНИЕ+ПРОЧ. ЗАТР., УЧТЕННЫЕ ПОКАЗАТЕЛЕМ)</t>
        </is>
      </c>
      <c r="C38" s="102">
        <f>C27+C32+C33+C34+C35+C29+C31+C30+C36+C37</f>
        <v/>
      </c>
      <c r="D38" s="7" t="n"/>
      <c r="E38" s="47">
        <f>C38/$C$40</f>
        <v/>
      </c>
    </row>
    <row r="39" ht="13.5" customHeight="1">
      <c r="B39" s="7" t="inlineStr">
        <is>
          <t>Непредвиденные расходы</t>
        </is>
      </c>
      <c r="C39" s="48">
        <f>ROUND(C38*3%,2)</f>
        <v/>
      </c>
      <c r="D39" s="7" t="n"/>
      <c r="E39" s="47">
        <f>C39/$C$38</f>
        <v/>
      </c>
    </row>
    <row r="40">
      <c r="B40" s="7" t="inlineStr">
        <is>
          <t>ВСЕГО:</t>
        </is>
      </c>
      <c r="C40" s="48">
        <f>C39+C38</f>
        <v/>
      </c>
      <c r="D40" s="7" t="n"/>
      <c r="E40" s="47">
        <f>C40/$C$40</f>
        <v/>
      </c>
    </row>
    <row r="41">
      <c r="B41" s="7" t="inlineStr">
        <is>
          <t>ИТОГО ПОКАЗАТЕЛЬ НА ЕД. ИЗМ.</t>
        </is>
      </c>
      <c r="C41" s="48">
        <f>C40/'Прил.5 Расчет СМР и ОБ'!E75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94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94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L82"/>
  <sheetViews>
    <sheetView view="pageBreakPreview" topLeftCell="A70" zoomScale="145" zoomScaleSheetLayoutView="145" workbookViewId="0">
      <selection activeCell="B77" sqref="B77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3.7109375" customWidth="1" style="1" min="11" max="11"/>
    <col width="9.42578125" customWidth="1" style="1" min="12" max="12"/>
    <col width="10.85546875" customWidth="1" style="1" min="13" max="13"/>
    <col width="9.140625" customWidth="1" style="1" min="14" max="14"/>
  </cols>
  <sheetData>
    <row r="2" ht="15.75" customHeight="1">
      <c r="I2" s="89" t="n"/>
      <c r="J2" s="72" t="inlineStr">
        <is>
          <t>Приложение №5</t>
        </is>
      </c>
    </row>
    <row r="4" ht="12.75" customFormat="1" customHeight="1" s="6">
      <c r="A4" s="156" t="inlineStr">
        <is>
          <t>Расчет стоимости СМР и оборудования</t>
        </is>
      </c>
      <c r="I4" s="156" t="n"/>
      <c r="J4" s="156" t="n"/>
    </row>
    <row r="5" ht="12.75" customFormat="1" customHeight="1" s="6">
      <c r="A5" s="156" t="n"/>
      <c r="B5" s="156" t="n"/>
      <c r="C5" s="156" t="n"/>
      <c r="D5" s="156" t="n"/>
      <c r="E5" s="156" t="n"/>
      <c r="F5" s="156" t="n"/>
      <c r="G5" s="156" t="n"/>
      <c r="H5" s="156" t="n"/>
      <c r="I5" s="156" t="n"/>
      <c r="J5" s="156" t="n"/>
    </row>
    <row r="6" ht="26.25" customFormat="1" customHeight="1" s="6">
      <c r="A6" s="174" t="inlineStr">
        <is>
          <t>Наименование разрабатываемого показателя УНЦ</t>
        </is>
      </c>
      <c r="D6" s="174" t="inlineStr">
        <is>
          <t>Ячейка выключателя КРУ с элегазовой изоляцией 20кВ, ном.ток 1250А, ном.ток отключения 25кА</t>
        </is>
      </c>
    </row>
    <row r="7" ht="12.75" customFormat="1" customHeight="1" s="6">
      <c r="A7" s="174">
        <f>'Прил.1 Сравнит табл'!B9</f>
        <v/>
      </c>
      <c r="I7" s="157" t="n"/>
      <c r="J7" s="157" t="n"/>
    </row>
    <row r="8" ht="12.75" customFormat="1" customHeight="1" s="6"/>
    <row r="9" ht="27" customHeight="1">
      <c r="A9" s="167" t="inlineStr">
        <is>
          <t>№ пп.</t>
        </is>
      </c>
      <c r="B9" s="167" t="inlineStr">
        <is>
          <t>Код ресурса</t>
        </is>
      </c>
      <c r="C9" s="167" t="inlineStr">
        <is>
          <t>Наименование</t>
        </is>
      </c>
      <c r="D9" s="167" t="inlineStr">
        <is>
          <t>Ед. изм.</t>
        </is>
      </c>
      <c r="E9" s="167" t="inlineStr">
        <is>
          <t>Кол-во единиц по проектным данным</t>
        </is>
      </c>
      <c r="F9" s="167" t="inlineStr">
        <is>
          <t>Сметная стоимость в ценах на 01.01.2000 (руб.)</t>
        </is>
      </c>
      <c r="G9" s="191" t="n"/>
      <c r="H9" s="167" t="inlineStr">
        <is>
          <t>Удельный вес, %</t>
        </is>
      </c>
      <c r="I9" s="167" t="inlineStr">
        <is>
          <t>Сметная стоимость в ценах на 01.01.2023 (руб.)</t>
        </is>
      </c>
      <c r="J9" s="191" t="n"/>
    </row>
    <row r="10" ht="28.5" customHeight="1">
      <c r="A10" s="193" t="n"/>
      <c r="B10" s="193" t="n"/>
      <c r="C10" s="193" t="n"/>
      <c r="D10" s="193" t="n"/>
      <c r="E10" s="193" t="n"/>
      <c r="F10" s="167" t="inlineStr">
        <is>
          <t>на ед. изм.</t>
        </is>
      </c>
      <c r="G10" s="167" t="inlineStr">
        <is>
          <t>общая</t>
        </is>
      </c>
      <c r="H10" s="193" t="n"/>
      <c r="I10" s="167" t="inlineStr">
        <is>
          <t>на ед. изм.</t>
        </is>
      </c>
      <c r="J10" s="167" t="inlineStr">
        <is>
          <t>общая</t>
        </is>
      </c>
    </row>
    <row r="11">
      <c r="A11" s="167" t="n">
        <v>1</v>
      </c>
      <c r="B11" s="167" t="n">
        <v>2</v>
      </c>
      <c r="C11" s="167" t="n">
        <v>3</v>
      </c>
      <c r="D11" s="167" t="n">
        <v>4</v>
      </c>
      <c r="E11" s="167" t="n">
        <v>5</v>
      </c>
      <c r="F11" s="167" t="n">
        <v>6</v>
      </c>
      <c r="G11" s="167" t="n">
        <v>7</v>
      </c>
      <c r="H11" s="167" t="n">
        <v>8</v>
      </c>
      <c r="I11" s="167" t="n">
        <v>9</v>
      </c>
      <c r="J11" s="167" t="n">
        <v>10</v>
      </c>
    </row>
    <row r="12">
      <c r="A12" s="167" t="n"/>
      <c r="B12" s="150" t="inlineStr">
        <is>
          <t>Затраты труда рабочих-строителей</t>
        </is>
      </c>
      <c r="C12" s="190" t="n"/>
      <c r="D12" s="190" t="n"/>
      <c r="E12" s="190" t="n"/>
      <c r="F12" s="190" t="n"/>
      <c r="G12" s="190" t="n"/>
      <c r="H12" s="191" t="n"/>
      <c r="I12" s="112" t="n"/>
      <c r="J12" s="52" t="n"/>
      <c r="L12" s="99" t="n"/>
    </row>
    <row r="13" ht="25.5" customHeight="1">
      <c r="A13" s="167" t="n">
        <v>1</v>
      </c>
      <c r="B13" s="105" t="inlineStr">
        <is>
          <t>1-4-0</t>
        </is>
      </c>
      <c r="C13" s="159" t="inlineStr">
        <is>
          <t>Затраты труда рабочих (средний разряд работы 4,0)</t>
        </is>
      </c>
      <c r="D13" s="160" t="inlineStr">
        <is>
          <t>чел.-ч.</t>
        </is>
      </c>
      <c r="E13" s="204">
        <f>G13/F13</f>
        <v/>
      </c>
      <c r="F13" s="114" t="n">
        <v>9.4</v>
      </c>
      <c r="G13" s="114" t="n">
        <v>749.76</v>
      </c>
      <c r="H13" s="164">
        <f>G13/G14</f>
        <v/>
      </c>
      <c r="I13" s="114">
        <f>'ФОТр.тек.'!E13</f>
        <v/>
      </c>
      <c r="J13" s="14">
        <f>ROUND(I13*E13,2)</f>
        <v/>
      </c>
    </row>
    <row r="14" ht="25.5" customFormat="1" customHeight="1" s="1">
      <c r="A14" s="167" t="n"/>
      <c r="B14" s="160" t="n"/>
      <c r="C14" s="150" t="inlineStr">
        <is>
          <t>Итого по разделу "Затраты труда рабочих-строителей"</t>
        </is>
      </c>
      <c r="D14" s="160" t="inlineStr">
        <is>
          <t>чел.-ч.</t>
        </is>
      </c>
      <c r="E14" s="204">
        <f>SUM(E13:E13)</f>
        <v/>
      </c>
      <c r="F14" s="114" t="n"/>
      <c r="G14" s="114">
        <f>SUM(G13:G13)</f>
        <v/>
      </c>
      <c r="H14" s="164" t="n">
        <v>1</v>
      </c>
      <c r="I14" s="114" t="n"/>
      <c r="J14" s="14">
        <f>SUM(J13:J13)</f>
        <v/>
      </c>
      <c r="K14" s="205" t="n"/>
      <c r="L14" s="100" t="n"/>
    </row>
    <row r="15" ht="14.25" customFormat="1" customHeight="1" s="1">
      <c r="A15" s="167" t="n"/>
      <c r="B15" s="159" t="inlineStr">
        <is>
          <t>Затраты труда машинистов</t>
        </is>
      </c>
      <c r="C15" s="190" t="n"/>
      <c r="D15" s="190" t="n"/>
      <c r="E15" s="190" t="n"/>
      <c r="F15" s="190" t="n"/>
      <c r="G15" s="190" t="n"/>
      <c r="H15" s="191" t="n"/>
      <c r="I15" s="112" t="n"/>
      <c r="J15" s="52" t="n"/>
    </row>
    <row r="16" ht="14.25" customFormat="1" customHeight="1" s="1">
      <c r="A16" s="167" t="n">
        <v>2</v>
      </c>
      <c r="B16" s="160" t="n">
        <v>2</v>
      </c>
      <c r="C16" s="159" t="inlineStr">
        <is>
          <t>Затраты труда машинистов</t>
        </is>
      </c>
      <c r="D16" s="160" t="inlineStr">
        <is>
          <t>чел.-ч.</t>
        </is>
      </c>
      <c r="E16" s="204" t="n">
        <v>21.9884375</v>
      </c>
      <c r="F16" s="114" t="n">
        <v>11.85</v>
      </c>
      <c r="G16" s="114">
        <f>ROUND(E16*F16,2)</f>
        <v/>
      </c>
      <c r="H16" s="164" t="n">
        <v>1</v>
      </c>
      <c r="I16" s="114">
        <f>ROUND(F16*Прил.10!D10,2)</f>
        <v/>
      </c>
      <c r="J16" s="14">
        <f>ROUND(I16*E16,2)</f>
        <v/>
      </c>
      <c r="L16" s="66" t="n"/>
    </row>
    <row r="17" ht="14.25" customFormat="1" customHeight="1" s="1">
      <c r="A17" s="167" t="n"/>
      <c r="B17" s="150" t="inlineStr">
        <is>
          <t>Машины и механизмы</t>
        </is>
      </c>
      <c r="C17" s="190" t="n"/>
      <c r="D17" s="190" t="n"/>
      <c r="E17" s="190" t="n"/>
      <c r="F17" s="190" t="n"/>
      <c r="G17" s="190" t="n"/>
      <c r="H17" s="191" t="n"/>
      <c r="I17" s="164" t="n"/>
      <c r="J17" s="53" t="n"/>
      <c r="L17" s="99" t="n"/>
    </row>
    <row r="18" ht="14.25" customFormat="1" customHeight="1" s="1">
      <c r="A18" s="167" t="n"/>
      <c r="B18" s="159" t="inlineStr">
        <is>
          <t>Основные машины и механизмы</t>
        </is>
      </c>
      <c r="C18" s="190" t="n"/>
      <c r="D18" s="190" t="n"/>
      <c r="E18" s="190" t="n"/>
      <c r="F18" s="190" t="n"/>
      <c r="G18" s="190" t="n"/>
      <c r="H18" s="191" t="n"/>
      <c r="I18" s="112" t="n"/>
      <c r="J18" s="52" t="n"/>
    </row>
    <row r="19" ht="25.5" customFormat="1" customHeight="1" s="1">
      <c r="A19" s="167" t="n">
        <v>3</v>
      </c>
      <c r="B19" s="105" t="inlineStr">
        <is>
          <t>91.06.03-058</t>
        </is>
      </c>
      <c r="C19" s="159" t="inlineStr">
        <is>
          <t>Лебедки электрические тяговым усилием 156,96 кН (16 т)</t>
        </is>
      </c>
      <c r="D19" s="160" t="inlineStr">
        <is>
          <t>маш.час</t>
        </is>
      </c>
      <c r="E19" s="115" t="n">
        <v>15.538125</v>
      </c>
      <c r="F19" s="116" t="n">
        <v>131.44</v>
      </c>
      <c r="G19" s="114">
        <f>ROUND(E19*F19,2)</f>
        <v/>
      </c>
      <c r="H19" s="164">
        <f>G19/$G$30</f>
        <v/>
      </c>
      <c r="I19" s="114">
        <f>ROUND(F19*Прил.10!$D$11,2)</f>
        <v/>
      </c>
      <c r="J19" s="14">
        <f>ROUND(I19*E19,2)</f>
        <v/>
      </c>
    </row>
    <row r="20" ht="25.5" customFormat="1" customHeight="1" s="1">
      <c r="A20" s="167" t="n">
        <v>4</v>
      </c>
      <c r="B20" s="105" t="inlineStr">
        <is>
          <t>91.05.05-014</t>
        </is>
      </c>
      <c r="C20" s="159" t="inlineStr">
        <is>
          <t>Краны на автомобильном ходу, грузоподъемность 10 т</t>
        </is>
      </c>
      <c r="D20" s="160" t="inlineStr">
        <is>
          <t>маш.час</t>
        </is>
      </c>
      <c r="E20" s="204" t="n">
        <v>3.1253125</v>
      </c>
      <c r="F20" s="116" t="n">
        <v>111.99</v>
      </c>
      <c r="G20" s="114">
        <f>ROUND(E20*F20,2)</f>
        <v/>
      </c>
      <c r="H20" s="164">
        <f>G20/$G$30</f>
        <v/>
      </c>
      <c r="I20" s="114">
        <f>ROUND(F20*Прил.10!$D$11,2)</f>
        <v/>
      </c>
      <c r="J20" s="14">
        <f>ROUND(I20*E20,2)</f>
        <v/>
      </c>
    </row>
    <row r="21" ht="14.25" customFormat="1" customHeight="1" s="1">
      <c r="A21" s="167" t="n"/>
      <c r="B21" s="160" t="n"/>
      <c r="C21" s="159" t="inlineStr">
        <is>
          <t>Итого основные машины и механизмы</t>
        </is>
      </c>
      <c r="D21" s="160" t="n"/>
      <c r="E21" s="206" t="n"/>
      <c r="F21" s="114" t="n"/>
      <c r="G21" s="114">
        <f>SUM(G19:G20)</f>
        <v/>
      </c>
      <c r="H21" s="164">
        <f>G21/G30</f>
        <v/>
      </c>
      <c r="I21" s="114" t="n"/>
      <c r="J21" s="14">
        <f>SUM(J19:J20)</f>
        <v/>
      </c>
      <c r="L21" s="205" t="n"/>
    </row>
    <row r="22" hidden="1" outlineLevel="1" ht="25.5" customFormat="1" customHeight="1" s="1">
      <c r="A22" s="167" t="n">
        <v>5</v>
      </c>
      <c r="B22" s="105" t="inlineStr">
        <is>
          <t>91.14.02-001</t>
        </is>
      </c>
      <c r="C22" s="159" t="inlineStr">
        <is>
          <t>Автомобили бортовые, грузоподъемность: до 5 т</t>
        </is>
      </c>
      <c r="D22" s="160" t="inlineStr">
        <is>
          <t>маш.час</t>
        </is>
      </c>
      <c r="E22" s="115" t="n">
        <v>3.096875</v>
      </c>
      <c r="F22" s="116" t="n">
        <v>65.70999999999999</v>
      </c>
      <c r="G22" s="114">
        <f>ROUND(E22*F22,2)</f>
        <v/>
      </c>
      <c r="H22" s="164">
        <f>G22/$G$30</f>
        <v/>
      </c>
      <c r="I22" s="114">
        <f>ROUND(F22*Прил.10!$D$11,2)</f>
        <v/>
      </c>
      <c r="J22" s="14">
        <f>ROUND(I22*E22,2)</f>
        <v/>
      </c>
      <c r="L22" s="205" t="n"/>
    </row>
    <row r="23" hidden="1" outlineLevel="1" ht="25.5" customFormat="1" customHeight="1" s="1">
      <c r="A23" s="167" t="n">
        <v>6</v>
      </c>
      <c r="B23" s="105" t="inlineStr">
        <is>
          <t>91.17.04-161</t>
        </is>
      </c>
      <c r="C23" s="159" t="inlineStr">
        <is>
          <t>Полуавтоматы сварочные номинальным сварочным током 40-500 А</t>
        </is>
      </c>
      <c r="D23" s="160" t="inlineStr">
        <is>
          <t>маш.час</t>
        </is>
      </c>
      <c r="E23" s="117" t="n">
        <v>3.5625</v>
      </c>
      <c r="F23" s="116" t="n">
        <v>16.44</v>
      </c>
      <c r="G23" s="114">
        <f>ROUND(E23*F23,2)</f>
        <v/>
      </c>
      <c r="H23" s="164">
        <f>G23/$G$30</f>
        <v/>
      </c>
      <c r="I23" s="114">
        <f>ROUND(F23*Прил.10!$D$11,2)</f>
        <v/>
      </c>
      <c r="J23" s="14">
        <f>ROUND(I23*E23,2)</f>
        <v/>
      </c>
      <c r="L23" s="205" t="n"/>
    </row>
    <row r="24" hidden="1" outlineLevel="1" ht="14.25" customFormat="1" customHeight="1" s="1">
      <c r="A24" s="167" t="n">
        <v>7</v>
      </c>
      <c r="B24" s="105" t="inlineStr">
        <is>
          <t>91.21.22-438</t>
        </is>
      </c>
      <c r="C24" s="159" t="inlineStr">
        <is>
          <t>Установка: передвижная цеолитовая</t>
        </is>
      </c>
      <c r="D24" s="160" t="inlineStr">
        <is>
          <t>маш.час</t>
        </is>
      </c>
      <c r="E24" s="115" t="n">
        <v>0.9875</v>
      </c>
      <c r="F24" s="116" t="n">
        <v>38.65</v>
      </c>
      <c r="G24" s="114">
        <f>ROUND(E24*F24,2)</f>
        <v/>
      </c>
      <c r="H24" s="164">
        <f>G24/$G$30</f>
        <v/>
      </c>
      <c r="I24" s="114">
        <f>ROUND(F24*Прил.10!$D$11,2)</f>
        <v/>
      </c>
      <c r="J24" s="14">
        <f>ROUND(I24*E24,2)</f>
        <v/>
      </c>
      <c r="L24" s="205" t="n"/>
    </row>
    <row r="25" hidden="1" outlineLevel="1" ht="14.25" customFormat="1" customHeight="1" s="1">
      <c r="A25" s="167" t="n">
        <v>8</v>
      </c>
      <c r="B25" s="105" t="inlineStr">
        <is>
          <t>91.19.12-021</t>
        </is>
      </c>
      <c r="C25" s="159" t="inlineStr">
        <is>
          <t>Насос вакуумный: 3,6 м3/мин</t>
        </is>
      </c>
      <c r="D25" s="160" t="inlineStr">
        <is>
          <t>маш.час</t>
        </is>
      </c>
      <c r="E25" s="115" t="n">
        <v>3.8875</v>
      </c>
      <c r="F25" s="116" t="n">
        <v>6.28</v>
      </c>
      <c r="G25" s="114">
        <f>ROUND(E25*F25,2)</f>
        <v/>
      </c>
      <c r="H25" s="164">
        <f>G25/$G$30</f>
        <v/>
      </c>
      <c r="I25" s="114">
        <f>ROUND(F25*Прил.10!$D$11,2)</f>
        <v/>
      </c>
      <c r="J25" s="14">
        <f>ROUND(I25*E25,2)</f>
        <v/>
      </c>
      <c r="L25" s="205" t="n"/>
    </row>
    <row r="26" hidden="1" outlineLevel="1" ht="25.5" customFormat="1" customHeight="1" s="1">
      <c r="A26" s="167" t="n">
        <v>9</v>
      </c>
      <c r="B26" s="105" t="inlineStr">
        <is>
          <t>91.21.22-091</t>
        </is>
      </c>
      <c r="C26" s="159" t="inlineStr">
        <is>
          <t>Выпрямитель полупроводниковый для подогрева трансформаторов</t>
        </is>
      </c>
      <c r="D26" s="160" t="inlineStr">
        <is>
          <t>маш.час</t>
        </is>
      </c>
      <c r="E26" s="115" t="n">
        <v>4.7125</v>
      </c>
      <c r="F26" s="116" t="n">
        <v>3.82</v>
      </c>
      <c r="G26" s="114">
        <f>ROUND(E26*F26,2)</f>
        <v/>
      </c>
      <c r="H26" s="164">
        <f>G26/$G$30</f>
        <v/>
      </c>
      <c r="I26" s="114">
        <f>ROUND(F26*Прил.10!$D$11,2)</f>
        <v/>
      </c>
      <c r="J26" s="14">
        <f>ROUND(I26*E26,2)</f>
        <v/>
      </c>
      <c r="L26" s="205" t="n"/>
    </row>
    <row r="27" hidden="1" outlineLevel="1" ht="25.5" customFormat="1" customHeight="1" s="1">
      <c r="A27" s="167" t="n">
        <v>10</v>
      </c>
      <c r="B27" s="105" t="inlineStr">
        <is>
          <t>91.19.02-002</t>
        </is>
      </c>
      <c r="C27" s="159" t="inlineStr">
        <is>
          <t>Маслонасосы шестеренные, производительность м3/час: 2,3</t>
        </is>
      </c>
      <c r="D27" s="160" t="inlineStr">
        <is>
          <t>маш.час</t>
        </is>
      </c>
      <c r="E27" s="115" t="n">
        <v>0.2475</v>
      </c>
      <c r="F27" s="116" t="n">
        <v>0.9</v>
      </c>
      <c r="G27" s="114">
        <f>ROUND(E27*F27,2)</f>
        <v/>
      </c>
      <c r="H27" s="164">
        <f>G27/$G$30</f>
        <v/>
      </c>
      <c r="I27" s="114">
        <f>ROUND(F27*Прил.10!$D$11,2)</f>
        <v/>
      </c>
      <c r="J27" s="14">
        <f>ROUND(I27*E27,2)</f>
        <v/>
      </c>
      <c r="L27" s="205" t="n"/>
    </row>
    <row r="28" hidden="1" outlineLevel="1" ht="25.5" customFormat="1" customHeight="1" s="1">
      <c r="A28" s="167" t="n">
        <v>11</v>
      </c>
      <c r="B28" s="105" t="inlineStr">
        <is>
          <t>91.17.04-233</t>
        </is>
      </c>
      <c r="C28" s="159" t="inlineStr">
        <is>
          <t>Установки для сварки: ручной дуговой (постоянного тока)</t>
        </is>
      </c>
      <c r="D28" s="160" t="inlineStr">
        <is>
          <t>маш.час</t>
        </is>
      </c>
      <c r="E28" s="115" t="n">
        <v>0.0125</v>
      </c>
      <c r="F28" s="116" t="n">
        <v>8.1</v>
      </c>
      <c r="G28" s="114">
        <f>ROUND(E28*F28,2)</f>
        <v/>
      </c>
      <c r="H28" s="164">
        <f>G28/$G$30</f>
        <v/>
      </c>
      <c r="I28" s="114">
        <f>ROUND(F28*Прил.10!$D$11,2)</f>
        <v/>
      </c>
      <c r="J28" s="14">
        <f>ROUND(I28*E28,2)</f>
        <v/>
      </c>
      <c r="L28" s="205" t="n"/>
    </row>
    <row r="29" collapsed="1" ht="14.25" customFormat="1" customHeight="1" s="1">
      <c r="A29" s="167" t="n"/>
      <c r="B29" s="160" t="n"/>
      <c r="C29" s="159" t="inlineStr">
        <is>
          <t>Итого прочие машины и механизмы</t>
        </is>
      </c>
      <c r="D29" s="160" t="n"/>
      <c r="E29" s="161" t="n"/>
      <c r="F29" s="114" t="n"/>
      <c r="G29" s="114">
        <f>SUM(G22:G28)</f>
        <v/>
      </c>
      <c r="H29" s="164">
        <f>G29/G30</f>
        <v/>
      </c>
      <c r="I29" s="114" t="n"/>
      <c r="J29" s="14">
        <f>SUM(J22:J28)</f>
        <v/>
      </c>
      <c r="K29" s="205" t="n"/>
      <c r="L29" s="99" t="n"/>
    </row>
    <row r="30" ht="25.5" customFormat="1" customHeight="1" s="1">
      <c r="A30" s="167" t="n"/>
      <c r="B30" s="175" t="n"/>
      <c r="C30" s="59" t="inlineStr">
        <is>
          <t>Итого по разделу «Машины и механизмы»</t>
        </is>
      </c>
      <c r="D30" s="175" t="n"/>
      <c r="E30" s="60" t="n"/>
      <c r="F30" s="61" t="n"/>
      <c r="G30" s="61">
        <f>G21+G29</f>
        <v/>
      </c>
      <c r="H30" s="62" t="n">
        <v>1</v>
      </c>
      <c r="I30" s="61" t="n"/>
      <c r="J30" s="61">
        <f>J21+J29</f>
        <v/>
      </c>
    </row>
    <row r="31">
      <c r="A31" s="177" t="n"/>
      <c r="B31" s="151" t="inlineStr">
        <is>
          <t xml:space="preserve">Оборудование </t>
        </is>
      </c>
      <c r="C31" s="190" t="n"/>
      <c r="D31" s="190" t="n"/>
      <c r="E31" s="190" t="n"/>
      <c r="F31" s="190" t="n"/>
      <c r="G31" s="190" t="n"/>
      <c r="H31" s="190" t="n"/>
      <c r="I31" s="190" t="n"/>
      <c r="J31" s="191" t="n"/>
    </row>
    <row r="32" ht="15" customHeight="1">
      <c r="A32" s="167" t="n"/>
      <c r="B32" s="165" t="inlineStr">
        <is>
          <t>Основное оборудование</t>
        </is>
      </c>
    </row>
    <row r="33" ht="38.25" customHeight="1">
      <c r="A33" s="167" t="n">
        <v>12</v>
      </c>
      <c r="B33" s="56" t="inlineStr">
        <is>
          <t>БЦ.77.18</t>
        </is>
      </c>
      <c r="C33" s="166" t="inlineStr">
        <is>
          <t>Ячейка выключателя КРУ с элегазовой изоляцией 20кВ, ном.ток 1250А, ном.ток отключения 25кА</t>
        </is>
      </c>
      <c r="D33" s="167" t="inlineStr">
        <is>
          <t>шт.</t>
        </is>
      </c>
      <c r="E33" s="129" t="n">
        <v>1</v>
      </c>
      <c r="F33" s="169">
        <f>ROUND(I33/Прил.10!$D$13,2)</f>
        <v/>
      </c>
      <c r="G33" s="14">
        <f>ROUND(E33*F33,2)</f>
        <v/>
      </c>
      <c r="H33" s="53">
        <f>G33/$G$38</f>
        <v/>
      </c>
      <c r="I33" s="14" t="n">
        <v>6460000</v>
      </c>
      <c r="J33" s="14">
        <f>ROUND(I33*E33,2)</f>
        <v/>
      </c>
    </row>
    <row r="34">
      <c r="A34" s="167" t="n"/>
      <c r="B34" s="167" t="n"/>
      <c r="C34" s="166" t="inlineStr">
        <is>
          <t>Итого основное оборудование</t>
        </is>
      </c>
      <c r="D34" s="167" t="n"/>
      <c r="E34" s="207" t="n"/>
      <c r="F34" s="169" t="n"/>
      <c r="G34" s="14">
        <f>SUM(G33:G33)</f>
        <v/>
      </c>
      <c r="H34" s="53">
        <f>G34/$G$38</f>
        <v/>
      </c>
      <c r="I34" s="14" t="n"/>
      <c r="J34" s="14">
        <f>SUM(J33:J33)</f>
        <v/>
      </c>
      <c r="K34" s="205" t="n"/>
    </row>
    <row r="35" hidden="1" outlineLevel="1">
      <c r="A35" s="167" t="n"/>
      <c r="B35" s="167" t="n"/>
      <c r="C35" s="166" t="n"/>
      <c r="D35" s="167" t="n"/>
      <c r="E35" s="207" t="n"/>
      <c r="F35" s="169" t="n"/>
      <c r="G35" s="14">
        <f>ROUND(E35*F35,2)</f>
        <v/>
      </c>
      <c r="H35" s="53">
        <f>G35/$G$38</f>
        <v/>
      </c>
      <c r="I35" s="14">
        <f>ROUND(F35*Прил.10!$D$13,2)</f>
        <v/>
      </c>
      <c r="J35" s="14">
        <f>ROUND(I35*E35,2)</f>
        <v/>
      </c>
      <c r="K35" s="205" t="n"/>
    </row>
    <row r="36" hidden="1" outlineLevel="1">
      <c r="A36" s="167" t="n"/>
      <c r="B36" s="167" t="n"/>
      <c r="C36" s="166" t="n"/>
      <c r="D36" s="167" t="n"/>
      <c r="E36" s="207" t="n"/>
      <c r="F36" s="169" t="n"/>
      <c r="G36" s="14">
        <f>ROUND(E36*F36,2)</f>
        <v/>
      </c>
      <c r="H36" s="53">
        <f>G36/$G$38</f>
        <v/>
      </c>
      <c r="I36" s="14">
        <f>ROUND(F36*Прил.10!$D$13,2)</f>
        <v/>
      </c>
      <c r="J36" s="14">
        <f>ROUND(I36*E36,2)</f>
        <v/>
      </c>
      <c r="K36" s="205" t="n"/>
    </row>
    <row r="37" collapsed="1">
      <c r="A37" s="167" t="n"/>
      <c r="B37" s="167" t="n"/>
      <c r="C37" s="166" t="inlineStr">
        <is>
          <t>Итого прочее оборудование</t>
        </is>
      </c>
      <c r="D37" s="167" t="n"/>
      <c r="E37" s="168" t="n"/>
      <c r="F37" s="169" t="n"/>
      <c r="G37" s="14">
        <f>SUM(G35:G36)</f>
        <v/>
      </c>
      <c r="H37" s="53">
        <f>G37/$G$38</f>
        <v/>
      </c>
      <c r="I37" s="14" t="n"/>
      <c r="J37" s="14">
        <f>SUM(J35:J36)</f>
        <v/>
      </c>
      <c r="K37" s="205" t="n"/>
      <c r="L37" s="99" t="n"/>
    </row>
    <row r="38">
      <c r="A38" s="167" t="n"/>
      <c r="B38" s="167" t="n"/>
      <c r="C38" s="151" t="inlineStr">
        <is>
          <t>Итого по разделу «Оборудование»</t>
        </is>
      </c>
      <c r="D38" s="167" t="n"/>
      <c r="E38" s="168" t="n"/>
      <c r="F38" s="169" t="n"/>
      <c r="G38" s="14">
        <f>G34+G37</f>
        <v/>
      </c>
      <c r="H38" s="53">
        <f>(G34+G37)/G38</f>
        <v/>
      </c>
      <c r="I38" s="14" t="n"/>
      <c r="J38" s="14">
        <f>J37+J34</f>
        <v/>
      </c>
      <c r="K38" s="205" t="n"/>
    </row>
    <row r="39" ht="25.5" customHeight="1">
      <c r="A39" s="167" t="n"/>
      <c r="B39" s="167" t="n"/>
      <c r="C39" s="166" t="inlineStr">
        <is>
          <t>в том числе технологическое оборудование</t>
        </is>
      </c>
      <c r="D39" s="167" t="n"/>
      <c r="E39" s="168" t="n"/>
      <c r="F39" s="169" t="n"/>
      <c r="G39" s="14">
        <f>'Прил.6 Расчет ОБ'!G13</f>
        <v/>
      </c>
      <c r="H39" s="53">
        <f>G39/$G$38</f>
        <v/>
      </c>
      <c r="I39" s="14" t="n"/>
      <c r="J39" s="14">
        <f>ROUND(G39*Прил.10!$D$13,2)</f>
        <v/>
      </c>
      <c r="K39" s="205" t="n"/>
    </row>
    <row r="40" ht="14.25" customFormat="1" customHeight="1" s="1">
      <c r="A40" s="167" t="n"/>
      <c r="B40" s="208" t="inlineStr">
        <is>
          <t>Материалы</t>
        </is>
      </c>
      <c r="J40" s="209" t="n"/>
      <c r="K40" s="205" t="n"/>
    </row>
    <row r="41" ht="14.25" customFormat="1" customHeight="1" s="1">
      <c r="A41" s="167" t="n"/>
      <c r="B41" s="166" t="inlineStr">
        <is>
          <t>Основные материалы</t>
        </is>
      </c>
      <c r="C41" s="190" t="n"/>
      <c r="D41" s="190" t="n"/>
      <c r="E41" s="190" t="n"/>
      <c r="F41" s="190" t="n"/>
      <c r="G41" s="190" t="n"/>
      <c r="H41" s="191" t="n"/>
      <c r="I41" s="53" t="n"/>
      <c r="J41" s="53" t="n"/>
    </row>
    <row r="42" ht="14.25" customFormat="1" customHeight="1" s="1">
      <c r="A42" s="167" t="n">
        <v>13</v>
      </c>
      <c r="B42" s="56" t="inlineStr">
        <is>
          <t>01.1.02.01-0003</t>
        </is>
      </c>
      <c r="C42" s="166" t="inlineStr">
        <is>
          <t>Асботекстолит, марка Г</t>
        </is>
      </c>
      <c r="D42" s="167" t="inlineStr">
        <is>
          <t>т</t>
        </is>
      </c>
      <c r="E42" s="207" t="n">
        <v>0.0255</v>
      </c>
      <c r="F42" s="182" t="n">
        <v>161000</v>
      </c>
      <c r="G42" s="14">
        <f>ROUND(E42*F42,2)</f>
        <v/>
      </c>
      <c r="H42" s="53">
        <f>G42/$G$69</f>
        <v/>
      </c>
      <c r="I42" s="14">
        <f>ROUND(F42*Прил.10!$D$12,2)</f>
        <v/>
      </c>
      <c r="J42" s="14">
        <f>ROUND(I42*E42,2)</f>
        <v/>
      </c>
    </row>
    <row r="43" ht="14.25" customFormat="1" customHeight="1" s="1">
      <c r="A43" s="167" t="n">
        <v>14</v>
      </c>
      <c r="B43" s="56" t="inlineStr">
        <is>
          <t>01.3.02.02-0001</t>
        </is>
      </c>
      <c r="C43" s="166" t="inlineStr">
        <is>
          <t>Аргон газообразный, сорт I</t>
        </is>
      </c>
      <c r="D43" s="167" t="inlineStr">
        <is>
          <t>м3</t>
        </is>
      </c>
      <c r="E43" s="207" t="n">
        <v>121.5</v>
      </c>
      <c r="F43" s="182" t="n">
        <v>17.86</v>
      </c>
      <c r="G43" s="14">
        <f>ROUND(E43*F43,2)</f>
        <v/>
      </c>
      <c r="H43" s="53">
        <f>G43/$G$69</f>
        <v/>
      </c>
      <c r="I43" s="14">
        <f>ROUND(F43*Прил.10!$D$12,2)</f>
        <v/>
      </c>
      <c r="J43" s="14">
        <f>ROUND(I43*E43,2)</f>
        <v/>
      </c>
    </row>
    <row r="44" ht="25.5" customFormat="1" customHeight="1" s="1">
      <c r="A44" s="167" t="n">
        <v>15</v>
      </c>
      <c r="B44" s="56" t="inlineStr">
        <is>
          <t>21.1.08.03-0078</t>
        </is>
      </c>
      <c r="C44" s="166" t="inlineStr">
        <is>
          <t>Кабель контрольный КВВГЭнг(A)-FRLS 5х2,5</t>
        </is>
      </c>
      <c r="D44" s="167" t="inlineStr">
        <is>
          <t>1000 м</t>
        </is>
      </c>
      <c r="E44" s="207" t="n">
        <v>0.05</v>
      </c>
      <c r="F44" s="182" t="n">
        <v>36884.36</v>
      </c>
      <c r="G44" s="14">
        <f>ROUND(E44*F44,2)</f>
        <v/>
      </c>
      <c r="H44" s="53">
        <f>G44/$G$69</f>
        <v/>
      </c>
      <c r="I44" s="14">
        <f>ROUND(F44*Прил.10!$D$12,2)</f>
        <v/>
      </c>
      <c r="J44" s="14">
        <f>ROUND(I44*E44,2)</f>
        <v/>
      </c>
    </row>
    <row r="45" ht="25.5" customFormat="1" customHeight="1" s="1">
      <c r="A45" s="167" t="n">
        <v>16</v>
      </c>
      <c r="B45" s="56" t="inlineStr">
        <is>
          <t>01.1.02.09-0021</t>
        </is>
      </c>
      <c r="C45" s="166" t="inlineStr">
        <is>
          <t>Ткань асбестовая со стеклонитью АСТ-1, толщина 1,8 мм</t>
        </is>
      </c>
      <c r="D45" s="167" t="inlineStr">
        <is>
          <t>т</t>
        </is>
      </c>
      <c r="E45" s="207" t="n">
        <v>0.0268</v>
      </c>
      <c r="F45" s="182" t="n">
        <v>66860</v>
      </c>
      <c r="G45" s="14">
        <f>ROUND(E45*F45,2)</f>
        <v/>
      </c>
      <c r="H45" s="53">
        <f>G45/$G$69</f>
        <v/>
      </c>
      <c r="I45" s="14">
        <f>ROUND(F45*Прил.10!$D$12,2)</f>
        <v/>
      </c>
      <c r="J45" s="14">
        <f>ROUND(I45*E45,2)</f>
        <v/>
      </c>
    </row>
    <row r="46" ht="25.5" customFormat="1" customHeight="1" s="1">
      <c r="A46" s="167" t="n">
        <v>17</v>
      </c>
      <c r="B46" s="56" t="inlineStr">
        <is>
          <t>01.7.11.04-0002</t>
        </is>
      </c>
      <c r="C46" s="166" t="inlineStr">
        <is>
          <t>Проволока наплавочная ПП-Нп-19СТ, диаметр 3 мм</t>
        </is>
      </c>
      <c r="D46" s="167" t="inlineStr">
        <is>
          <t>т</t>
        </is>
      </c>
      <c r="E46" s="207" t="n">
        <v>0.08699999999999999</v>
      </c>
      <c r="F46" s="182" t="n">
        <v>20300</v>
      </c>
      <c r="G46" s="14">
        <f>ROUND(E46*F46,2)</f>
        <v/>
      </c>
      <c r="H46" s="53">
        <f>G46/$G$69</f>
        <v/>
      </c>
      <c r="I46" s="14">
        <f>ROUND(F46*Прил.10!$D$12,2)</f>
        <v/>
      </c>
      <c r="J46" s="14">
        <f>ROUND(I46*E46,2)</f>
        <v/>
      </c>
    </row>
    <row r="47" ht="38.25" customFormat="1" customHeight="1" s="1">
      <c r="A47" s="167" t="n">
        <v>18</v>
      </c>
      <c r="B47" s="56" t="inlineStr">
        <is>
          <t>25.1.01.04-0012</t>
        </is>
      </c>
      <c r="C47" s="166" t="inlineStr">
        <is>
          <t>Шпалы из древесины хвойных пород для колеи 600 мм, непропитанные, длина 1200 мм, тип II</t>
        </is>
      </c>
      <c r="D47" s="167" t="inlineStr">
        <is>
          <t>шт</t>
        </is>
      </c>
      <c r="E47" s="207" t="n">
        <v>30</v>
      </c>
      <c r="F47" s="182" t="n">
        <v>42.6</v>
      </c>
      <c r="G47" s="14">
        <f>ROUND(E47*F47,2)</f>
        <v/>
      </c>
      <c r="H47" s="53">
        <f>G47/$G$69</f>
        <v/>
      </c>
      <c r="I47" s="14">
        <f>ROUND(F47*Прил.10!$D$12,2)</f>
        <v/>
      </c>
      <c r="J47" s="14">
        <f>ROUND(I47*E47,2)</f>
        <v/>
      </c>
    </row>
    <row r="48" ht="14.25" customFormat="1" customHeight="1" s="1">
      <c r="A48" s="167" t="n">
        <v>19</v>
      </c>
      <c r="B48" s="56" t="inlineStr">
        <is>
          <t>01.3.02.03-0001</t>
        </is>
      </c>
      <c r="C48" s="166" t="inlineStr">
        <is>
          <t>Ацетилен газообразный технический</t>
        </is>
      </c>
      <c r="D48" s="167" t="inlineStr">
        <is>
          <t>м3</t>
        </is>
      </c>
      <c r="E48" s="207" t="n">
        <v>16.5</v>
      </c>
      <c r="F48" s="182" t="n">
        <v>38.51</v>
      </c>
      <c r="G48" s="14">
        <f>ROUND(E48*F48,2)</f>
        <v/>
      </c>
      <c r="H48" s="53">
        <f>G48/$G$69</f>
        <v/>
      </c>
      <c r="I48" s="14">
        <f>ROUND(F48*Прил.10!$D$12,2)</f>
        <v/>
      </c>
      <c r="J48" s="14">
        <f>ROUND(I48*E48,2)</f>
        <v/>
      </c>
    </row>
    <row r="49" ht="25.5" customFormat="1" customHeight="1" s="1">
      <c r="A49" s="167" t="n">
        <v>20</v>
      </c>
      <c r="B49" s="56" t="inlineStr">
        <is>
          <t>01.7.02.06-0017</t>
        </is>
      </c>
      <c r="C49" s="166" t="inlineStr">
        <is>
          <t>Картон строительный прокладочный, марка Б</t>
        </is>
      </c>
      <c r="D49" s="167" t="inlineStr">
        <is>
          <t>т</t>
        </is>
      </c>
      <c r="E49" s="207" t="n">
        <v>0.03</v>
      </c>
      <c r="F49" s="182" t="n">
        <v>19800</v>
      </c>
      <c r="G49" s="14">
        <f>ROUND(E49*F49,2)</f>
        <v/>
      </c>
      <c r="H49" s="53">
        <f>G49/$G$69</f>
        <v/>
      </c>
      <c r="I49" s="14">
        <f>ROUND(F49*Прил.10!$D$12,2)</f>
        <v/>
      </c>
      <c r="J49" s="14">
        <f>ROUND(I49*E49,2)</f>
        <v/>
      </c>
    </row>
    <row r="50" ht="14.25" customFormat="1" customHeight="1" s="1">
      <c r="A50" s="167" t="n">
        <v>21</v>
      </c>
      <c r="B50" s="56" t="inlineStr">
        <is>
          <t>14.4.02.09-0001</t>
        </is>
      </c>
      <c r="C50" s="166" t="inlineStr">
        <is>
          <t>Краска</t>
        </is>
      </c>
      <c r="D50" s="167" t="inlineStr">
        <is>
          <t>кг</t>
        </is>
      </c>
      <c r="E50" s="207" t="n">
        <v>15.2</v>
      </c>
      <c r="F50" s="182" t="n">
        <v>28.6</v>
      </c>
      <c r="G50" s="14">
        <f>ROUND(E50*F50,2)</f>
        <v/>
      </c>
      <c r="H50" s="53">
        <f>G50/$G$69</f>
        <v/>
      </c>
      <c r="I50" s="14">
        <f>ROUND(F50*Прил.10!$D$12,2)</f>
        <v/>
      </c>
      <c r="J50" s="14">
        <f>ROUND(I50*E50,2)</f>
        <v/>
      </c>
    </row>
    <row r="51" ht="14.25" customFormat="1" customHeight="1" s="1">
      <c r="A51" s="167" t="n"/>
      <c r="B51" s="167" t="n"/>
      <c r="C51" s="166" t="inlineStr">
        <is>
          <t>Итого основные материалы</t>
        </is>
      </c>
      <c r="D51" s="167" t="n"/>
      <c r="E51" s="207" t="n"/>
      <c r="F51" s="169" t="n"/>
      <c r="G51" s="14">
        <f>SUM(G42:G50)</f>
        <v/>
      </c>
      <c r="H51" s="53">
        <f>G51/$G$69</f>
        <v/>
      </c>
      <c r="I51" s="14" t="n"/>
      <c r="J51" s="14">
        <f>SUM(J42:J50)</f>
        <v/>
      </c>
      <c r="K51" s="205" t="n"/>
    </row>
    <row r="52" hidden="1" outlineLevel="1" ht="25.5" customFormat="1" customHeight="1" s="1">
      <c r="A52" s="167" t="n">
        <v>22</v>
      </c>
      <c r="B52" s="56" t="inlineStr">
        <is>
          <t>999-9950</t>
        </is>
      </c>
      <c r="C52" s="166" t="inlineStr">
        <is>
          <t>Вспомогательные ненормируемые ресурсы</t>
        </is>
      </c>
      <c r="D52" s="167" t="inlineStr">
        <is>
          <t>руб.</t>
        </is>
      </c>
      <c r="E52" s="207" t="n">
        <v>478.05</v>
      </c>
      <c r="F52" s="182" t="n">
        <v>1</v>
      </c>
      <c r="G52" s="14">
        <f>ROUND(F52*E52,2)</f>
        <v/>
      </c>
      <c r="H52" s="53">
        <f>G52/$G$69</f>
        <v/>
      </c>
      <c r="I52" s="14">
        <f>ROUND(F52*Прил.10!$D$12,2)</f>
        <v/>
      </c>
      <c r="J52" s="14">
        <f>ROUND(I52*E52,2)</f>
        <v/>
      </c>
    </row>
    <row r="53" hidden="1" outlineLevel="1" ht="25.5" customFormat="1" customHeight="1" s="1">
      <c r="A53" s="167" t="n">
        <v>23</v>
      </c>
      <c r="B53" s="56" t="inlineStr">
        <is>
          <t>01.7.19.04-0031</t>
        </is>
      </c>
      <c r="C53" s="166" t="inlineStr">
        <is>
          <t>Прокладки резиновые (пластина техническая прессованная)</t>
        </is>
      </c>
      <c r="D53" s="167" t="inlineStr">
        <is>
          <t>кг</t>
        </is>
      </c>
      <c r="E53" s="207" t="n">
        <v>18.75</v>
      </c>
      <c r="F53" s="182" t="n">
        <v>23.09</v>
      </c>
      <c r="G53" s="14">
        <f>ROUND(F53*E53,2)</f>
        <v/>
      </c>
      <c r="H53" s="53">
        <f>G53/$G$69</f>
        <v/>
      </c>
      <c r="I53" s="14">
        <f>ROUND(F53*Прил.10!$D$12,2)</f>
        <v/>
      </c>
      <c r="J53" s="14">
        <f>ROUND(I53*E53,2)</f>
        <v/>
      </c>
    </row>
    <row r="54" hidden="1" outlineLevel="1" ht="14.25" customFormat="1" customHeight="1" s="1">
      <c r="A54" s="167" t="n">
        <v>24</v>
      </c>
      <c r="B54" s="56" t="inlineStr">
        <is>
          <t>07.2.07.13-0171</t>
        </is>
      </c>
      <c r="C54" s="166" t="inlineStr">
        <is>
          <t>Подкладки металлические</t>
        </is>
      </c>
      <c r="D54" s="167" t="inlineStr">
        <is>
          <t>кг</t>
        </is>
      </c>
      <c r="E54" s="207" t="n">
        <v>30</v>
      </c>
      <c r="F54" s="182" t="n">
        <v>12.6</v>
      </c>
      <c r="G54" s="14">
        <f>ROUND(F54*E54,2)</f>
        <v/>
      </c>
      <c r="H54" s="53">
        <f>G54/$G$69</f>
        <v/>
      </c>
      <c r="I54" s="14">
        <f>ROUND(F54*Прил.10!$D$12,2)</f>
        <v/>
      </c>
      <c r="J54" s="14">
        <f>ROUND(I54*E54,2)</f>
        <v/>
      </c>
    </row>
    <row r="55" hidden="1" outlineLevel="1" ht="38.25" customFormat="1" customHeight="1" s="1">
      <c r="A55" s="167" t="n">
        <v>25</v>
      </c>
      <c r="B55" s="56" t="inlineStr">
        <is>
          <t>11.1.03.05-0085</t>
        </is>
      </c>
      <c r="C55" s="166" t="inlineStr">
        <is>
          <t>Доски необрезные хвойных пород длиной: 4-6,5 м, все ширины, толщиной 44 мм и более, III сорта</t>
        </is>
      </c>
      <c r="D55" s="167" t="inlineStr">
        <is>
          <t>м3</t>
        </is>
      </c>
      <c r="E55" s="207" t="n">
        <v>0.3</v>
      </c>
      <c r="F55" s="182" t="n">
        <v>684</v>
      </c>
      <c r="G55" s="14">
        <f>ROUND(F55*E55,2)</f>
        <v/>
      </c>
      <c r="H55" s="53">
        <f>G55/$G$69</f>
        <v/>
      </c>
      <c r="I55" s="14">
        <f>ROUND(F55*Прил.10!$D$12,2)</f>
        <v/>
      </c>
      <c r="J55" s="14">
        <f>ROUND(I55*E55,2)</f>
        <v/>
      </c>
    </row>
    <row r="56" hidden="1" outlineLevel="1" ht="25.5" customFormat="1" customHeight="1" s="1">
      <c r="A56" s="167" t="n">
        <v>26</v>
      </c>
      <c r="B56" s="56" t="inlineStr">
        <is>
          <t>01.7.15.06-0121</t>
        </is>
      </c>
      <c r="C56" s="166" t="inlineStr">
        <is>
          <t>Гвозди строительные с плоской головкой: 1,6x50 мм</t>
        </is>
      </c>
      <c r="D56" s="167" t="inlineStr">
        <is>
          <t>т</t>
        </is>
      </c>
      <c r="E56" s="207" t="n">
        <v>0.0225</v>
      </c>
      <c r="F56" s="182" t="n">
        <v>8475</v>
      </c>
      <c r="G56" s="14">
        <f>ROUND(F56*E56,2)</f>
        <v/>
      </c>
      <c r="H56" s="53">
        <f>G56/$G$69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">
      <c r="A57" s="167" t="n">
        <v>27</v>
      </c>
      <c r="B57" s="56" t="inlineStr">
        <is>
          <t>14.5.09.01-0003</t>
        </is>
      </c>
      <c r="C57" s="166" t="inlineStr">
        <is>
          <t>Ацетон технический, сорт высший</t>
        </is>
      </c>
      <c r="D57" s="167" t="inlineStr">
        <is>
          <t>т</t>
        </is>
      </c>
      <c r="E57" s="207" t="n">
        <v>0.018</v>
      </c>
      <c r="F57" s="182" t="n">
        <v>9360</v>
      </c>
      <c r="G57" s="14">
        <f>ROUND(F57*E57,2)</f>
        <v/>
      </c>
      <c r="H57" s="53">
        <f>G57/$G$69</f>
        <v/>
      </c>
      <c r="I57" s="14">
        <f>ROUND(F57*Прил.10!$D$12,2)</f>
        <v/>
      </c>
      <c r="J57" s="14">
        <f>ROUND(I57*E57,2)</f>
        <v/>
      </c>
    </row>
    <row r="58" hidden="1" outlineLevel="1" ht="25.5" customFormat="1" customHeight="1" s="1">
      <c r="A58" s="167" t="n">
        <v>28</v>
      </c>
      <c r="B58" s="56" t="inlineStr">
        <is>
          <t>21.1.06.10-0376</t>
        </is>
      </c>
      <c r="C58" s="166" t="inlineStr">
        <is>
          <t>Кабель силовой с медными жилами ВВГнг(A)-LS 3х2,5ок-1000</t>
        </is>
      </c>
      <c r="D58" s="167" t="inlineStr">
        <is>
          <t>1000 м</t>
        </is>
      </c>
      <c r="E58" s="207" t="n">
        <v>0.01</v>
      </c>
      <c r="F58" s="182" t="n">
        <v>14498.24</v>
      </c>
      <c r="G58" s="14">
        <f>ROUND(F58*E58,2)</f>
        <v/>
      </c>
      <c r="H58" s="53">
        <f>G58/$G$69</f>
        <v/>
      </c>
      <c r="I58" s="14">
        <f>ROUND(F58*Прил.10!$D$12,2)</f>
        <v/>
      </c>
      <c r="J58" s="14">
        <f>ROUND(I58*E58,2)</f>
        <v/>
      </c>
    </row>
    <row r="59" hidden="1" outlineLevel="1" ht="14.25" customFormat="1" customHeight="1" s="1">
      <c r="A59" s="167" t="n">
        <v>29</v>
      </c>
      <c r="B59" s="56" t="inlineStr">
        <is>
          <t>01.7.15.10-0053</t>
        </is>
      </c>
      <c r="C59" s="166" t="inlineStr">
        <is>
          <t>Скобы: металлические</t>
        </is>
      </c>
      <c r="D59" s="167" t="inlineStr">
        <is>
          <t>кг</t>
        </is>
      </c>
      <c r="E59" s="207" t="n">
        <v>21</v>
      </c>
      <c r="F59" s="182" t="n">
        <v>6.4</v>
      </c>
      <c r="G59" s="14">
        <f>ROUND(F59*E59,2)</f>
        <v/>
      </c>
      <c r="H59" s="53">
        <f>G59/$G$69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">
      <c r="A60" s="167" t="n">
        <v>30</v>
      </c>
      <c r="B60" s="56" t="inlineStr">
        <is>
          <t>01.7.11.07-0034</t>
        </is>
      </c>
      <c r="C60" s="166" t="inlineStr">
        <is>
          <t>Электроды диаметром: 4 мм Э42А</t>
        </is>
      </c>
      <c r="D60" s="167" t="inlineStr">
        <is>
          <t>кг</t>
        </is>
      </c>
      <c r="E60" s="207" t="n">
        <v>12</v>
      </c>
      <c r="F60" s="182" t="n">
        <v>10.57</v>
      </c>
      <c r="G60" s="14">
        <f>ROUND(F60*E60,2)</f>
        <v/>
      </c>
      <c r="H60" s="53">
        <f>G60/$G$69</f>
        <v/>
      </c>
      <c r="I60" s="14">
        <f>ROUND(F60*Прил.10!$D$12,2)</f>
        <v/>
      </c>
      <c r="J60" s="14">
        <f>ROUND(I60*E60,2)</f>
        <v/>
      </c>
    </row>
    <row r="61" hidden="1" outlineLevel="1" ht="14.25" customFormat="1" customHeight="1" s="1">
      <c r="A61" s="167" t="n">
        <v>31</v>
      </c>
      <c r="B61" s="56" t="inlineStr">
        <is>
          <t>01.3.02.08-0001</t>
        </is>
      </c>
      <c r="C61" s="166" t="inlineStr">
        <is>
          <t>Кислород технический: газообразный</t>
        </is>
      </c>
      <c r="D61" s="167" t="inlineStr">
        <is>
          <t>м3</t>
        </is>
      </c>
      <c r="E61" s="207" t="n">
        <v>15.45</v>
      </c>
      <c r="F61" s="182" t="n">
        <v>6.22</v>
      </c>
      <c r="G61" s="14">
        <f>ROUND(F61*E61,2)</f>
        <v/>
      </c>
      <c r="H61" s="53">
        <f>G61/$G$69</f>
        <v/>
      </c>
      <c r="I61" s="14">
        <f>ROUND(F61*Прил.10!$D$12,2)</f>
        <v/>
      </c>
      <c r="J61" s="14">
        <f>ROUND(I61*E61,2)</f>
        <v/>
      </c>
    </row>
    <row r="62" hidden="1" outlineLevel="1" ht="25.5" customFormat="1" customHeight="1" s="1">
      <c r="A62" s="167" t="n">
        <v>32</v>
      </c>
      <c r="B62" s="56" t="inlineStr">
        <is>
          <t>01.3.01.07-0008</t>
        </is>
      </c>
      <c r="C62" s="166" t="inlineStr">
        <is>
          <t>Спирт этиловый ректификованный технический, сорт I</t>
        </is>
      </c>
      <c r="D62" s="167" t="inlineStr">
        <is>
          <t>т</t>
        </is>
      </c>
      <c r="E62" s="207" t="n">
        <v>0.0024</v>
      </c>
      <c r="F62" s="182" t="n">
        <v>38890</v>
      </c>
      <c r="G62" s="14">
        <f>ROUND(F62*E62,2)</f>
        <v/>
      </c>
      <c r="H62" s="53">
        <f>G62/$G$69</f>
        <v/>
      </c>
      <c r="I62" s="14">
        <f>ROUND(F62*Прил.10!$D$12,2)</f>
        <v/>
      </c>
      <c r="J62" s="14">
        <f>ROUND(I62*E62,2)</f>
        <v/>
      </c>
    </row>
    <row r="63" hidden="1" outlineLevel="1" ht="14.25" customFormat="1" customHeight="1" s="1">
      <c r="A63" s="167" t="n">
        <v>33</v>
      </c>
      <c r="B63" s="56" t="inlineStr">
        <is>
          <t>01.7.15.03-0042</t>
        </is>
      </c>
      <c r="C63" s="166" t="inlineStr">
        <is>
          <t>Болты с гайками и шайбами строительные</t>
        </is>
      </c>
      <c r="D63" s="167" t="inlineStr">
        <is>
          <t>кг</t>
        </is>
      </c>
      <c r="E63" s="207" t="n">
        <v>1.29</v>
      </c>
      <c r="F63" s="182" t="n">
        <v>9.039999999999999</v>
      </c>
      <c r="G63" s="14">
        <f>ROUND(F63*E63,2)</f>
        <v/>
      </c>
      <c r="H63" s="53">
        <f>G63/$G$69</f>
        <v/>
      </c>
      <c r="I63" s="14">
        <f>ROUND(F63*Прил.10!$D$12,2)</f>
        <v/>
      </c>
      <c r="J63" s="14">
        <f>ROUND(I63*E63,2)</f>
        <v/>
      </c>
    </row>
    <row r="64" hidden="1" outlineLevel="1" ht="25.5" customFormat="1" customHeight="1" s="1">
      <c r="A64" s="167" t="n">
        <v>34</v>
      </c>
      <c r="B64" s="56" t="inlineStr">
        <is>
          <t>01.3.01.06-0050</t>
        </is>
      </c>
      <c r="C64" s="166" t="inlineStr">
        <is>
          <t>Смазка универсальная тугоплавкая УТ (консталин жировой)</t>
        </is>
      </c>
      <c r="D64" s="167" t="inlineStr">
        <is>
          <t>т</t>
        </is>
      </c>
      <c r="E64" s="207" t="n">
        <v>0.0003</v>
      </c>
      <c r="F64" s="182" t="n">
        <v>17500</v>
      </c>
      <c r="G64" s="14">
        <f>ROUND(F64*E64,2)</f>
        <v/>
      </c>
      <c r="H64" s="53">
        <f>G64/$G$69</f>
        <v/>
      </c>
      <c r="I64" s="14">
        <f>ROUND(F64*Прил.10!$D$12,2)</f>
        <v/>
      </c>
      <c r="J64" s="14">
        <f>ROUND(I64*E64,2)</f>
        <v/>
      </c>
    </row>
    <row r="65" hidden="1" outlineLevel="1" ht="25.5" customFormat="1" customHeight="1" s="1">
      <c r="A65" s="167" t="n">
        <v>35</v>
      </c>
      <c r="B65" s="56" t="inlineStr">
        <is>
          <t>08.3.07.01-0076</t>
        </is>
      </c>
      <c r="C65" s="166" t="inlineStr">
        <is>
          <t>Сталь полосовая, марка стали: Ст3сп шириной 50-200 мм толщиной 4-5 мм</t>
        </is>
      </c>
      <c r="D65" s="167" t="inlineStr">
        <is>
          <t>т</t>
        </is>
      </c>
      <c r="E65" s="207" t="n">
        <v>0.001</v>
      </c>
      <c r="F65" s="182" t="n">
        <v>5000</v>
      </c>
      <c r="G65" s="14">
        <f>ROUND(F65*E65,2)</f>
        <v/>
      </c>
      <c r="H65" s="53">
        <f>G65/$G$69</f>
        <v/>
      </c>
      <c r="I65" s="14">
        <f>ROUND(F65*Прил.10!$D$12,2)</f>
        <v/>
      </c>
      <c r="J65" s="14">
        <f>ROUND(I65*E65,2)</f>
        <v/>
      </c>
    </row>
    <row r="66" hidden="1" outlineLevel="1" ht="14.25" customFormat="1" customHeight="1" s="1">
      <c r="A66" s="167" t="n">
        <v>36</v>
      </c>
      <c r="B66" s="56" t="inlineStr">
        <is>
          <t>01.7.06.07-0003</t>
        </is>
      </c>
      <c r="C66" s="166" t="inlineStr">
        <is>
          <t>Лента с запонками ЛМЗ</t>
        </is>
      </c>
      <c r="D66" s="167" t="inlineStr">
        <is>
          <t>100 м</t>
        </is>
      </c>
      <c r="E66" s="207" t="n">
        <v>0.025</v>
      </c>
      <c r="F66" s="182" t="n">
        <v>126</v>
      </c>
      <c r="G66" s="14">
        <f>ROUND(F66*E66,2)</f>
        <v/>
      </c>
      <c r="H66" s="53">
        <f>G66/$G$69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">
      <c r="A67" s="167" t="n">
        <v>37</v>
      </c>
      <c r="B67" s="56" t="inlineStr">
        <is>
          <t>01.7.20.08-0102</t>
        </is>
      </c>
      <c r="C67" s="166" t="inlineStr">
        <is>
          <t>Миткаль «Т-2» суровый (суровье)</t>
        </is>
      </c>
      <c r="D67" s="167" t="inlineStr">
        <is>
          <t>10 м</t>
        </is>
      </c>
      <c r="E67" s="207" t="n">
        <v>0.03</v>
      </c>
      <c r="F67" s="182" t="n">
        <v>73.65000000000001</v>
      </c>
      <c r="G67" s="14">
        <f>ROUND(F67*E67,2)</f>
        <v/>
      </c>
      <c r="H67" s="53">
        <f>G67/$G$69</f>
        <v/>
      </c>
      <c r="I67" s="14">
        <f>ROUND(F67*Прил.10!$D$12,2)</f>
        <v/>
      </c>
      <c r="J67" s="14">
        <f>ROUND(I67*E67,2)</f>
        <v/>
      </c>
    </row>
    <row r="68" collapsed="1" ht="14.25" customFormat="1" customHeight="1" s="1">
      <c r="A68" s="167" t="n"/>
      <c r="B68" s="167" t="n"/>
      <c r="C68" s="166" t="inlineStr">
        <is>
          <t>Итого прочие материалы</t>
        </is>
      </c>
      <c r="D68" s="167" t="n"/>
      <c r="E68" s="168" t="n"/>
      <c r="F68" s="169" t="n"/>
      <c r="G68" s="14">
        <f>SUM(G52:G67)</f>
        <v/>
      </c>
      <c r="H68" s="53">
        <f>G68/G69</f>
        <v/>
      </c>
      <c r="I68" s="14" t="n"/>
      <c r="J68" s="14">
        <f>SUM(J52:J67)</f>
        <v/>
      </c>
      <c r="L68" s="99" t="n"/>
    </row>
    <row r="69" ht="14.25" customFormat="1" customHeight="1" s="1">
      <c r="A69" s="167" t="n"/>
      <c r="B69" s="167" t="n"/>
      <c r="C69" s="151" t="inlineStr">
        <is>
          <t>Итого по разделу «Материалы»</t>
        </is>
      </c>
      <c r="D69" s="167" t="n"/>
      <c r="E69" s="168" t="n"/>
      <c r="F69" s="169" t="n"/>
      <c r="G69" s="14">
        <f>G51+G68</f>
        <v/>
      </c>
      <c r="H69" s="53" t="n">
        <v>1</v>
      </c>
      <c r="I69" s="169" t="n"/>
      <c r="J69" s="14">
        <f>J51+J68</f>
        <v/>
      </c>
      <c r="K69" s="205" t="n"/>
    </row>
    <row r="70" ht="14.25" customFormat="1" customHeight="1" s="1">
      <c r="A70" s="167" t="n"/>
      <c r="B70" s="167" t="n"/>
      <c r="C70" s="166" t="inlineStr">
        <is>
          <t>ИТОГО ПО РМ</t>
        </is>
      </c>
      <c r="D70" s="167" t="n"/>
      <c r="E70" s="168" t="n"/>
      <c r="F70" s="169" t="n"/>
      <c r="G70" s="14">
        <f>G14+G30+G69</f>
        <v/>
      </c>
      <c r="H70" s="53" t="n"/>
      <c r="I70" s="169" t="n"/>
      <c r="J70" s="14">
        <f>J14+J30+J69</f>
        <v/>
      </c>
    </row>
    <row r="71" ht="14.25" customFormat="1" customHeight="1" s="1">
      <c r="A71" s="167" t="n"/>
      <c r="B71" s="167" t="n"/>
      <c r="C71" s="166" t="inlineStr">
        <is>
          <t>Накладные расходы</t>
        </is>
      </c>
      <c r="D71" s="167" t="inlineStr">
        <is>
          <t>%</t>
        </is>
      </c>
      <c r="E71" s="64" t="n">
        <v>1.04</v>
      </c>
      <c r="F71" s="169" t="n"/>
      <c r="G71" s="14" t="n">
        <v>37118</v>
      </c>
      <c r="H71" s="53" t="n"/>
      <c r="I71" s="169" t="n"/>
      <c r="J71" s="14">
        <f>ROUND(E71*(J14+J16),2)</f>
        <v/>
      </c>
      <c r="K71" s="65" t="n"/>
    </row>
    <row r="72" ht="14.25" customFormat="1" customHeight="1" s="1">
      <c r="A72" s="167" t="n"/>
      <c r="B72" s="167" t="n"/>
      <c r="C72" s="166" t="inlineStr">
        <is>
          <t>Сметная прибыль</t>
        </is>
      </c>
      <c r="D72" s="167" t="inlineStr">
        <is>
          <t>%</t>
        </is>
      </c>
      <c r="E72" s="64" t="n">
        <v>0.71</v>
      </c>
      <c r="F72" s="169" t="n"/>
      <c r="G72" s="14" t="n">
        <v>24127</v>
      </c>
      <c r="H72" s="53" t="n"/>
      <c r="I72" s="169" t="n"/>
      <c r="J72" s="14">
        <f>ROUND(E72*(J14+J16),2)</f>
        <v/>
      </c>
      <c r="K72" s="65" t="n"/>
    </row>
    <row r="73" ht="14.25" customFormat="1" customHeight="1" s="1">
      <c r="A73" s="167" t="n"/>
      <c r="B73" s="167" t="n"/>
      <c r="C73" s="166" t="inlineStr">
        <is>
          <t>Итого СМР (с НР и СП)</t>
        </is>
      </c>
      <c r="D73" s="167" t="n"/>
      <c r="E73" s="168" t="n"/>
      <c r="F73" s="169" t="n"/>
      <c r="G73" s="14">
        <f>G14+G30+G69+G71+G72</f>
        <v/>
      </c>
      <c r="H73" s="53" t="n"/>
      <c r="I73" s="169" t="n"/>
      <c r="J73" s="14">
        <f>J14+J30+J69+J71+J72</f>
        <v/>
      </c>
      <c r="L73" s="66" t="n"/>
    </row>
    <row r="74" ht="14.25" customFormat="1" customHeight="1" s="1">
      <c r="A74" s="167" t="n"/>
      <c r="B74" s="167" t="n"/>
      <c r="C74" s="166" t="inlineStr">
        <is>
          <t>ВСЕГО СМР + ОБОРУДОВАНИЕ</t>
        </is>
      </c>
      <c r="D74" s="167" t="n"/>
      <c r="E74" s="168" t="n"/>
      <c r="F74" s="169" t="n"/>
      <c r="G74" s="14">
        <f>G73+G38</f>
        <v/>
      </c>
      <c r="H74" s="53" t="n"/>
      <c r="I74" s="169" t="n"/>
      <c r="J74" s="14">
        <f>J73+J38</f>
        <v/>
      </c>
      <c r="L74" s="65" t="n"/>
    </row>
    <row r="75" ht="14.25" customFormat="1" customHeight="1" s="1">
      <c r="A75" s="167" t="n"/>
      <c r="B75" s="167" t="n"/>
      <c r="C75" s="166" t="inlineStr">
        <is>
          <t>ИТОГО ПОКАЗАТЕЛЬ НА ЕД. ИЗМ.</t>
        </is>
      </c>
      <c r="D75" s="167" t="inlineStr">
        <is>
          <t>ед.</t>
        </is>
      </c>
      <c r="E75" s="67" t="n">
        <v>1</v>
      </c>
      <c r="F75" s="169" t="n"/>
      <c r="G75" s="14">
        <f>G74/E75</f>
        <v/>
      </c>
      <c r="H75" s="53" t="n"/>
      <c r="I75" s="169" t="n"/>
      <c r="J75" s="14">
        <f>J74/E75</f>
        <v/>
      </c>
      <c r="L75" s="99" t="n"/>
    </row>
    <row r="77" ht="14.25" customFormat="1" customHeight="1" s="1">
      <c r="A77" s="10" t="n"/>
    </row>
    <row r="78" ht="14.25" customFormat="1" customHeight="1" s="1">
      <c r="A78" s="6" t="inlineStr">
        <is>
          <t>Составил ______________________        Е.А. Князева</t>
        </is>
      </c>
    </row>
    <row r="79" ht="14.25" customFormat="1" customHeight="1" s="1">
      <c r="A79" s="94" t="inlineStr">
        <is>
          <t xml:space="preserve">                         (подпись, инициалы, фамилия)</t>
        </is>
      </c>
    </row>
    <row r="80" ht="14.25" customFormat="1" customHeight="1" s="1">
      <c r="A80" s="6" t="n"/>
    </row>
    <row r="81" ht="14.25" customFormat="1" customHeight="1" s="1">
      <c r="A81" s="6" t="inlineStr">
        <is>
          <t>Проверил ______________________        А.В. Костянецкая</t>
        </is>
      </c>
    </row>
    <row r="82" ht="14.25" customFormat="1" customHeight="1" s="1">
      <c r="A82" s="94" t="inlineStr">
        <is>
          <t xml:space="preserve">                        (подпись, инициалы, фамилия)</t>
        </is>
      </c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/>
  </sheetPr>
  <dimension ref="A1:G20"/>
  <sheetViews>
    <sheetView view="pageBreakPreview" workbookViewId="0">
      <selection activeCell="C16" sqref="C16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183" t="inlineStr">
        <is>
          <t>Приложение №6</t>
        </is>
      </c>
    </row>
    <row r="2" ht="21.75" customHeight="1">
      <c r="A2" s="183" t="n"/>
      <c r="B2" s="183" t="n"/>
      <c r="C2" s="183" t="n"/>
      <c r="D2" s="183" t="n"/>
      <c r="E2" s="183" t="n"/>
      <c r="F2" s="183" t="n"/>
      <c r="G2" s="183" t="n"/>
    </row>
    <row r="3">
      <c r="A3" s="156" t="inlineStr">
        <is>
          <t>Расчет стоимости оборудования</t>
        </is>
      </c>
    </row>
    <row r="4" ht="25.5" customHeight="1">
      <c r="A4" s="174">
        <f>'Прил.1 Сравнит табл'!B7</f>
        <v/>
      </c>
    </row>
    <row r="5">
      <c r="A5" s="6" t="n"/>
      <c r="B5" s="6" t="n"/>
      <c r="C5" s="6" t="n"/>
      <c r="D5" s="6" t="n"/>
      <c r="E5" s="6" t="n"/>
      <c r="F5" s="6" t="n"/>
      <c r="G5" s="6" t="n"/>
    </row>
    <row r="6" ht="30" customHeight="1">
      <c r="A6" s="167" t="inlineStr">
        <is>
          <t>№ пп.</t>
        </is>
      </c>
      <c r="B6" s="167" t="inlineStr">
        <is>
          <t>Код ресурса</t>
        </is>
      </c>
      <c r="C6" s="167" t="inlineStr">
        <is>
          <t>Наименование</t>
        </is>
      </c>
      <c r="D6" s="167" t="inlineStr">
        <is>
          <t>Ед. изм.</t>
        </is>
      </c>
      <c r="E6" s="167" t="inlineStr">
        <is>
          <t>Кол-во единиц по проектным данным</t>
        </is>
      </c>
      <c r="F6" s="184" t="inlineStr">
        <is>
          <t>Сметная стоимость в ценах на 01.01.2000 (руб.)</t>
        </is>
      </c>
      <c r="G6" s="191" t="n"/>
    </row>
    <row r="7">
      <c r="A7" s="193" t="n"/>
      <c r="B7" s="193" t="n"/>
      <c r="C7" s="193" t="n"/>
      <c r="D7" s="193" t="n"/>
      <c r="E7" s="193" t="n"/>
      <c r="F7" s="167" t="inlineStr">
        <is>
          <t>на ед. изм.</t>
        </is>
      </c>
      <c r="G7" s="167" t="inlineStr">
        <is>
          <t>общая</t>
        </is>
      </c>
    </row>
    <row r="8">
      <c r="A8" s="167" t="n">
        <v>1</v>
      </c>
      <c r="B8" s="167" t="n">
        <v>2</v>
      </c>
      <c r="C8" s="167" t="n">
        <v>3</v>
      </c>
      <c r="D8" s="167" t="n">
        <v>4</v>
      </c>
      <c r="E8" s="167" t="n">
        <v>5</v>
      </c>
      <c r="F8" s="167" t="n">
        <v>6</v>
      </c>
      <c r="G8" s="167" t="n">
        <v>7</v>
      </c>
    </row>
    <row r="9" ht="15" customHeight="1">
      <c r="A9" s="7" t="n"/>
      <c r="B9" s="166" t="inlineStr">
        <is>
          <t>ИНЖЕНЕРНОЕ ОБОРУДОВАНИЕ</t>
        </is>
      </c>
      <c r="C9" s="190" t="n"/>
      <c r="D9" s="190" t="n"/>
      <c r="E9" s="190" t="n"/>
      <c r="F9" s="190" t="n"/>
      <c r="G9" s="191" t="n"/>
    </row>
    <row r="10" ht="27" customHeight="1">
      <c r="A10" s="167" t="n"/>
      <c r="B10" s="151" t="n"/>
      <c r="C10" s="166" t="inlineStr">
        <is>
          <t>ИТОГО ИНЖЕНЕРНОЕ ОБОРУДОВАНИЕ</t>
        </is>
      </c>
      <c r="D10" s="151" t="n"/>
      <c r="E10" s="8" t="n"/>
      <c r="F10" s="169" t="n"/>
      <c r="G10" s="169" t="n">
        <v>0</v>
      </c>
    </row>
    <row r="11">
      <c r="A11" s="167" t="n"/>
      <c r="B11" s="166" t="inlineStr">
        <is>
          <t>ТЕХНОЛОГИЧЕСКОЕ ОБОРУДОВАНИЕ</t>
        </is>
      </c>
      <c r="C11" s="190" t="n"/>
      <c r="D11" s="190" t="n"/>
      <c r="E11" s="190" t="n"/>
      <c r="F11" s="190" t="n"/>
      <c r="G11" s="191" t="n"/>
    </row>
    <row r="12" ht="25.5" customHeight="1">
      <c r="A12" s="167" t="n">
        <v>1</v>
      </c>
      <c r="B12" s="56" t="inlineStr">
        <is>
          <t>БЦ.77.18</t>
        </is>
      </c>
      <c r="C12" s="166" t="inlineStr">
        <is>
          <t>Ячейка выключателя КРУ с элегазовой изоляцией 20кВ, ном.ток 1250А, ном.ток отключения 25кА</t>
        </is>
      </c>
      <c r="D12" s="176" t="inlineStr">
        <is>
          <t>шт.</t>
        </is>
      </c>
      <c r="E12" s="130" t="n">
        <v>1</v>
      </c>
      <c r="F12" s="14">
        <f>'Прил.5 Расчет СМР и ОБ'!F33</f>
        <v/>
      </c>
      <c r="G12" s="14">
        <f>ROUND(E12*F12,2)</f>
        <v/>
      </c>
    </row>
    <row r="13" ht="25.5" customHeight="1">
      <c r="A13" s="167" t="n"/>
      <c r="B13" s="12" t="n"/>
      <c r="C13" s="12" t="inlineStr">
        <is>
          <t>ИТОГО ТЕХНОЛОГИЧЕСКОЕ ОБОРУДОВАНИЕ</t>
        </is>
      </c>
      <c r="D13" s="12" t="n"/>
      <c r="E13" s="13" t="n"/>
      <c r="F13" s="169" t="n"/>
      <c r="G13" s="14">
        <f>SUM(G12:G12)</f>
        <v/>
      </c>
    </row>
    <row r="14" ht="19.5" customHeight="1">
      <c r="A14" s="167" t="n"/>
      <c r="B14" s="166" t="n"/>
      <c r="C14" s="166" t="inlineStr">
        <is>
          <t>Всего по разделу «Оборудование»</t>
        </is>
      </c>
      <c r="D14" s="166" t="n"/>
      <c r="E14" s="182" t="n"/>
      <c r="F14" s="169" t="n"/>
      <c r="G14" s="14">
        <f>G10+G13</f>
        <v/>
      </c>
    </row>
    <row r="15">
      <c r="A15" s="10" t="n"/>
      <c r="B15" s="11" t="n"/>
      <c r="C15" s="10" t="n"/>
      <c r="D15" s="10" t="n"/>
      <c r="E15" s="10" t="n"/>
      <c r="F15" s="10" t="n"/>
      <c r="G15" s="10" t="n"/>
    </row>
    <row r="16">
      <c r="A16" s="6" t="inlineStr">
        <is>
          <t>Составил ______________________        Е.А. Князева</t>
        </is>
      </c>
      <c r="B16" s="1" t="n"/>
      <c r="C16" s="1" t="n"/>
      <c r="D16" s="10" t="n"/>
      <c r="E16" s="10" t="n"/>
      <c r="F16" s="10" t="n"/>
      <c r="G16" s="10" t="n"/>
    </row>
    <row r="17">
      <c r="A17" s="94" t="inlineStr">
        <is>
          <t xml:space="preserve">                         (подпись, инициалы, фамилия)</t>
        </is>
      </c>
      <c r="B17" s="1" t="n"/>
      <c r="C17" s="1" t="n"/>
      <c r="D17" s="10" t="n"/>
      <c r="E17" s="10" t="n"/>
      <c r="F17" s="10" t="n"/>
      <c r="G17" s="10" t="n"/>
    </row>
    <row r="18">
      <c r="A18" s="6" t="n"/>
      <c r="B18" s="1" t="n"/>
      <c r="C18" s="1" t="n"/>
      <c r="D18" s="10" t="n"/>
      <c r="E18" s="10" t="n"/>
      <c r="F18" s="10" t="n"/>
      <c r="G18" s="10" t="n"/>
    </row>
    <row r="19">
      <c r="A19" s="6" t="inlineStr">
        <is>
          <t>Проверил ______________________        А.В. Костянецкая</t>
        </is>
      </c>
      <c r="B19" s="1" t="n"/>
      <c r="C19" s="1" t="n"/>
      <c r="D19" s="10" t="n"/>
      <c r="E19" s="10" t="n"/>
      <c r="F19" s="10" t="n"/>
      <c r="G19" s="10" t="n"/>
    </row>
    <row r="20">
      <c r="A20" s="94" t="inlineStr">
        <is>
          <t xml:space="preserve">                        (подпись, инициалы, фамилия)</t>
        </is>
      </c>
      <c r="B20" s="1" t="n"/>
      <c r="C20" s="1" t="n"/>
      <c r="D20" s="10" t="n"/>
      <c r="E20" s="10" t="n"/>
      <c r="F20" s="10" t="n"/>
      <c r="G20" s="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 codeName="Лист7">
    <outlinePr summaryBelow="1" summaryRight="1"/>
    <pageSetUpPr/>
  </sheetPr>
  <dimension ref="A1:E17"/>
  <sheetViews>
    <sheetView view="pageBreakPreview" workbookViewId="0">
      <selection activeCell="B12" sqref="B12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6" t="n"/>
      <c r="C1" s="6" t="n"/>
      <c r="D1" s="183" t="inlineStr">
        <is>
          <t>Приложение №7</t>
        </is>
      </c>
    </row>
    <row r="2">
      <c r="A2" s="183" t="n"/>
      <c r="B2" s="183" t="n"/>
      <c r="C2" s="183" t="n"/>
      <c r="D2" s="183" t="n"/>
    </row>
    <row r="3" ht="24.75" customHeight="1">
      <c r="A3" s="156" t="inlineStr">
        <is>
          <t>Расчет показателя УНЦ</t>
        </is>
      </c>
    </row>
    <row r="4" ht="24.75" customHeight="1">
      <c r="A4" s="156" t="n"/>
      <c r="B4" s="156" t="n"/>
      <c r="C4" s="156" t="n"/>
      <c r="D4" s="156" t="n"/>
    </row>
    <row r="5" ht="45" customHeight="1">
      <c r="A5" s="174" t="inlineStr">
        <is>
          <t xml:space="preserve">Наименование разрабатываемого показателя УНЦ - </t>
        </is>
      </c>
      <c r="D5" s="174">
        <f>'Прил.5 Расчет СМР и ОБ'!D6:J6</f>
        <v/>
      </c>
    </row>
    <row r="6" ht="19.9" customHeight="1">
      <c r="A6" s="174" t="inlineStr">
        <is>
          <t>Единица измерения  — 1 ячейка</t>
        </is>
      </c>
      <c r="D6" s="174" t="n"/>
    </row>
    <row r="7">
      <c r="A7" s="6" t="n"/>
      <c r="B7" s="6" t="n"/>
      <c r="C7" s="6" t="n"/>
      <c r="D7" s="6" t="n"/>
    </row>
    <row r="8" ht="14.45" customHeight="1">
      <c r="A8" s="167" t="inlineStr">
        <is>
          <t>Код показателя</t>
        </is>
      </c>
      <c r="B8" s="167" t="inlineStr">
        <is>
          <t>Наименование показателя</t>
        </is>
      </c>
      <c r="C8" s="167" t="inlineStr">
        <is>
          <t>Наименование РМ, входящих в состав показателя</t>
        </is>
      </c>
      <c r="D8" s="167" t="inlineStr">
        <is>
          <t>Норматив цены на 01.01.2023, тыс.руб.</t>
        </is>
      </c>
    </row>
    <row r="9" ht="15" customHeight="1">
      <c r="A9" s="193" t="n"/>
      <c r="B9" s="193" t="n"/>
      <c r="C9" s="193" t="n"/>
      <c r="D9" s="193" t="n"/>
    </row>
    <row r="10">
      <c r="A10" s="167" t="n">
        <v>1</v>
      </c>
      <c r="B10" s="167" t="n">
        <v>2</v>
      </c>
      <c r="C10" s="167" t="n">
        <v>3</v>
      </c>
      <c r="D10" s="167" t="n">
        <v>4</v>
      </c>
    </row>
    <row r="11" ht="41.45" customHeight="1">
      <c r="A11" s="167" t="inlineStr">
        <is>
          <t>В9-04-2</t>
        </is>
      </c>
      <c r="B11" s="167" t="inlineStr">
        <is>
          <t>УНЦ ячейки выключателя КРУ с элегазовой изоляцией 20кВ</t>
        </is>
      </c>
      <c r="C11" s="67">
        <f>D5</f>
        <v/>
      </c>
      <c r="D11" s="119">
        <f>'Прил.4 РМ'!C41/1000</f>
        <v/>
      </c>
      <c r="E11" s="19" t="n"/>
    </row>
    <row r="12">
      <c r="A12" s="10" t="n"/>
      <c r="B12" s="11" t="n"/>
      <c r="C12" s="10" t="n"/>
      <c r="D12" s="10" t="n"/>
    </row>
    <row r="13">
      <c r="A13" s="6" t="inlineStr">
        <is>
          <t>Составил ______________________        Е.А. Князева</t>
        </is>
      </c>
      <c r="B13" s="1" t="n"/>
      <c r="C13" s="1" t="n"/>
      <c r="D13" s="10" t="n"/>
    </row>
    <row r="14">
      <c r="A14" s="94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94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D30"/>
  <sheetViews>
    <sheetView view="pageBreakPreview" topLeftCell="A15" zoomScale="60" zoomScaleNormal="100" workbookViewId="0">
      <selection activeCell="B22" sqref="B22"/>
    </sheetView>
  </sheetViews>
  <sheetFormatPr baseColWidth="8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42" t="inlineStr">
        <is>
          <t>Приложение № 10</t>
        </is>
      </c>
    </row>
    <row r="5" ht="18.75" customHeight="1">
      <c r="B5" s="35" t="n"/>
    </row>
    <row r="6" ht="15.75" customHeight="1">
      <c r="B6" s="148" t="inlineStr">
        <is>
          <t>Используемые индексы изменений сметной стоимости и нормы сопутствующих затрат</t>
        </is>
      </c>
    </row>
    <row r="7" ht="18.75" customHeight="1">
      <c r="B7" s="36" t="n"/>
    </row>
    <row r="8" ht="47.25" customHeight="1">
      <c r="B8" s="147" t="inlineStr">
        <is>
          <t>Наименование индекса / норм сопутствующих затрат</t>
        </is>
      </c>
      <c r="C8" s="147" t="inlineStr">
        <is>
          <t>Дата применения и обоснование индекса / норм сопутствующих затрат</t>
        </is>
      </c>
      <c r="D8" s="147" t="inlineStr">
        <is>
          <t>Размер индекса / норма сопутствующих затрат</t>
        </is>
      </c>
    </row>
    <row r="9" ht="15.75" customHeight="1">
      <c r="B9" s="147" t="n">
        <v>1</v>
      </c>
      <c r="C9" s="147" t="n">
        <v>2</v>
      </c>
      <c r="D9" s="147" t="n">
        <v>3</v>
      </c>
    </row>
    <row r="10" ht="47.25" customHeight="1">
      <c r="B10" s="147" t="inlineStr">
        <is>
          <t xml:space="preserve">Индекс изменения сметной стоимости на 1 квартал 2023 года. ОЗП </t>
        </is>
      </c>
      <c r="C10" s="147" t="inlineStr">
        <is>
          <t>Письмо Минстроя России от 30.03.2023г. №17106-ИФ/09  прил.1</t>
        </is>
      </c>
      <c r="D10" s="147" t="n">
        <v>44.29</v>
      </c>
    </row>
    <row r="11" ht="47.25" customHeight="1">
      <c r="B11" s="147" t="inlineStr">
        <is>
          <t>Индекс изменения сметной стоимости на 1 квартал 2023 года. ЭМ</t>
        </is>
      </c>
      <c r="C11" s="147" t="inlineStr">
        <is>
          <t>Письмо Минстроя России от 30.03.2023г. №17106-ИФ/09  прил.1</t>
        </is>
      </c>
      <c r="D11" s="147" t="n">
        <v>13.47</v>
      </c>
    </row>
    <row r="12" ht="47.25" customHeight="1">
      <c r="B12" s="147" t="inlineStr">
        <is>
          <t>Индекс изменения сметной стоимости на 1 квартал 2023 года. МАТ</t>
        </is>
      </c>
      <c r="C12" s="147" t="inlineStr">
        <is>
          <t>Письмо Минстроя России от 30.03.2023г. №17106-ИФ/09  прил.1</t>
        </is>
      </c>
      <c r="D12" s="147" t="n">
        <v>8.039999999999999</v>
      </c>
    </row>
    <row r="13" ht="31.5" customHeight="1">
      <c r="B13" s="147" t="inlineStr">
        <is>
          <t>Индекс изменения сметной стоимости на 1 квартал 2023 года. ОБ</t>
        </is>
      </c>
      <c r="C13" s="147" t="inlineStr">
        <is>
          <t>Письмо Минстроя России от 23.02.2023г. №9791-ИФ/09 прил.6</t>
        </is>
      </c>
      <c r="D13" s="147" t="n">
        <v>6.26</v>
      </c>
    </row>
    <row r="14" ht="94.5" customHeight="1">
      <c r="B14" s="147" t="inlineStr">
        <is>
          <t>Временные здания и сооружения</t>
        </is>
      </c>
      <c r="C14" s="14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41" t="n">
        <v>0.039</v>
      </c>
    </row>
    <row r="15" ht="94.5" customHeight="1">
      <c r="B15" s="147" t="inlineStr">
        <is>
          <t>Дополнительные затраты при производстве строительно-монтажных работ в зимнее время</t>
        </is>
      </c>
      <c r="C15" s="14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41" t="n">
        <v>0.021</v>
      </c>
    </row>
    <row r="16" ht="15.75" customHeight="1">
      <c r="B16" s="147" t="inlineStr">
        <is>
          <t>Пусконаладочные работы</t>
        </is>
      </c>
      <c r="C16" s="147" t="n"/>
      <c r="D16" s="147" t="inlineStr">
        <is>
          <t>Расчет</t>
        </is>
      </c>
    </row>
    <row r="17" ht="31.5" customHeight="1">
      <c r="B17" s="147" t="inlineStr">
        <is>
          <t>Строительный контроль</t>
        </is>
      </c>
      <c r="C17" s="147" t="inlineStr">
        <is>
          <t>Постановление Правительства РФ от 21.06.10 г. № 468</t>
        </is>
      </c>
      <c r="D17" s="41" t="n">
        <v>0.0214</v>
      </c>
    </row>
    <row r="18" ht="31.5" customHeight="1">
      <c r="B18" s="147" t="inlineStr">
        <is>
          <t>Авторский надзор - 0,2%</t>
        </is>
      </c>
      <c r="C18" s="147" t="inlineStr">
        <is>
          <t>Приказ от 4.08.2020 № 421/пр п.173</t>
        </is>
      </c>
      <c r="D18" s="41" t="n">
        <v>0.002</v>
      </c>
    </row>
    <row r="19" ht="31.5" customHeight="1">
      <c r="B19" s="147" t="inlineStr">
        <is>
          <t>Непредвиденные расходы</t>
        </is>
      </c>
      <c r="C19" s="147" t="inlineStr">
        <is>
          <t>Приказ от 4.08.2020 № 421/пр п.179</t>
        </is>
      </c>
      <c r="D19" s="41" t="n">
        <v>0.03</v>
      </c>
    </row>
    <row r="20" ht="18.75" customHeight="1">
      <c r="B20" s="36" t="n"/>
    </row>
    <row r="21" ht="18.75" customHeight="1">
      <c r="B21" s="36" t="n"/>
    </row>
    <row r="22" ht="18.75" customHeight="1">
      <c r="B22" s="36" t="n"/>
    </row>
    <row r="23" ht="18.75" customHeight="1">
      <c r="B23" s="36" t="n"/>
    </row>
    <row r="26">
      <c r="B26" s="131" t="inlineStr">
        <is>
          <t>Составил ______________________        Е.А. Князева</t>
        </is>
      </c>
      <c r="C26" s="1" t="n"/>
    </row>
    <row r="27">
      <c r="B27" s="94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94" t="inlineStr">
        <is>
          <t xml:space="preserve">                        (подпись, инициалы, фамилия)</t>
        </is>
      </c>
      <c r="C30" s="1" t="n"/>
    </row>
  </sheetData>
  <mergeCells count="2"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6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E12" sqref="E12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8" customHeight="1">
      <c r="A2" s="18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" t="inlineStr">
        <is>
          <t>Составлен в уровне цен на 01.01.2023 г.</t>
        </is>
      </c>
    </row>
    <row r="5">
      <c r="A5" s="21" t="inlineStr">
        <is>
          <t>№ пп.</t>
        </is>
      </c>
      <c r="B5" s="21" t="inlineStr">
        <is>
          <t>Наименование элемента</t>
        </is>
      </c>
      <c r="C5" s="21" t="inlineStr">
        <is>
          <t>Обозначение</t>
        </is>
      </c>
      <c r="D5" s="21" t="inlineStr">
        <is>
          <t>Формула</t>
        </is>
      </c>
      <c r="E5" s="21" t="inlineStr">
        <is>
          <t>Величина элемента</t>
        </is>
      </c>
      <c r="F5" s="21" t="inlineStr">
        <is>
          <t>Наименования обосновывающих документов</t>
        </is>
      </c>
    </row>
    <row r="6">
      <c r="A6" s="21" t="n">
        <v>1</v>
      </c>
      <c r="B6" s="21" t="n">
        <v>2</v>
      </c>
      <c r="C6" s="21" t="n">
        <v>3</v>
      </c>
      <c r="D6" s="21" t="n">
        <v>4</v>
      </c>
      <c r="E6" s="21" t="n">
        <v>5</v>
      </c>
      <c r="F6" s="21" t="n">
        <v>6</v>
      </c>
    </row>
    <row r="7" ht="105" customHeight="1">
      <c r="A7" s="22" t="inlineStr">
        <is>
          <t>1.1</t>
        </is>
      </c>
      <c r="B7" s="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" t="inlineStr">
        <is>
          <t>С1ср</t>
        </is>
      </c>
      <c r="D7" s="23" t="inlineStr">
        <is>
          <t>-</t>
        </is>
      </c>
      <c r="E7" s="25" t="n">
        <v>47872.94</v>
      </c>
      <c r="F7" s="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>
      <c r="A8" s="22" t="inlineStr">
        <is>
          <t>1.2</t>
        </is>
      </c>
      <c r="B8" s="24" t="inlineStr">
        <is>
          <t>Среднегодовое нормативное число часов работы одного рабочего в месяц, часы (ч.)</t>
        </is>
      </c>
      <c r="C8" s="23" t="inlineStr">
        <is>
          <t>tср</t>
        </is>
      </c>
      <c r="D8" s="23" t="inlineStr">
        <is>
          <t>1973ч/12мес.</t>
        </is>
      </c>
      <c r="E8" s="25">
        <f>1973/12</f>
        <v/>
      </c>
      <c r="F8" s="24" t="inlineStr">
        <is>
          <t>Производственный календарь 2023 год
(40-часов.неделя)</t>
        </is>
      </c>
      <c r="G8" s="26" t="n"/>
    </row>
    <row r="9">
      <c r="A9" s="22" t="inlineStr">
        <is>
          <t>1.3</t>
        </is>
      </c>
      <c r="B9" s="24" t="inlineStr">
        <is>
          <t>Коэффициент увеличения</t>
        </is>
      </c>
      <c r="C9" s="23" t="inlineStr">
        <is>
          <t>Кув</t>
        </is>
      </c>
      <c r="D9" s="23" t="inlineStr">
        <is>
          <t>-</t>
        </is>
      </c>
      <c r="E9" s="25" t="n">
        <v>1</v>
      </c>
      <c r="F9" s="24" t="n"/>
      <c r="G9" s="27" t="n"/>
    </row>
    <row r="10">
      <c r="A10" s="22" t="inlineStr">
        <is>
          <t>1.4</t>
        </is>
      </c>
      <c r="B10" s="24" t="inlineStr">
        <is>
          <t>Средний разряд работ</t>
        </is>
      </c>
      <c r="C10" s="23" t="n"/>
      <c r="D10" s="23" t="n"/>
      <c r="E10" s="210" t="n">
        <v>4</v>
      </c>
      <c r="F10" s="24" t="inlineStr">
        <is>
          <t>РТМ</t>
        </is>
      </c>
      <c r="G10" s="27" t="n"/>
    </row>
    <row r="11" ht="75" customHeight="1">
      <c r="A11" s="22" t="inlineStr">
        <is>
          <t>1.5</t>
        </is>
      </c>
      <c r="B11" s="24" t="inlineStr">
        <is>
          <t>Тарифный коэффициент среднего разряда работ</t>
        </is>
      </c>
      <c r="C11" s="23" t="inlineStr">
        <is>
          <t>КТ</t>
        </is>
      </c>
      <c r="D11" s="23" t="inlineStr">
        <is>
          <t>-</t>
        </is>
      </c>
      <c r="E11" s="211" t="n">
        <v>1.34</v>
      </c>
      <c r="F11" s="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>
      <c r="A12" s="132" t="inlineStr">
        <is>
          <t>1.6</t>
        </is>
      </c>
      <c r="B12" s="133" t="inlineStr">
        <is>
          <t>Коэффициент инфляции, определяемый поквартально</t>
        </is>
      </c>
      <c r="C12" s="134" t="inlineStr">
        <is>
          <t>Кинф</t>
        </is>
      </c>
      <c r="D12" s="134" t="inlineStr">
        <is>
          <t>-</t>
        </is>
      </c>
      <c r="E12" s="212" t="n">
        <v>1.139</v>
      </c>
      <c r="F12" s="1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7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>
      <c r="A13" s="137" t="inlineStr">
        <is>
          <t>1.7</t>
        </is>
      </c>
      <c r="B13" s="138" t="inlineStr">
        <is>
          <t>Размер средств на оплату труда рабочих-строителей в текущем уровне цен (ФОТр.тек.), руб/чел.-ч</t>
        </is>
      </c>
      <c r="C13" s="139" t="inlineStr">
        <is>
          <t>ФОТр.тек.</t>
        </is>
      </c>
      <c r="D13" s="139" t="inlineStr">
        <is>
          <t>(С1ср/tср*КТ*Т*Кув)*Кинф</t>
        </is>
      </c>
      <c r="E13" s="140">
        <f>((E7*E9/E8)*E11)*E12</f>
        <v/>
      </c>
      <c r="F13" s="1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2025-01-24T11:55:31Z</dcterms:modified>
  <cp:lastModifiedBy>112</cp:lastModifiedBy>
</cp:coreProperties>
</file>