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85" zoomScaleNormal="55" workbookViewId="0">
      <selection activeCell="C49" sqref="C49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24.6" customHeight="1" s="321">
      <c r="B5" s="354" t="n"/>
    </row>
    <row r="6" ht="18.75" customHeight="1" s="321">
      <c r="B6" s="244" t="n"/>
      <c r="C6" s="244" t="n"/>
      <c r="D6" s="244" t="n"/>
    </row>
    <row r="7" ht="38.45" customHeight="1" s="321">
      <c r="B7" s="353" t="inlineStr">
        <is>
          <t>Наименование разрабатываемого показателя УНЦ - ШЭТ ПДС-1-032/128-8 Шкаф для 1-го устройства приема, передачи или приемопередачи на 32 команды</t>
        </is>
      </c>
    </row>
    <row r="8" ht="31.5" customHeight="1" s="321">
      <c r="B8" s="353" t="inlineStr">
        <is>
          <t xml:space="preserve">Сопоставимый уровень цен: 4 кв. 2021 г. </t>
        </is>
      </c>
    </row>
    <row r="9" ht="15.75" customHeight="1" s="321">
      <c r="B9" s="353" t="inlineStr">
        <is>
          <t>Единица измерения  — 1 ед.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22" t="n"/>
    </row>
    <row r="12" ht="141.75" customHeight="1" s="321">
      <c r="B12" s="357" t="n">
        <v>1</v>
      </c>
      <c r="C12" s="335" t="inlineStr">
        <is>
          <t>Наименование объекта-представителя</t>
        </is>
      </c>
      <c r="D12" s="357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57" t="n">
        <v>2</v>
      </c>
      <c r="C13" s="335" t="inlineStr">
        <is>
          <t>Наименование субъекта Российской Федерации</t>
        </is>
      </c>
      <c r="D13" s="357" t="inlineStr">
        <is>
          <t>Республика Бурятия</t>
        </is>
      </c>
    </row>
    <row r="14">
      <c r="B14" s="357" t="n">
        <v>3</v>
      </c>
      <c r="C14" s="335" t="inlineStr">
        <is>
          <t>Климатический район и подрайон</t>
        </is>
      </c>
      <c r="D14" s="357" t="inlineStr">
        <is>
          <t>IД</t>
        </is>
      </c>
    </row>
    <row r="15">
      <c r="B15" s="357" t="n">
        <v>4</v>
      </c>
      <c r="C15" s="335" t="inlineStr">
        <is>
          <t>Мощность объекта</t>
        </is>
      </c>
      <c r="D15" s="357" t="n">
        <v>1</v>
      </c>
    </row>
    <row r="16" ht="77.45" customHeight="1" s="321">
      <c r="B16" s="35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1" t="inlineStr">
        <is>
          <t>ШЭТ ПДС-1-032/128-8</t>
        </is>
      </c>
    </row>
    <row r="17" ht="79.5" customHeight="1" s="321">
      <c r="B17" s="35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8">
        <f>D18+D19</f>
        <v/>
      </c>
      <c r="E17" s="243" t="n"/>
    </row>
    <row r="18">
      <c r="B18" s="221" t="inlineStr">
        <is>
          <t>6.1</t>
        </is>
      </c>
      <c r="C18" s="335" t="inlineStr">
        <is>
          <t>строительно-монтажные работы</t>
        </is>
      </c>
      <c r="D18" s="258">
        <f>'Прил.2 Расч стоим'!F14</f>
        <v/>
      </c>
    </row>
    <row r="19" ht="15.75" customHeight="1" s="321">
      <c r="B19" s="221" t="inlineStr">
        <is>
          <t>6.2</t>
        </is>
      </c>
      <c r="C19" s="335" t="inlineStr">
        <is>
          <t>оборудование и инвентарь</t>
        </is>
      </c>
      <c r="D19" s="258">
        <f>'Прил.2 Расч стоим'!H14</f>
        <v/>
      </c>
    </row>
    <row r="20" ht="16.5" customHeight="1" s="321">
      <c r="B20" s="221" t="inlineStr">
        <is>
          <t>6.3</t>
        </is>
      </c>
      <c r="C20" s="335" t="inlineStr">
        <is>
          <t>пусконаладочные работы</t>
        </is>
      </c>
      <c r="D20" s="258" t="n"/>
    </row>
    <row r="21" ht="35.25" customHeight="1" s="321">
      <c r="B21" s="221" t="inlineStr">
        <is>
          <t>6.4</t>
        </is>
      </c>
      <c r="C21" s="220" t="inlineStr">
        <is>
          <t>прочие и лимитированные затраты</t>
        </is>
      </c>
      <c r="D21" s="258" t="n"/>
    </row>
    <row r="22">
      <c r="B22" s="357" t="n">
        <v>7</v>
      </c>
      <c r="C22" s="220" t="inlineStr">
        <is>
          <t>Сопоставимый уровень цен</t>
        </is>
      </c>
      <c r="D22" s="259" t="inlineStr">
        <is>
          <t>4 кв. 2021 г.</t>
        </is>
      </c>
      <c r="E22" s="218" t="n"/>
    </row>
    <row r="23" ht="123" customHeight="1" s="321">
      <c r="B23" s="357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  <c r="E23" s="243" t="n"/>
    </row>
    <row r="24" ht="60.75" customHeight="1" s="321">
      <c r="B24" s="35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58">
        <f>D17/D15</f>
        <v/>
      </c>
      <c r="E24" s="218" t="n"/>
    </row>
    <row r="25" ht="48" customHeight="1" s="321">
      <c r="B25" s="357" t="n">
        <v>10</v>
      </c>
      <c r="C25" s="335" t="inlineStr">
        <is>
          <t>Примечание</t>
        </is>
      </c>
      <c r="D25" s="357" t="n"/>
    </row>
    <row r="26">
      <c r="B26" s="216" t="n"/>
      <c r="C26" s="215" t="n"/>
      <c r="D26" s="215" t="n"/>
    </row>
    <row r="27">
      <c r="B27" s="214" t="n"/>
    </row>
    <row r="28">
      <c r="B28" s="323" t="inlineStr">
        <is>
          <t>Составил ______________________    А.Р. Маркова</t>
        </is>
      </c>
    </row>
    <row r="29">
      <c r="B29" s="214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51" t="inlineStr">
        <is>
          <t>Приложение № 2</t>
        </is>
      </c>
      <c r="K3" s="214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29.25" customHeight="1" s="321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1">
      <c r="B8" s="246" t="n"/>
    </row>
    <row r="9" ht="15.75" customHeight="1" s="321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21">
      <c r="B10" s="456" t="n"/>
      <c r="C10" s="45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2021 г., тыс. руб.</t>
        </is>
      </c>
      <c r="G10" s="454" t="n"/>
      <c r="H10" s="454" t="n"/>
      <c r="I10" s="454" t="n"/>
      <c r="J10" s="455" t="n"/>
    </row>
    <row r="11" ht="31.5" customHeight="1" s="321">
      <c r="B11" s="457" t="n"/>
      <c r="C11" s="457" t="n"/>
      <c r="D11" s="457" t="n"/>
      <c r="E11" s="457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63" customHeight="1" s="321">
      <c r="B12" s="339" t="n"/>
      <c r="C12" s="339" t="inlineStr">
        <is>
          <t>ШЭТ ПДС-1-032/128-8 Шкаф для 1-го устройства приема, передачи или приемопередачи на 32 команды</t>
        </is>
      </c>
      <c r="D12" s="339" t="n"/>
      <c r="E12" s="339" t="n"/>
      <c r="F12" s="458">
        <f>((Прил.3!H11+Прил.3!H16)*30.43+Прил.3!H18*11.34+Прил.3!H26*7.77)/1000</f>
        <v/>
      </c>
      <c r="G12" s="455" t="n"/>
      <c r="H12" s="459">
        <f>Прил.3!H24*5.71/1000</f>
        <v/>
      </c>
      <c r="I12" s="339" t="n"/>
      <c r="J12" s="459">
        <f>F12+H12</f>
        <v/>
      </c>
    </row>
    <row r="13" ht="15" customHeight="1" s="321">
      <c r="B13" s="361" t="inlineStr">
        <is>
          <t>Всего по объекту:</t>
        </is>
      </c>
      <c r="C13" s="460" t="n"/>
      <c r="D13" s="460" t="n"/>
      <c r="E13" s="461" t="n"/>
      <c r="F13" s="342" t="n"/>
      <c r="G13" s="342" t="n"/>
      <c r="H13" s="342" t="n"/>
      <c r="I13" s="342" t="n"/>
      <c r="J13" s="342" t="n"/>
    </row>
    <row r="14">
      <c r="B14" s="362" t="inlineStr">
        <is>
          <t>Всего по объекту в сопоставимом уровне цен 4 кв. 2021 г:</t>
        </is>
      </c>
      <c r="C14" s="454" t="n"/>
      <c r="D14" s="454" t="n"/>
      <c r="E14" s="455" t="n"/>
      <c r="F14" s="462">
        <f>F12</f>
        <v/>
      </c>
      <c r="G14" s="455" t="n"/>
      <c r="H14" s="463">
        <f>H12</f>
        <v/>
      </c>
      <c r="I14" s="245" t="n"/>
      <c r="J14" s="463">
        <f>J12</f>
        <v/>
      </c>
    </row>
    <row r="15" ht="15" customHeight="1" s="321"/>
    <row r="16" ht="15" customHeight="1" s="321"/>
    <row r="17" ht="15" customHeight="1" s="321"/>
    <row r="18" ht="15" customHeight="1" s="321">
      <c r="C18" s="320" t="inlineStr">
        <is>
          <t>Составил ______________________     А.Р. Маркова</t>
        </is>
      </c>
      <c r="D18" s="319" t="n"/>
      <c r="E18" s="319" t="n"/>
    </row>
    <row r="19" ht="15" customHeight="1" s="321">
      <c r="C19" s="318" t="inlineStr">
        <is>
          <t xml:space="preserve">                         (подпись, инициалы, фамилия)</t>
        </is>
      </c>
      <c r="D19" s="319" t="n"/>
      <c r="E19" s="319" t="n"/>
    </row>
    <row r="20" ht="15" customHeight="1" s="321">
      <c r="C20" s="320" t="n"/>
      <c r="D20" s="319" t="n"/>
      <c r="E20" s="319" t="n"/>
    </row>
    <row r="21" ht="15" customHeight="1" s="321">
      <c r="C21" s="320" t="inlineStr">
        <is>
          <t>Проверил ______________________        А.В. Костянецкая</t>
        </is>
      </c>
      <c r="D21" s="319" t="n"/>
      <c r="E21" s="319" t="n"/>
    </row>
    <row r="22" ht="15" customHeight="1" s="321">
      <c r="C22" s="318" t="inlineStr">
        <is>
          <t xml:space="preserve">                        (подпись, инициалы, фамилия)</t>
        </is>
      </c>
      <c r="D22" s="319" t="n"/>
      <c r="E22" s="319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8"/>
  <sheetViews>
    <sheetView view="pageBreakPreview" topLeftCell="A41" zoomScale="85" workbookViewId="0">
      <selection activeCell="C54" sqref="C54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286" min="3" max="3"/>
    <col width="49.7109375" customWidth="1" style="323" min="4" max="4"/>
    <col width="10.140625" customWidth="1" style="286" min="5" max="5"/>
    <col width="20.7109375" customWidth="1" style="286" min="6" max="6"/>
    <col width="20" customWidth="1" style="289" min="7" max="7"/>
    <col width="16.7109375" customWidth="1" style="214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1">
      <c r="A4" s="255" t="n"/>
      <c r="B4" s="255" t="n"/>
      <c r="C4" s="371" t="n"/>
    </row>
    <row r="5">
      <c r="A5" s="353" t="n"/>
    </row>
    <row r="6">
      <c r="A6" s="370" t="inlineStr">
        <is>
          <t>Наименование разрабатываемого показателя УНЦ -  ШЭТ ПДС-1-032/128-8 Шкаф для 1-го устройства приема, передачи или приемопередачи на 32 команды</t>
        </is>
      </c>
    </row>
    <row r="7">
      <c r="A7" s="370" t="n"/>
      <c r="B7" s="370" t="n"/>
      <c r="D7" s="370" t="n"/>
      <c r="G7" s="290" t="n"/>
    </row>
    <row r="8" ht="38.25" customHeight="1" s="321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55" t="n"/>
    </row>
    <row r="9" ht="40.5" customHeight="1" s="321">
      <c r="A9" s="457" t="n"/>
      <c r="B9" s="457" t="n"/>
      <c r="C9" s="457" t="n"/>
      <c r="D9" s="457" t="n"/>
      <c r="E9" s="457" t="n"/>
      <c r="F9" s="457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287" t="n">
        <v>2</v>
      </c>
      <c r="D10" s="358" t="inlineStr">
        <is>
          <t>З</t>
        </is>
      </c>
      <c r="E10" s="287" t="n">
        <v>4</v>
      </c>
      <c r="F10" s="287" t="n">
        <v>5</v>
      </c>
      <c r="G10" s="287" t="n">
        <v>6</v>
      </c>
      <c r="H10" s="358" t="n">
        <v>7</v>
      </c>
    </row>
    <row r="11" customFormat="1" s="312">
      <c r="A11" s="367" t="inlineStr">
        <is>
          <t>Затраты труда рабочих</t>
        </is>
      </c>
      <c r="B11" s="454" t="n"/>
      <c r="C11" s="454" t="n"/>
      <c r="D11" s="454" t="n"/>
      <c r="E11" s="455" t="n"/>
      <c r="F11" s="464" t="n">
        <v>144.5416</v>
      </c>
      <c r="G11" s="294" t="n"/>
      <c r="H11" s="465">
        <f>SUM(H12:H15)</f>
        <v/>
      </c>
    </row>
    <row r="12">
      <c r="A12" s="398" t="n">
        <v>1</v>
      </c>
      <c r="B12" s="228" t="n"/>
      <c r="C12" s="288" t="inlineStr">
        <is>
          <t>1-3-8</t>
        </is>
      </c>
      <c r="D12" s="281" t="inlineStr">
        <is>
          <t>Затраты труда рабочих (средний разряд работы 3,8)</t>
        </is>
      </c>
      <c r="E12" s="285" t="inlineStr">
        <is>
          <t>чел.-ч</t>
        </is>
      </c>
      <c r="F12" s="285" t="n">
        <v>115.21</v>
      </c>
      <c r="G12" s="284" t="n">
        <v>9.4</v>
      </c>
      <c r="H12" s="267">
        <f>ROUND(F12*G12,2)</f>
        <v/>
      </c>
      <c r="M12" s="466" t="n"/>
    </row>
    <row r="13">
      <c r="A13" s="398" t="n">
        <v>2</v>
      </c>
      <c r="B13" s="228" t="n"/>
      <c r="C13" s="288" t="inlineStr">
        <is>
          <t>1-3-6</t>
        </is>
      </c>
      <c r="D13" s="281" t="inlineStr">
        <is>
          <t>Затраты труда рабочих (средний разряд работы 3,6)</t>
        </is>
      </c>
      <c r="E13" s="285" t="inlineStr">
        <is>
          <t>чел.-ч</t>
        </is>
      </c>
      <c r="F13" s="285" t="n">
        <v>15.2</v>
      </c>
      <c r="G13" s="284" t="n">
        <v>9.18</v>
      </c>
      <c r="H13" s="267">
        <f>ROUND(F13*G13,2)</f>
        <v/>
      </c>
      <c r="M13" s="466" t="n"/>
    </row>
    <row r="14">
      <c r="A14" s="398" t="n">
        <v>3</v>
      </c>
      <c r="B14" s="228" t="n"/>
      <c r="C14" s="288" t="inlineStr">
        <is>
          <t>1-4-1</t>
        </is>
      </c>
      <c r="D14" s="281" t="inlineStr">
        <is>
          <t>Затраты труда рабочих (средний разряд работы 4,1)</t>
        </is>
      </c>
      <c r="E14" s="285" t="inlineStr">
        <is>
          <t>чел.-ч</t>
        </is>
      </c>
      <c r="F14" s="285" t="n">
        <v>10.0116</v>
      </c>
      <c r="G14" s="284" t="n">
        <v>9.76</v>
      </c>
      <c r="H14" s="267">
        <f>ROUND(F14*G14,2)</f>
        <v/>
      </c>
      <c r="M14" s="466" t="n"/>
    </row>
    <row r="15">
      <c r="A15" s="398" t="n">
        <v>4</v>
      </c>
      <c r="B15" s="228" t="n"/>
      <c r="C15" s="288" t="inlineStr">
        <is>
          <t>1-4-2</t>
        </is>
      </c>
      <c r="D15" s="281" t="inlineStr">
        <is>
          <t>Затраты труда рабочих (средний разряд работы 4,2)</t>
        </is>
      </c>
      <c r="E15" s="285" t="inlineStr">
        <is>
          <t>чел.-ч</t>
        </is>
      </c>
      <c r="F15" s="285" t="n">
        <v>4.12</v>
      </c>
      <c r="G15" s="284" t="n">
        <v>9.92</v>
      </c>
      <c r="H15" s="267">
        <f>ROUND(F15*G15,2)</f>
        <v/>
      </c>
      <c r="M15" s="466" t="n"/>
    </row>
    <row r="16">
      <c r="A16" s="363" t="inlineStr">
        <is>
          <t>Затраты труда машинистов</t>
        </is>
      </c>
      <c r="B16" s="454" t="n"/>
      <c r="C16" s="454" t="n"/>
      <c r="D16" s="454" t="n"/>
      <c r="E16" s="455" t="n"/>
      <c r="F16" s="291" t="n"/>
      <c r="G16" s="227" t="n"/>
      <c r="H16" s="465">
        <f>H17</f>
        <v/>
      </c>
    </row>
    <row r="17">
      <c r="A17" s="398" t="n">
        <v>5</v>
      </c>
      <c r="B17" s="368" t="n"/>
      <c r="C17" s="264" t="n">
        <v>2</v>
      </c>
      <c r="D17" s="265" t="inlineStr">
        <is>
          <t>Затраты труда машинистов(справочно)</t>
        </is>
      </c>
      <c r="E17" s="398" t="inlineStr">
        <is>
          <t>чел.-ч</t>
        </is>
      </c>
      <c r="F17" s="398" t="n">
        <v>5.2</v>
      </c>
      <c r="G17" s="247" t="n"/>
      <c r="H17" s="268" t="n">
        <v>65.27</v>
      </c>
    </row>
    <row r="18" customFormat="1" s="312">
      <c r="A18" s="364" t="inlineStr">
        <is>
          <t>Машины и механизмы</t>
        </is>
      </c>
      <c r="B18" s="454" t="n"/>
      <c r="C18" s="454" t="n"/>
      <c r="D18" s="454" t="n"/>
      <c r="E18" s="455" t="n"/>
      <c r="F18" s="291" t="n"/>
      <c r="G18" s="227" t="n"/>
      <c r="H18" s="465">
        <f>SUM(H19:H23)</f>
        <v/>
      </c>
    </row>
    <row r="19" ht="25.5" customHeight="1" s="321">
      <c r="A19" s="398" t="n">
        <v>6</v>
      </c>
      <c r="B19" s="368" t="n"/>
      <c r="C19" s="285" t="inlineStr">
        <is>
          <t>91.05.05-015</t>
        </is>
      </c>
      <c r="D19" s="284" t="inlineStr">
        <is>
          <t>Краны на автомобильном ходу, грузоподъемность 16 т</t>
        </is>
      </c>
      <c r="E19" s="285" t="inlineStr">
        <is>
          <t>маш.-ч.</t>
        </is>
      </c>
      <c r="F19" s="285" t="n">
        <v>2.6</v>
      </c>
      <c r="G19" s="301" t="n">
        <v>115.4</v>
      </c>
      <c r="H19" s="272">
        <f>ROUND(F19*G19,2)</f>
        <v/>
      </c>
      <c r="I19" s="257" t="n"/>
      <c r="J19" s="257" t="n"/>
      <c r="L19" s="257" t="n"/>
    </row>
    <row r="20" customFormat="1" s="312">
      <c r="A20" s="398" t="n">
        <v>7</v>
      </c>
      <c r="B20" s="368" t="n"/>
      <c r="C20" s="285" t="inlineStr">
        <is>
          <t>91.14.02-001</t>
        </is>
      </c>
      <c r="D20" s="284" t="inlineStr">
        <is>
          <t>Автомобили бортовые, грузоподъемность до 5 т</t>
        </is>
      </c>
      <c r="E20" s="285" t="inlineStr">
        <is>
          <t>маш.-ч.</t>
        </is>
      </c>
      <c r="F20" s="285" t="n">
        <v>2.6</v>
      </c>
      <c r="G20" s="301" t="n">
        <v>65.7</v>
      </c>
      <c r="H20" s="272">
        <f>ROUND(F20*G20,2)</f>
        <v/>
      </c>
      <c r="I20" s="257" t="n"/>
      <c r="J20" s="257" t="n"/>
      <c r="L20" s="257" t="n"/>
    </row>
    <row r="21" ht="25.5" customHeight="1" s="321">
      <c r="A21" s="398" t="n">
        <v>8</v>
      </c>
      <c r="B21" s="368" t="n"/>
      <c r="C21" s="285" t="inlineStr">
        <is>
          <t>91.06.03-061</t>
        </is>
      </c>
      <c r="D21" s="284" t="inlineStr">
        <is>
          <t>Лебедки электрические тяговым усилием до 12,26 кН (1,25 т)</t>
        </is>
      </c>
      <c r="E21" s="285" t="inlineStr">
        <is>
          <t>маш.-ч.</t>
        </is>
      </c>
      <c r="F21" s="285" t="n">
        <v>24.2</v>
      </c>
      <c r="G21" s="301" t="n">
        <v>3.28</v>
      </c>
      <c r="H21" s="272">
        <f>ROUND(F21*G21,2)</f>
        <v/>
      </c>
      <c r="I21" s="257" t="n"/>
      <c r="J21" s="257" t="n"/>
      <c r="K21" s="257" t="n"/>
      <c r="L21" s="257" t="n"/>
    </row>
    <row r="22">
      <c r="A22" s="398" t="n">
        <v>9</v>
      </c>
      <c r="B22" s="368" t="n"/>
      <c r="C22" s="285" t="inlineStr">
        <is>
          <t>91.06.01-003</t>
        </is>
      </c>
      <c r="D22" s="284" t="inlineStr">
        <is>
          <t>Домкраты гидравлические, грузоподъемность 63-100 т</t>
        </is>
      </c>
      <c r="E22" s="285" t="inlineStr">
        <is>
          <t>маш.-ч.</t>
        </is>
      </c>
      <c r="F22" s="285" t="n">
        <v>24.2</v>
      </c>
      <c r="G22" s="301" t="n">
        <v>0.9</v>
      </c>
      <c r="H22" s="272">
        <f>ROUND(F22*G22,2)</f>
        <v/>
      </c>
      <c r="I22" s="257" t="n"/>
      <c r="J22" s="257" t="n"/>
      <c r="L22" s="257" t="n"/>
    </row>
    <row r="23" ht="25.5" customHeight="1" s="321">
      <c r="A23" s="398" t="n">
        <v>10</v>
      </c>
      <c r="B23" s="368" t="n"/>
      <c r="C23" s="285" t="inlineStr">
        <is>
          <t>91.17.04-233</t>
        </is>
      </c>
      <c r="D23" s="284" t="inlineStr">
        <is>
          <t>Установки для сварки ручной дуговой (постоянного тока)</t>
        </is>
      </c>
      <c r="E23" s="285" t="inlineStr">
        <is>
          <t>маш.-ч.</t>
        </is>
      </c>
      <c r="F23" s="285" t="n">
        <v>0.9</v>
      </c>
      <c r="G23" s="301" t="n">
        <v>8.1</v>
      </c>
      <c r="H23" s="272">
        <f>ROUND(F23*G23,2)</f>
        <v/>
      </c>
      <c r="I23" s="257" t="n"/>
      <c r="J23" s="257" t="n"/>
      <c r="L23" s="257" t="n"/>
    </row>
    <row r="24" ht="15" customHeight="1" s="321">
      <c r="A24" s="363" t="inlineStr">
        <is>
          <t>Оборудование</t>
        </is>
      </c>
      <c r="B24" s="454" t="n"/>
      <c r="C24" s="454" t="n"/>
      <c r="D24" s="454" t="n"/>
      <c r="E24" s="455" t="n"/>
      <c r="F24" s="293" t="n"/>
      <c r="G24" s="294" t="n"/>
      <c r="H24" s="465">
        <f>SUM(H25:H25)</f>
        <v/>
      </c>
    </row>
    <row r="25" ht="25.5" customHeight="1" s="321">
      <c r="A25" s="248" t="n">
        <v>11</v>
      </c>
      <c r="B25" s="363" t="n"/>
      <c r="C25" s="285" t="inlineStr">
        <is>
          <t>Прайс из СД ОП</t>
        </is>
      </c>
      <c r="D25" s="296" t="inlineStr">
        <is>
          <t>Шкаф для 1-го устройства приема, передачи или приемопередачи на 32 команды ШЭТ ПДС-1-032/128-8</t>
        </is>
      </c>
      <c r="E25" s="285" t="inlineStr">
        <is>
          <t>шт</t>
        </is>
      </c>
      <c r="F25" s="285" t="n">
        <v>1</v>
      </c>
      <c r="G25" s="301" t="n">
        <v>151757.19</v>
      </c>
      <c r="H25" s="272">
        <f>ROUND(F25*G25,2)</f>
        <v/>
      </c>
      <c r="I25" s="250" t="n"/>
    </row>
    <row r="26">
      <c r="A26" s="364" t="inlineStr">
        <is>
          <t>Материалы</t>
        </is>
      </c>
      <c r="B26" s="454" t="n"/>
      <c r="C26" s="454" t="n"/>
      <c r="D26" s="454" t="n"/>
      <c r="E26" s="455" t="n"/>
      <c r="F26" s="291" t="n"/>
      <c r="G26" s="227" t="n"/>
      <c r="H26" s="465">
        <f>SUM(H27:H52)</f>
        <v/>
      </c>
    </row>
    <row r="27">
      <c r="A27" s="248" t="n">
        <v>12</v>
      </c>
      <c r="B27" s="368" t="n"/>
      <c r="C27" s="285" t="inlineStr">
        <is>
          <t>21.1.08.03-0581</t>
        </is>
      </c>
      <c r="D27" s="281" t="inlineStr">
        <is>
          <t>Кабель контрольный КВВГЭнг(A)-LS 7х1,5</t>
        </is>
      </c>
      <c r="E27" s="285" t="inlineStr">
        <is>
          <t>1000 м</t>
        </is>
      </c>
      <c r="F27" s="285" t="n">
        <v>1.02</v>
      </c>
      <c r="G27" s="284" t="n">
        <v>37014.5</v>
      </c>
      <c r="H27" s="272">
        <f>ROUND(F27*G27,2)</f>
        <v/>
      </c>
      <c r="I27" s="250" t="n"/>
      <c r="J27" s="257" t="n"/>
      <c r="K27" s="257" t="n"/>
    </row>
    <row r="28" ht="26.25" customHeight="1" s="321">
      <c r="A28" s="248" t="n">
        <v>13</v>
      </c>
      <c r="B28" s="368" t="n"/>
      <c r="C28" s="285" t="inlineStr">
        <is>
          <t>21.1.01.01-0001</t>
        </is>
      </c>
      <c r="D28" s="281" t="inlineStr">
        <is>
          <t>Кабель волоконно-оптический самонесущий биэлектрический ДСт-49-6z-6/32</t>
        </is>
      </c>
      <c r="E28" s="285" t="inlineStr">
        <is>
          <t>1000 м</t>
        </is>
      </c>
      <c r="F28" s="285" t="n">
        <v>0.1</v>
      </c>
      <c r="G28" s="284" t="n">
        <v>45920.9</v>
      </c>
      <c r="H28" s="272">
        <f>ROUND(F28*G28,2)</f>
        <v/>
      </c>
      <c r="I28" s="250" t="n"/>
      <c r="J28" s="257" t="n"/>
      <c r="K28" s="257" t="n"/>
    </row>
    <row r="29">
      <c r="A29" s="248" t="n">
        <v>14</v>
      </c>
      <c r="B29" s="368" t="n"/>
      <c r="C29" s="285" t="inlineStr">
        <is>
          <t>21.1.08.03-0574</t>
        </is>
      </c>
      <c r="D29" s="281" t="inlineStr">
        <is>
          <t>Кабель контрольный КВВГЭнг(А)-LS 4x2,5</t>
        </is>
      </c>
      <c r="E29" s="285" t="inlineStr">
        <is>
          <t>1000 м</t>
        </is>
      </c>
      <c r="F29" s="285" t="n">
        <v>0.102</v>
      </c>
      <c r="G29" s="284" t="n">
        <v>32828.82</v>
      </c>
      <c r="H29" s="272">
        <f>ROUND(F29*G29,2)</f>
        <v/>
      </c>
      <c r="I29" s="250" t="n"/>
      <c r="J29" s="257" t="n"/>
      <c r="K29" s="257" t="n"/>
    </row>
    <row r="30" ht="26.25" customHeight="1" s="321">
      <c r="A30" s="248" t="n">
        <v>15</v>
      </c>
      <c r="B30" s="368" t="n"/>
      <c r="C30" s="285" t="inlineStr">
        <is>
          <t>24.3.01.02-0002</t>
        </is>
      </c>
      <c r="D30" s="281" t="inlineStr">
        <is>
          <t>Трубы гибкие гофрированные из самозатухающего ПВХ легкие с протяжкой, диаметр 25 мм</t>
        </is>
      </c>
      <c r="E30" s="285" t="inlineStr">
        <is>
          <t>м</t>
        </is>
      </c>
      <c r="F30" s="285" t="n">
        <v>103</v>
      </c>
      <c r="G30" s="284" t="n">
        <v>3.43</v>
      </c>
      <c r="H30" s="272">
        <f>ROUND(F30*G30,2)</f>
        <v/>
      </c>
      <c r="I30" s="250" t="n"/>
      <c r="J30" s="257" t="n"/>
    </row>
    <row r="31" ht="26.25" customHeight="1" s="321">
      <c r="A31" s="248" t="n">
        <v>16</v>
      </c>
      <c r="B31" s="368" t="n"/>
      <c r="C31" s="285" t="inlineStr">
        <is>
          <t>07.2.07.04-0007</t>
        </is>
      </c>
      <c r="D31" s="281" t="inlineStr">
        <is>
          <t>Конструкции стальные индивидуальные решетчатые сварные, масса до 0,1 т</t>
        </is>
      </c>
      <c r="E31" s="285" t="inlineStr">
        <is>
          <t>т</t>
        </is>
      </c>
      <c r="F31" s="285" t="n">
        <v>0.03</v>
      </c>
      <c r="G31" s="284" t="n">
        <v>11500</v>
      </c>
      <c r="H31" s="272">
        <f>ROUND(F31*G31,2)</f>
        <v/>
      </c>
      <c r="I31" s="250" t="n"/>
      <c r="J31" s="257" t="n"/>
    </row>
    <row r="32" ht="26.25" customHeight="1" s="321">
      <c r="A32" s="248" t="n">
        <v>17</v>
      </c>
      <c r="B32" s="368" t="n"/>
      <c r="C32" s="285" t="inlineStr">
        <is>
          <t>10.3.02.03-0011</t>
        </is>
      </c>
      <c r="D32" s="281" t="inlineStr">
        <is>
          <t>Припои оловянно-свинцовые бессурьмянистые, марка ПОС30</t>
        </is>
      </c>
      <c r="E32" s="285" t="inlineStr">
        <is>
          <t>т</t>
        </is>
      </c>
      <c r="F32" s="285" t="n">
        <v>0.00406</v>
      </c>
      <c r="G32" s="284" t="n">
        <v>68027.09</v>
      </c>
      <c r="H32" s="272">
        <f>ROUND(F32*G32,2)</f>
        <v/>
      </c>
      <c r="I32" s="250" t="n"/>
      <c r="J32" s="257" t="n"/>
    </row>
    <row r="33">
      <c r="A33" s="248" t="n">
        <v>18</v>
      </c>
      <c r="B33" s="368" t="n"/>
      <c r="C33" s="285" t="inlineStr">
        <is>
          <t>14.4.03.03-0002</t>
        </is>
      </c>
      <c r="D33" s="281" t="inlineStr">
        <is>
          <t>Лак битумный БТ-123</t>
        </is>
      </c>
      <c r="E33" s="285" t="inlineStr">
        <is>
          <t>т</t>
        </is>
      </c>
      <c r="F33" s="285" t="n">
        <v>0.00792</v>
      </c>
      <c r="G33" s="284" t="n">
        <v>7833.33</v>
      </c>
      <c r="H33" s="272">
        <f>ROUND(F33*G33,2)</f>
        <v/>
      </c>
      <c r="I33" s="250" t="n"/>
      <c r="J33" s="257" t="n"/>
    </row>
    <row r="34">
      <c r="A34" s="248" t="n">
        <v>19</v>
      </c>
      <c r="B34" s="368" t="n"/>
      <c r="C34" s="285" t="inlineStr">
        <is>
          <t>20.1.02.06-0001</t>
        </is>
      </c>
      <c r="D34" s="281" t="inlineStr">
        <is>
          <t>Жир паяльный</t>
        </is>
      </c>
      <c r="E34" s="285" t="inlineStr">
        <is>
          <t>кг</t>
        </is>
      </c>
      <c r="F34" s="285" t="n">
        <v>0.48</v>
      </c>
      <c r="G34" s="284" t="n">
        <v>101</v>
      </c>
      <c r="H34" s="272">
        <f>ROUND(F34*G34,2)</f>
        <v/>
      </c>
      <c r="I34" s="250" t="n"/>
      <c r="J34" s="257" t="n"/>
    </row>
    <row r="35">
      <c r="A35" s="248" t="n">
        <v>20</v>
      </c>
      <c r="B35" s="368" t="n"/>
      <c r="C35" s="285" t="inlineStr">
        <is>
          <t>25.2.01.01-0017</t>
        </is>
      </c>
      <c r="D35" s="281" t="inlineStr">
        <is>
          <t>Бирки маркировочные пластмассовые</t>
        </is>
      </c>
      <c r="E35" s="285" t="inlineStr">
        <is>
          <t>100 шт</t>
        </is>
      </c>
      <c r="F35" s="285" t="n">
        <v>1.08</v>
      </c>
      <c r="G35" s="284" t="n">
        <v>30.74</v>
      </c>
      <c r="H35" s="272">
        <f>ROUND(F35*G35,2)</f>
        <v/>
      </c>
      <c r="I35" s="250" t="n"/>
      <c r="J35" s="257" t="n"/>
    </row>
    <row r="36" ht="26.25" customHeight="1" s="321">
      <c r="A36" s="248" t="n">
        <v>21</v>
      </c>
      <c r="B36" s="368" t="n"/>
      <c r="C36" s="285" t="inlineStr">
        <is>
          <t>999-9950</t>
        </is>
      </c>
      <c r="D36" s="281" t="inlineStr">
        <is>
          <t>Вспомогательные ненормируемые материальные ресурсы</t>
        </is>
      </c>
      <c r="E36" s="285" t="inlineStr">
        <is>
          <t>руб</t>
        </is>
      </c>
      <c r="F36" s="285" t="n">
        <v>27.221368</v>
      </c>
      <c r="G36" s="284" t="n">
        <v>1</v>
      </c>
      <c r="H36" s="272">
        <f>ROUND(F36*G36,2)</f>
        <v/>
      </c>
      <c r="I36" s="250" t="n"/>
      <c r="J36" s="257" t="n"/>
    </row>
    <row r="37">
      <c r="A37" s="248" t="n">
        <v>22</v>
      </c>
      <c r="B37" s="368" t="n"/>
      <c r="C37" s="285" t="inlineStr">
        <is>
          <t>01.7.06.07-0002</t>
        </is>
      </c>
      <c r="D37" s="281" t="inlineStr">
        <is>
          <t>Лента монтажная, тип ЛМ-5</t>
        </is>
      </c>
      <c r="E37" s="285" t="inlineStr">
        <is>
          <t>10 м</t>
        </is>
      </c>
      <c r="F37" s="285" t="n">
        <v>2.695</v>
      </c>
      <c r="G37" s="284" t="n">
        <v>6.9</v>
      </c>
      <c r="H37" s="272">
        <f>ROUND(F37*G37,2)</f>
        <v/>
      </c>
      <c r="I37" s="250" t="n"/>
      <c r="J37" s="257" t="n"/>
    </row>
    <row r="38" ht="26.25" customHeight="1" s="321">
      <c r="A38" s="248" t="n">
        <v>23</v>
      </c>
      <c r="B38" s="368" t="n"/>
      <c r="C38" s="285" t="inlineStr">
        <is>
          <t>01.7.06.05-0041</t>
        </is>
      </c>
      <c r="D38" s="281" t="inlineStr">
        <is>
          <t>Лента изоляционная прорезиненная односторонняя, ширина 20 мм, толщина 0,25-0,35 мм</t>
        </is>
      </c>
      <c r="E38" s="285" t="inlineStr">
        <is>
          <t>кг</t>
        </is>
      </c>
      <c r="F38" s="285" t="n">
        <v>0.5600000000000001</v>
      </c>
      <c r="G38" s="284" t="n">
        <v>30.23</v>
      </c>
      <c r="H38" s="272">
        <f>ROUND(F38*G38,2)</f>
        <v/>
      </c>
      <c r="I38" s="250" t="n"/>
      <c r="J38" s="257" t="n"/>
    </row>
    <row r="39">
      <c r="A39" s="248" t="n">
        <v>24</v>
      </c>
      <c r="B39" s="368" t="n"/>
      <c r="C39" s="285" t="inlineStr">
        <is>
          <t>01.7.15.14-0165</t>
        </is>
      </c>
      <c r="D39" s="281" t="inlineStr">
        <is>
          <t>Шурупы с полукруглой головкой 4x40 мм</t>
        </is>
      </c>
      <c r="E39" s="285" t="inlineStr">
        <is>
          <t>т</t>
        </is>
      </c>
      <c r="F39" s="285" t="n">
        <v>0.00121</v>
      </c>
      <c r="G39" s="284" t="n">
        <v>12454.55</v>
      </c>
      <c r="H39" s="272">
        <f>ROUND(F39*G39,2)</f>
        <v/>
      </c>
      <c r="I39" s="250" t="n"/>
      <c r="J39" s="257" t="n"/>
    </row>
    <row r="40">
      <c r="A40" s="248" t="n">
        <v>25</v>
      </c>
      <c r="B40" s="368" t="n"/>
      <c r="C40" s="285" t="inlineStr">
        <is>
          <t>01.7.15.07-0152</t>
        </is>
      </c>
      <c r="D40" s="281" t="inlineStr">
        <is>
          <t>Дюбели с шурупом, размер 6x35 мм</t>
        </is>
      </c>
      <c r="E40" s="285" t="inlineStr">
        <is>
          <t>100 шт</t>
        </is>
      </c>
      <c r="F40" s="285" t="n">
        <v>1.75</v>
      </c>
      <c r="G40" s="284" t="n">
        <v>8</v>
      </c>
      <c r="H40" s="272">
        <f>ROUND(F40*G40,2)</f>
        <v/>
      </c>
      <c r="I40" s="250" t="n"/>
      <c r="J40" s="257" t="n"/>
    </row>
    <row r="41" ht="26.25" customHeight="1" s="321">
      <c r="A41" s="248" t="n">
        <v>26</v>
      </c>
      <c r="B41" s="368" t="n"/>
      <c r="C41" s="285" t="inlineStr">
        <is>
          <t>10.3.02.03-0013</t>
        </is>
      </c>
      <c r="D41" s="281" t="inlineStr">
        <is>
          <t>Припои оловянно-свинцовые бессурьмянистые, марка ПОС61</t>
        </is>
      </c>
      <c r="E41" s="285" t="inlineStr">
        <is>
          <t>т</t>
        </is>
      </c>
      <c r="F41" s="285" t="n">
        <v>8.64e-05</v>
      </c>
      <c r="G41" s="284" t="n">
        <v>114236.11</v>
      </c>
      <c r="H41" s="272">
        <f>ROUND(F41*G41,2)</f>
        <v/>
      </c>
      <c r="I41" s="250" t="n"/>
      <c r="J41" s="257" t="n"/>
    </row>
    <row r="42">
      <c r="A42" s="248" t="n">
        <v>27</v>
      </c>
      <c r="B42" s="368" t="n"/>
      <c r="C42" s="285" t="inlineStr">
        <is>
          <t>20.2.01.05-0005</t>
        </is>
      </c>
      <c r="D42" s="281" t="inlineStr">
        <is>
          <t>Гильзы кабельные медные ГМ 16</t>
        </is>
      </c>
      <c r="E42" s="285" t="inlineStr">
        <is>
          <t>100 шт</t>
        </is>
      </c>
      <c r="F42" s="285" t="n">
        <v>0.05</v>
      </c>
      <c r="G42" s="284" t="n">
        <v>143</v>
      </c>
      <c r="H42" s="272">
        <f>ROUND(F42*G42,2)</f>
        <v/>
      </c>
      <c r="I42" s="250" t="n"/>
      <c r="J42" s="257" t="n"/>
    </row>
    <row r="43">
      <c r="A43" s="248" t="n">
        <v>28</v>
      </c>
      <c r="B43" s="368" t="n"/>
      <c r="C43" s="285" t="inlineStr">
        <is>
          <t>01.7.11.07-0034</t>
        </is>
      </c>
      <c r="D43" s="281" t="inlineStr">
        <is>
          <t>Электроды сварочные Э42А, диаметр 4 мм</t>
        </is>
      </c>
      <c r="E43" s="285" t="inlineStr">
        <is>
          <t>кг</t>
        </is>
      </c>
      <c r="F43" s="285" t="n">
        <v>0.3</v>
      </c>
      <c r="G43" s="284" t="n">
        <v>10.57</v>
      </c>
      <c r="H43" s="272">
        <f>ROUND(F43*G43,2)</f>
        <v/>
      </c>
      <c r="I43" s="250" t="n"/>
      <c r="J43" s="257" t="n"/>
    </row>
    <row r="44">
      <c r="A44" s="248" t="n">
        <v>29</v>
      </c>
      <c r="B44" s="368" t="n"/>
      <c r="C44" s="285" t="inlineStr">
        <is>
          <t>20.2.02.01-0013</t>
        </is>
      </c>
      <c r="D44" s="281" t="inlineStr">
        <is>
          <t>Втулки, диаметр 28 мм</t>
        </is>
      </c>
      <c r="E44" s="285" t="inlineStr">
        <is>
          <t>1000 шт</t>
        </is>
      </c>
      <c r="F44" s="285" t="n">
        <v>0.0122</v>
      </c>
      <c r="G44" s="284" t="n">
        <v>176.23</v>
      </c>
      <c r="H44" s="272">
        <f>ROUND(F44*G44,2)</f>
        <v/>
      </c>
      <c r="I44" s="250" t="n"/>
      <c r="J44" s="257" t="n"/>
    </row>
    <row r="45">
      <c r="A45" s="248" t="n">
        <v>30</v>
      </c>
      <c r="B45" s="368" t="n"/>
      <c r="C45" s="285" t="inlineStr">
        <is>
          <t>14.4.02.09-0001</t>
        </is>
      </c>
      <c r="D45" s="281" t="inlineStr">
        <is>
          <t>Краска</t>
        </is>
      </c>
      <c r="E45" s="285" t="inlineStr">
        <is>
          <t>кг</t>
        </is>
      </c>
      <c r="F45" s="285" t="n">
        <v>0.07000000000000001</v>
      </c>
      <c r="G45" s="284" t="n">
        <v>28.57</v>
      </c>
      <c r="H45" s="272">
        <f>ROUND(F45*G45,2)</f>
        <v/>
      </c>
      <c r="I45" s="250" t="n"/>
      <c r="J45" s="257" t="n"/>
    </row>
    <row r="46">
      <c r="A46" s="248" t="n">
        <v>31</v>
      </c>
      <c r="B46" s="368" t="n"/>
      <c r="C46" s="285" t="inlineStr">
        <is>
          <t>01.3.01.05-0009</t>
        </is>
      </c>
      <c r="D46" s="281" t="inlineStr">
        <is>
          <t>Парафин нефтяной твердый Т-1</t>
        </is>
      </c>
      <c r="E46" s="285" t="inlineStr">
        <is>
          <t>т</t>
        </is>
      </c>
      <c r="F46" s="285" t="n">
        <v>0.00024</v>
      </c>
      <c r="G46" s="284" t="n">
        <v>8000</v>
      </c>
      <c r="H46" s="272">
        <f>ROUND(F46*G46,2)</f>
        <v/>
      </c>
      <c r="I46" s="250" t="n"/>
      <c r="J46" s="257" t="n"/>
    </row>
    <row r="47">
      <c r="A47" s="248" t="n">
        <v>32</v>
      </c>
      <c r="B47" s="368" t="n"/>
      <c r="C47" s="285" t="inlineStr">
        <is>
          <t>01.7.07.20-0002</t>
        </is>
      </c>
      <c r="D47" s="281" t="inlineStr">
        <is>
          <t>Тальк молотый, сорт I</t>
        </is>
      </c>
      <c r="E47" s="285" t="inlineStr">
        <is>
          <t>т</t>
        </is>
      </c>
      <c r="F47" s="285" t="n">
        <v>0.00105</v>
      </c>
      <c r="G47" s="284" t="n">
        <v>1819.05</v>
      </c>
      <c r="H47" s="272">
        <f>ROUND(F47*G47,2)</f>
        <v/>
      </c>
      <c r="I47" s="250" t="n"/>
      <c r="J47" s="257" t="n"/>
    </row>
    <row r="48">
      <c r="A48" s="248" t="n">
        <v>33</v>
      </c>
      <c r="B48" s="368" t="n"/>
      <c r="C48" s="285" t="inlineStr">
        <is>
          <t>24.3.01.01-0002</t>
        </is>
      </c>
      <c r="D48" s="281" t="inlineStr">
        <is>
          <t>Трубка полихлорвиниловая</t>
        </is>
      </c>
      <c r="E48" s="285" t="inlineStr">
        <is>
          <t>кг</t>
        </is>
      </c>
      <c r="F48" s="285" t="n">
        <v>0.0432</v>
      </c>
      <c r="G48" s="284" t="n">
        <v>35.65</v>
      </c>
      <c r="H48" s="272">
        <f>ROUND(F48*G48,2)</f>
        <v/>
      </c>
      <c r="I48" s="250" t="n"/>
      <c r="J48" s="257" t="n"/>
    </row>
    <row r="49">
      <c r="A49" s="248" t="n">
        <v>34</v>
      </c>
      <c r="B49" s="368" t="n"/>
      <c r="C49" s="285" t="inlineStr">
        <is>
          <t>01.3.01.07-0009</t>
        </is>
      </c>
      <c r="D49" s="281" t="inlineStr">
        <is>
          <t>Спирт этиловый ректификованный технический, сорт I</t>
        </is>
      </c>
      <c r="E49" s="285" t="inlineStr">
        <is>
          <t>кг</t>
        </is>
      </c>
      <c r="F49" s="285" t="n">
        <v>0.03132</v>
      </c>
      <c r="G49" s="284" t="n">
        <v>38.95</v>
      </c>
      <c r="H49" s="272">
        <f>ROUND(F49*G49,2)</f>
        <v/>
      </c>
      <c r="I49" s="250" t="n"/>
      <c r="J49" s="257" t="n"/>
    </row>
    <row r="50">
      <c r="A50" s="248" t="n">
        <v>35</v>
      </c>
      <c r="B50" s="368" t="n"/>
      <c r="C50" s="285" t="inlineStr">
        <is>
          <t>01.3.05.17-0002</t>
        </is>
      </c>
      <c r="D50" s="281" t="inlineStr">
        <is>
          <t>Канифоль сосновая</t>
        </is>
      </c>
      <c r="E50" s="285" t="inlineStr">
        <is>
          <t>кг</t>
        </is>
      </c>
      <c r="F50" s="285" t="n">
        <v>0.02052</v>
      </c>
      <c r="G50" s="284" t="n">
        <v>27.78</v>
      </c>
      <c r="H50" s="272">
        <f>ROUND(F50*G50,2)</f>
        <v/>
      </c>
      <c r="I50" s="250" t="n"/>
      <c r="J50" s="257" t="n"/>
    </row>
    <row r="51">
      <c r="A51" s="248" t="n">
        <v>36</v>
      </c>
      <c r="B51" s="368" t="n"/>
      <c r="C51" s="285" t="inlineStr">
        <is>
          <t>01.7.15.03-0042</t>
        </is>
      </c>
      <c r="D51" s="281" t="inlineStr">
        <is>
          <t>Болты с гайками и шайбами строительные</t>
        </is>
      </c>
      <c r="E51" s="285" t="inlineStr">
        <is>
          <t>кг</t>
        </is>
      </c>
      <c r="F51" s="285" t="n">
        <v>0.06</v>
      </c>
      <c r="G51" s="284" t="n">
        <v>9</v>
      </c>
      <c r="H51" s="272">
        <f>ROUND(F51*G51,2)</f>
        <v/>
      </c>
      <c r="I51" s="250" t="n"/>
      <c r="J51" s="257" t="n"/>
    </row>
    <row r="52">
      <c r="A52" s="248" t="n">
        <v>37</v>
      </c>
      <c r="B52" s="368" t="n"/>
      <c r="C52" s="285" t="inlineStr">
        <is>
          <t>01.3.05.11-0001</t>
        </is>
      </c>
      <c r="D52" s="281" t="inlineStr">
        <is>
          <t>Дихлорэтан технический, сорт I</t>
        </is>
      </c>
      <c r="E52" s="285" t="inlineStr">
        <is>
          <t>т</t>
        </is>
      </c>
      <c r="F52" s="285" t="n">
        <v>2.16e-05</v>
      </c>
      <c r="G52" s="284" t="n">
        <v>5092.59</v>
      </c>
      <c r="H52" s="272">
        <f>ROUND(F52*G52,2)</f>
        <v/>
      </c>
      <c r="I52" s="250" t="n"/>
      <c r="J52" s="257" t="n"/>
    </row>
    <row r="54">
      <c r="B54" s="323" t="inlineStr">
        <is>
          <t>Составил ______________________     А.Р. Маркова</t>
        </is>
      </c>
    </row>
    <row r="55">
      <c r="B55" s="214" t="inlineStr">
        <is>
          <t xml:space="preserve">                         (подпись, инициалы, фамилия)</t>
        </is>
      </c>
    </row>
    <row r="57">
      <c r="B57" s="323" t="inlineStr">
        <is>
          <t>Проверил ______________________        А.В. Костянецкая</t>
        </is>
      </c>
    </row>
    <row r="58">
      <c r="B58" s="21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93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4" t="inlineStr">
        <is>
          <t>Ресурсная модель</t>
        </is>
      </c>
    </row>
    <row r="6">
      <c r="B6" s="240" t="n"/>
      <c r="C6" s="320" t="n"/>
      <c r="D6" s="320" t="n"/>
      <c r="E6" s="320" t="n"/>
    </row>
    <row r="7" ht="25.5" customHeight="1" s="321">
      <c r="B7" s="372" t="inlineStr">
        <is>
          <t>Наименование разрабатываемого показателя УНЦ — ШЭТ ПДС-1-032/128-8 Шкаф для 1-го устройства приема, передачи или приемопередачи на 32 команды</t>
        </is>
      </c>
    </row>
    <row r="8">
      <c r="B8" s="373" t="inlineStr">
        <is>
          <t>Единица измерения  — 1 ед.</t>
        </is>
      </c>
    </row>
    <row r="9">
      <c r="B9" s="240" t="n"/>
      <c r="C9" s="320" t="n"/>
      <c r="D9" s="320" t="n"/>
      <c r="E9" s="320" t="n"/>
    </row>
    <row r="10" ht="51" customHeight="1" s="321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32" t="inlineStr">
        <is>
          <t>Оплата труда рабочих</t>
        </is>
      </c>
      <c r="C11" s="267">
        <f>'Прил.5 Расчет СМР и ОБ'!J15</f>
        <v/>
      </c>
      <c r="D11" s="234">
        <f>C11/$C$24</f>
        <v/>
      </c>
      <c r="E11" s="234">
        <f>C11/$C$40</f>
        <v/>
      </c>
    </row>
    <row r="12">
      <c r="B12" s="232" t="inlineStr">
        <is>
          <t>Эксплуатация машин основных</t>
        </is>
      </c>
      <c r="C12" s="267">
        <f>'Прил.5 Расчет СМР и ОБ'!J23</f>
        <v/>
      </c>
      <c r="D12" s="234">
        <f>C12/$C$24</f>
        <v/>
      </c>
      <c r="E12" s="234">
        <f>C12/$C$40</f>
        <v/>
      </c>
    </row>
    <row r="13">
      <c r="B13" s="232" t="inlineStr">
        <is>
          <t>Эксплуатация машин прочих</t>
        </is>
      </c>
      <c r="C13" s="267">
        <f>'Прил.5 Расчет СМР и ОБ'!J26</f>
        <v/>
      </c>
      <c r="D13" s="234">
        <f>C13/$C$24</f>
        <v/>
      </c>
      <c r="E13" s="234">
        <f>C13/$C$40</f>
        <v/>
      </c>
    </row>
    <row r="14">
      <c r="B14" s="232" t="inlineStr">
        <is>
          <t>ЭКСПЛУАТАЦИЯ МАШИН, ВСЕГО:</t>
        </is>
      </c>
      <c r="C14" s="267">
        <f>C13+C12</f>
        <v/>
      </c>
      <c r="D14" s="234">
        <f>C14/$C$24</f>
        <v/>
      </c>
      <c r="E14" s="234">
        <f>C14/$C$40</f>
        <v/>
      </c>
    </row>
    <row r="15">
      <c r="B15" s="232" t="inlineStr">
        <is>
          <t>в том числе зарплата машинистов</t>
        </is>
      </c>
      <c r="C15" s="267">
        <f>'Прил.5 Расчет СМР и ОБ'!J17</f>
        <v/>
      </c>
      <c r="D15" s="234">
        <f>C15/$C$24</f>
        <v/>
      </c>
      <c r="E15" s="234">
        <f>C15/$C$40</f>
        <v/>
      </c>
    </row>
    <row r="16">
      <c r="B16" s="232" t="inlineStr">
        <is>
          <t>Материалы основные</t>
        </is>
      </c>
      <c r="C16" s="267">
        <f>'Прил.5 Расчет СМР и ОБ'!J40</f>
        <v/>
      </c>
      <c r="D16" s="234">
        <f>C16/$C$24</f>
        <v/>
      </c>
      <c r="E16" s="234">
        <f>C16/$C$40</f>
        <v/>
      </c>
    </row>
    <row r="17">
      <c r="B17" s="232" t="inlineStr">
        <is>
          <t>Материалы прочие</t>
        </is>
      </c>
      <c r="C17" s="267">
        <f>'Прил.5 Расчет СМР и ОБ'!J65</f>
        <v/>
      </c>
      <c r="D17" s="234">
        <f>C17/$C$24</f>
        <v/>
      </c>
      <c r="E17" s="234">
        <f>C17/$C$40</f>
        <v/>
      </c>
      <c r="G17" s="467" t="n"/>
    </row>
    <row r="18">
      <c r="B18" s="232" t="inlineStr">
        <is>
          <t>МАТЕРИАЛЫ, ВСЕГО:</t>
        </is>
      </c>
      <c r="C18" s="267">
        <f>C17+C16</f>
        <v/>
      </c>
      <c r="D18" s="234">
        <f>C18/$C$24</f>
        <v/>
      </c>
      <c r="E18" s="234">
        <f>C18/$C$40</f>
        <v/>
      </c>
    </row>
    <row r="19">
      <c r="B19" s="232" t="inlineStr">
        <is>
          <t>ИТОГО</t>
        </is>
      </c>
      <c r="C19" s="267">
        <f>C18+C14+C11</f>
        <v/>
      </c>
      <c r="D19" s="234" t="n"/>
      <c r="E19" s="232" t="n"/>
    </row>
    <row r="20">
      <c r="B20" s="232" t="inlineStr">
        <is>
          <t>Сметная прибыль, руб.</t>
        </is>
      </c>
      <c r="C20" s="267">
        <f>ROUND(C21*(C11+C15),2)</f>
        <v/>
      </c>
      <c r="D20" s="234">
        <f>C20/$C$24</f>
        <v/>
      </c>
      <c r="E20" s="234">
        <f>C20/$C$40</f>
        <v/>
      </c>
    </row>
    <row r="21">
      <c r="B21" s="232" t="inlineStr">
        <is>
          <t>Сметная прибыль, %</t>
        </is>
      </c>
      <c r="C21" s="237">
        <f>'Прил.5 Расчет СМР и ОБ'!D69</f>
        <v/>
      </c>
      <c r="D21" s="234" t="n"/>
      <c r="E21" s="232" t="n"/>
    </row>
    <row r="22">
      <c r="B22" s="232" t="inlineStr">
        <is>
          <t>Накладные расходы, руб.</t>
        </is>
      </c>
      <c r="C22" s="267">
        <f>ROUND(C23*(C11+C15),2)</f>
        <v/>
      </c>
      <c r="D22" s="234">
        <f>C22/$C$24</f>
        <v/>
      </c>
      <c r="E22" s="234">
        <f>C22/$C$40</f>
        <v/>
      </c>
    </row>
    <row r="23">
      <c r="B23" s="232" t="inlineStr">
        <is>
          <t>Накладные расходы, %</t>
        </is>
      </c>
      <c r="C23" s="237">
        <f>'Прил.5 Расчет СМР и ОБ'!D68</f>
        <v/>
      </c>
      <c r="D23" s="234" t="n"/>
      <c r="E23" s="232" t="n"/>
    </row>
    <row r="24">
      <c r="B24" s="232" t="inlineStr">
        <is>
          <t>ВСЕГО СМР с НР и СП</t>
        </is>
      </c>
      <c r="C24" s="267">
        <f>C19+C20+C22</f>
        <v/>
      </c>
      <c r="D24" s="234">
        <f>C24/$C$24</f>
        <v/>
      </c>
      <c r="E24" s="234">
        <f>C24/$C$40</f>
        <v/>
      </c>
    </row>
    <row r="25" ht="25.5" customHeight="1" s="321">
      <c r="B25" s="232" t="inlineStr">
        <is>
          <t>ВСЕГО стоимость оборудования, в том числе</t>
        </is>
      </c>
      <c r="C25" s="267">
        <f>'Прил.5 Расчет СМР и ОБ'!J33</f>
        <v/>
      </c>
      <c r="D25" s="234" t="n"/>
      <c r="E25" s="234">
        <f>C25/$C$40</f>
        <v/>
      </c>
    </row>
    <row r="26" ht="25.5" customHeight="1" s="321">
      <c r="B26" s="232" t="inlineStr">
        <is>
          <t>стоимость оборудования технологического</t>
        </is>
      </c>
      <c r="C26" s="267">
        <f>'Прил.5 Расчет СМР и ОБ'!J34</f>
        <v/>
      </c>
      <c r="D26" s="234" t="n"/>
      <c r="E26" s="234">
        <f>C26/$C$40</f>
        <v/>
      </c>
    </row>
    <row r="27">
      <c r="B27" s="232" t="inlineStr">
        <is>
          <t>ИТОГО (СМР + ОБОРУДОВАНИЕ)</t>
        </is>
      </c>
      <c r="C27" s="236">
        <f>C24+C25</f>
        <v/>
      </c>
      <c r="D27" s="234" t="n"/>
      <c r="E27" s="234">
        <f>C27/$C$40</f>
        <v/>
      </c>
    </row>
    <row r="28" ht="33" customHeight="1" s="321">
      <c r="B28" s="232" t="inlineStr">
        <is>
          <t>ПРОЧ. ЗАТР., УЧТЕННЫЕ ПОКАЗАТЕЛЕМ,  в том числе</t>
        </is>
      </c>
      <c r="C28" s="232" t="n"/>
      <c r="D28" s="232" t="n"/>
      <c r="E28" s="232" t="n"/>
      <c r="F28" s="235" t="n"/>
    </row>
    <row r="29" ht="25.5" customHeight="1" s="321">
      <c r="B29" s="232" t="inlineStr">
        <is>
          <t>Временные здания и сооружения - 3,9%</t>
        </is>
      </c>
      <c r="C29" s="236">
        <f>ROUND(C24*3.9%,2)</f>
        <v/>
      </c>
      <c r="D29" s="232" t="n"/>
      <c r="E29" s="234">
        <f>C29/$C$40</f>
        <v/>
      </c>
    </row>
    <row r="30" ht="38.25" customHeight="1" s="321">
      <c r="B30" s="232" t="inlineStr">
        <is>
          <t>Дополнительные затраты при производстве строительно-монтажных работ в зимнее время - 2,1%</t>
        </is>
      </c>
      <c r="C30" s="236">
        <f>ROUND((C24+C29)*2.1%,2)</f>
        <v/>
      </c>
      <c r="D30" s="232" t="n"/>
      <c r="E30" s="234">
        <f>C30/$C$40</f>
        <v/>
      </c>
      <c r="F30" s="235" t="n"/>
    </row>
    <row r="31">
      <c r="B31" s="232" t="inlineStr">
        <is>
          <t>Пусконаладочные работы</t>
        </is>
      </c>
      <c r="C31" s="236" t="n">
        <v>32110</v>
      </c>
      <c r="D31" s="232" t="n"/>
      <c r="E31" s="234">
        <f>C31/$C$40</f>
        <v/>
      </c>
    </row>
    <row r="32" ht="25.5" customHeight="1" s="321">
      <c r="B32" s="232" t="inlineStr">
        <is>
          <t>Затраты по перевозке работников к месту работы и обратно</t>
        </is>
      </c>
      <c r="C32" s="236">
        <f>ROUND(C27*0%,2)</f>
        <v/>
      </c>
      <c r="D32" s="232" t="n"/>
      <c r="E32" s="234">
        <f>C32/$C$40</f>
        <v/>
      </c>
    </row>
    <row r="33" ht="25.5" customHeight="1" s="321">
      <c r="B33" s="232" t="inlineStr">
        <is>
          <t>Затраты, связанные с осуществлением работ вахтовым методом</t>
        </is>
      </c>
      <c r="C33" s="236">
        <f>ROUND(C28*0%,2)</f>
        <v/>
      </c>
      <c r="D33" s="232" t="n"/>
      <c r="E33" s="234">
        <f>C33/$C$40</f>
        <v/>
      </c>
    </row>
    <row r="34" ht="51" customHeight="1" s="321">
      <c r="B34" s="2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6">
        <f>ROUND(C29*0%,2)</f>
        <v/>
      </c>
      <c r="D34" s="232" t="n"/>
      <c r="E34" s="451">
        <f>C34/$C$40</f>
        <v/>
      </c>
      <c r="H34" s="250" t="n"/>
    </row>
    <row r="35" ht="76.5" customHeight="1" s="321">
      <c r="B35" s="2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6">
        <f>ROUND(C30*0%,2)</f>
        <v/>
      </c>
      <c r="D35" s="450" t="n"/>
      <c r="E35" s="452">
        <f>C35/$C$40</f>
        <v/>
      </c>
    </row>
    <row r="36" ht="25.5" customHeight="1" s="321">
      <c r="B36" s="232" t="inlineStr">
        <is>
          <t>Строительный контроль и содержание службы заказчика - 2,14%</t>
        </is>
      </c>
      <c r="C36" s="236">
        <f>ROUND((C27+C32+C33+C34+C35+C29+C31+C30)*2.14%,2)</f>
        <v/>
      </c>
      <c r="D36" s="450" t="n"/>
      <c r="E36" s="452">
        <f>C36/$C$40</f>
        <v/>
      </c>
      <c r="G36" s="299" t="n"/>
      <c r="L36" s="235" t="n"/>
    </row>
    <row r="37">
      <c r="B37" s="232" t="inlineStr">
        <is>
          <t>Авторский надзор - 0,2%</t>
        </is>
      </c>
      <c r="C37" s="236">
        <f>ROUND((C27+C32+C33+C34+C35+C29+C31+C30)*0.2%,2)</f>
        <v/>
      </c>
      <c r="D37" s="450" t="n"/>
      <c r="E37" s="452">
        <f>C37/$C$40</f>
        <v/>
      </c>
      <c r="G37" s="300" t="n"/>
      <c r="L37" s="235" t="n"/>
    </row>
    <row r="38" ht="38.25" customHeight="1" s="321">
      <c r="B38" s="232" t="inlineStr">
        <is>
          <t>ИТОГО (СМР+ОБОРУДОВАНИЕ+ПРОЧ. ЗАТР., УЧТЕННЫЕ ПОКАЗАТЕЛЕМ)</t>
        </is>
      </c>
      <c r="C38" s="267">
        <f>C27+C32+C33+C34+C35+C29+C31+C30+C36+C37</f>
        <v/>
      </c>
      <c r="D38" s="450" t="n"/>
      <c r="E38" s="452">
        <f>C38/$C$40</f>
        <v/>
      </c>
    </row>
    <row r="39" ht="13.5" customHeight="1" s="321">
      <c r="B39" s="232" t="inlineStr">
        <is>
          <t>Непредвиденные расходы</t>
        </is>
      </c>
      <c r="C39" s="267">
        <f>ROUND(C38*3%,2)</f>
        <v/>
      </c>
      <c r="D39" s="450" t="n"/>
      <c r="E39" s="452">
        <f>C39/$C$38</f>
        <v/>
      </c>
    </row>
    <row r="40">
      <c r="B40" s="232" t="inlineStr">
        <is>
          <t>ВСЕГО:</t>
        </is>
      </c>
      <c r="C40" s="267">
        <f>C39+C38</f>
        <v/>
      </c>
      <c r="D40" s="450" t="n"/>
      <c r="E40" s="452">
        <f>C40/$C$40</f>
        <v/>
      </c>
    </row>
    <row r="41">
      <c r="B41" s="232" t="inlineStr">
        <is>
          <t>ИТОГО ПОКАЗАТЕЛЬ НА ЕД. ИЗМ.</t>
        </is>
      </c>
      <c r="C41" s="267">
        <f>C40/'Прил.5 Расчет СМР и ОБ'!E72</f>
        <v/>
      </c>
      <c r="D41" s="450" t="n"/>
      <c r="E41" s="453" t="n"/>
    </row>
    <row r="42">
      <c r="B42" s="306" t="n"/>
      <c r="C42" s="320" t="n"/>
      <c r="D42" s="320" t="n"/>
      <c r="E42" s="320" t="n"/>
    </row>
    <row r="43">
      <c r="B43" s="306" t="inlineStr">
        <is>
          <t>Составил ____________________________ А.Р. Маркова</t>
        </is>
      </c>
      <c r="C43" s="320" t="n"/>
      <c r="D43" s="320" t="n"/>
      <c r="E43" s="320" t="n"/>
    </row>
    <row r="44">
      <c r="B44" s="306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06" t="n"/>
      <c r="C45" s="320" t="n"/>
      <c r="D45" s="320" t="n"/>
      <c r="E45" s="320" t="n"/>
    </row>
    <row r="46">
      <c r="B46" s="306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73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17" zoomScale="85" workbookViewId="0">
      <selection activeCell="B74" sqref="B74"/>
    </sheetView>
  </sheetViews>
  <sheetFormatPr baseColWidth="8" defaultColWidth="9.140625" defaultRowHeight="15" outlineLevelRow="1"/>
  <cols>
    <col width="5.7109375" customWidth="1" style="319" min="1" max="1"/>
    <col width="22.5703125" customWidth="1" style="304" min="2" max="2"/>
    <col width="39.140625" customWidth="1" style="319" min="3" max="3"/>
    <col width="10.7109375" customWidth="1" style="308" min="4" max="4"/>
    <col width="12.7109375" customWidth="1" style="308" min="5" max="5"/>
    <col width="15" customWidth="1" style="308" min="6" max="6"/>
    <col width="13.4257812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0.85546875" customWidth="1" style="319" min="11" max="11"/>
    <col width="9.140625" customWidth="1" style="319" min="12" max="12"/>
    <col width="9.140625" customWidth="1" style="321" min="13" max="13"/>
  </cols>
  <sheetData>
    <row r="1" s="321">
      <c r="A1" s="319" t="n"/>
      <c r="B1" s="304" t="n"/>
      <c r="C1" s="319" t="n"/>
      <c r="D1" s="308" t="n"/>
      <c r="E1" s="308" t="n"/>
      <c r="F1" s="308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1">
      <c r="A2" s="319" t="n"/>
      <c r="B2" s="304" t="n"/>
      <c r="C2" s="319" t="n"/>
      <c r="D2" s="308" t="n"/>
      <c r="E2" s="308" t="n"/>
      <c r="F2" s="308" t="n"/>
      <c r="G2" s="319" t="n"/>
      <c r="H2" s="374" t="inlineStr">
        <is>
          <t>Приложение №5</t>
        </is>
      </c>
      <c r="K2" s="319" t="n"/>
      <c r="L2" s="319" t="n"/>
      <c r="M2" s="319" t="n"/>
      <c r="N2" s="319" t="n"/>
    </row>
    <row r="3" s="321">
      <c r="A3" s="319" t="n"/>
      <c r="B3" s="304" t="n"/>
      <c r="C3" s="319" t="n"/>
      <c r="D3" s="308" t="n"/>
      <c r="E3" s="308" t="n"/>
      <c r="F3" s="308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20">
      <c r="A4" s="344" t="inlineStr">
        <is>
          <t>Расчет стоимости СМР и оборудования</t>
        </is>
      </c>
    </row>
    <row r="5" ht="12.75" customFormat="1" customHeight="1" s="320">
      <c r="A5" s="344" t="n"/>
      <c r="B5" s="344" t="n"/>
      <c r="C5" s="401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20">
      <c r="A6" s="203" t="inlineStr">
        <is>
          <t>Наименование разрабатываемого показателя УНЦ</t>
        </is>
      </c>
      <c r="B6" s="380" t="n"/>
      <c r="C6" s="202" t="n"/>
      <c r="D6" s="380" t="inlineStr">
        <is>
          <t>ШЭТ ПДС-1-032/128-8 Шкаф для 1-го устройства приема, передачи или приемопередачи на 32 команды</t>
        </is>
      </c>
    </row>
    <row r="7" ht="12.75" customFormat="1" customHeight="1" s="320">
      <c r="A7" s="347" t="inlineStr">
        <is>
          <t>Единица измерения  — 1 ед.</t>
        </is>
      </c>
      <c r="I7" s="372" t="n"/>
      <c r="J7" s="372" t="n"/>
    </row>
    <row r="8" ht="13.5" customFormat="1" customHeight="1" s="320">
      <c r="A8" s="347" t="n"/>
    </row>
    <row r="9" ht="13.15" customFormat="1" customHeight="1" s="320">
      <c r="B9" s="1" t="n"/>
      <c r="D9" s="306" t="n"/>
      <c r="E9" s="306" t="n"/>
      <c r="F9" s="306" t="n"/>
    </row>
    <row r="10" ht="27" customHeight="1" s="321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55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55" t="n"/>
      <c r="K10" s="319" t="n"/>
      <c r="L10" s="319" t="n"/>
      <c r="M10" s="319" t="n"/>
      <c r="N10" s="319" t="n"/>
    </row>
    <row r="11" ht="28.5" customHeight="1" s="321">
      <c r="A11" s="457" t="n"/>
      <c r="B11" s="457" t="n"/>
      <c r="C11" s="457" t="n"/>
      <c r="D11" s="457" t="n"/>
      <c r="E11" s="457" t="n"/>
      <c r="F11" s="377" t="inlineStr">
        <is>
          <t>на ед. изм.</t>
        </is>
      </c>
      <c r="G11" s="377" t="inlineStr">
        <is>
          <t>общая</t>
        </is>
      </c>
      <c r="H11" s="457" t="n"/>
      <c r="I11" s="377" t="inlineStr">
        <is>
          <t>на ед. изм.</t>
        </is>
      </c>
      <c r="J11" s="377" t="inlineStr">
        <is>
          <t>общая</t>
        </is>
      </c>
      <c r="K11" s="319" t="n"/>
      <c r="L11" s="319" t="n"/>
      <c r="M11" s="319" t="n"/>
      <c r="N11" s="319" t="n"/>
    </row>
    <row r="12" s="321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9" t="n"/>
      <c r="L12" s="319" t="n"/>
      <c r="M12" s="319" t="n"/>
      <c r="N12" s="319" t="n"/>
    </row>
    <row r="13">
      <c r="A13" s="377" t="n"/>
      <c r="B13" s="363" t="inlineStr">
        <is>
          <t>Затраты труда рабочих-строителей</t>
        </is>
      </c>
      <c r="C13" s="454" t="n"/>
      <c r="D13" s="454" t="n"/>
      <c r="E13" s="454" t="n"/>
      <c r="F13" s="454" t="n"/>
      <c r="G13" s="454" t="n"/>
      <c r="H13" s="455" t="n"/>
      <c r="I13" s="191" t="n"/>
      <c r="J13" s="191" t="n"/>
    </row>
    <row r="14" ht="25.5" customHeight="1" s="321">
      <c r="A14" s="377" t="n">
        <v>1</v>
      </c>
      <c r="B14" s="200" t="inlineStr">
        <is>
          <t>1-3-8</t>
        </is>
      </c>
      <c r="C14" s="385" t="inlineStr">
        <is>
          <t>Затраты труда рабочих-строителей среднего разряда (3,8)</t>
        </is>
      </c>
      <c r="D14" s="377" t="inlineStr">
        <is>
          <t>чел.-ч.</t>
        </is>
      </c>
      <c r="E14" s="468">
        <f>G14/F14</f>
        <v/>
      </c>
      <c r="F14" s="197" t="n">
        <v>9.4</v>
      </c>
      <c r="G14" s="197">
        <f>Прил.3!H11</f>
        <v/>
      </c>
      <c r="H14" s="199">
        <f>G14/G15</f>
        <v/>
      </c>
      <c r="I14" s="197">
        <f>ФОТр.тек.!E13</f>
        <v/>
      </c>
      <c r="J14" s="197">
        <f>ROUND(I14*E14,2)</f>
        <v/>
      </c>
    </row>
    <row r="15" ht="25.5" customFormat="1" customHeight="1" s="319">
      <c r="A15" s="377" t="n"/>
      <c r="B15" s="377" t="n"/>
      <c r="C15" s="363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68">
        <f>SUM(E14:E14)</f>
        <v/>
      </c>
      <c r="F15" s="197" t="n"/>
      <c r="G15" s="197">
        <f>SUM(G14:G14)</f>
        <v/>
      </c>
      <c r="H15" s="388" t="n">
        <v>1</v>
      </c>
      <c r="I15" s="191" t="n"/>
      <c r="J15" s="197">
        <f>SUM(J14:J14)</f>
        <v/>
      </c>
    </row>
    <row r="16" ht="14.25" customFormat="1" customHeight="1" s="319">
      <c r="A16" s="377" t="n"/>
      <c r="B16" s="385" t="inlineStr">
        <is>
          <t>Затраты труда машинистов</t>
        </is>
      </c>
      <c r="C16" s="454" t="n"/>
      <c r="D16" s="454" t="n"/>
      <c r="E16" s="454" t="n"/>
      <c r="F16" s="454" t="n"/>
      <c r="G16" s="454" t="n"/>
      <c r="H16" s="455" t="n"/>
      <c r="I16" s="191" t="n"/>
      <c r="J16" s="191" t="n"/>
    </row>
    <row r="17" ht="14.25" customFormat="1" customHeight="1" s="319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69" t="n">
        <v>5.2</v>
      </c>
      <c r="F17" s="197">
        <f>G17/E17</f>
        <v/>
      </c>
      <c r="G17" s="197">
        <f>Прил.3!H16</f>
        <v/>
      </c>
      <c r="H17" s="388" t="n">
        <v>1</v>
      </c>
      <c r="I17" s="197">
        <f>ROUND(F17*Прил.10!D11,2)</f>
        <v/>
      </c>
      <c r="J17" s="197">
        <f>ROUND(I17*E17,2)</f>
        <v/>
      </c>
    </row>
    <row r="18" ht="14.25" customFormat="1" customHeight="1" s="319">
      <c r="A18" s="377" t="n"/>
      <c r="B18" s="363" t="inlineStr">
        <is>
          <t>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191" t="n"/>
      <c r="J18" s="191" t="n"/>
    </row>
    <row r="19" ht="14.25" customFormat="1" customHeight="1" s="319">
      <c r="A19" s="377" t="n"/>
      <c r="B19" s="385" t="inlineStr">
        <is>
          <t>Основные машины и механизмы</t>
        </is>
      </c>
      <c r="C19" s="454" t="n"/>
      <c r="D19" s="454" t="n"/>
      <c r="E19" s="454" t="n"/>
      <c r="F19" s="454" t="n"/>
      <c r="G19" s="454" t="n"/>
      <c r="H19" s="455" t="n"/>
      <c r="I19" s="191" t="n"/>
      <c r="J19" s="191" t="n"/>
    </row>
    <row r="20" ht="25.5" customFormat="1" customHeight="1" s="319">
      <c r="A20" s="377" t="n">
        <v>3</v>
      </c>
      <c r="B20" s="282" t="inlineStr">
        <is>
          <t>91.05.05-015</t>
        </is>
      </c>
      <c r="C20" s="283" t="inlineStr">
        <is>
          <t>Краны на автомобильном ходу, грузоподъемность 16 т</t>
        </is>
      </c>
      <c r="D20" s="282" t="inlineStr">
        <is>
          <t>маш.-ч.</t>
        </is>
      </c>
      <c r="E20" s="470" t="n">
        <v>2.6</v>
      </c>
      <c r="F20" s="302" t="n">
        <v>115.4</v>
      </c>
      <c r="G20" s="197">
        <f>ROUND(E20*F20,2)</f>
        <v/>
      </c>
      <c r="H20" s="199">
        <f>G20/$G$27</f>
        <v/>
      </c>
      <c r="I20" s="197">
        <f>ROUND(F20*Прил.10!$D$12,2)</f>
        <v/>
      </c>
      <c r="J20" s="197">
        <f>ROUND(I20*E20,2)</f>
        <v/>
      </c>
    </row>
    <row r="21" ht="25.5" customFormat="1" customHeight="1" s="319">
      <c r="A21" s="377" t="n">
        <v>4</v>
      </c>
      <c r="B21" s="282" t="inlineStr">
        <is>
          <t>91.14.02-001</t>
        </is>
      </c>
      <c r="C21" s="283" t="inlineStr">
        <is>
          <t>Автомобили бортовые, грузоподъемность до 5 т</t>
        </is>
      </c>
      <c r="D21" s="282" t="inlineStr">
        <is>
          <t>маш.-ч.</t>
        </is>
      </c>
      <c r="E21" s="470" t="n">
        <v>2.6</v>
      </c>
      <c r="F21" s="302" t="n">
        <v>65.7</v>
      </c>
      <c r="G21" s="197">
        <f>ROUND(E21*F21,2)</f>
        <v/>
      </c>
      <c r="H21" s="199">
        <f>G21/$G$27</f>
        <v/>
      </c>
      <c r="I21" s="197">
        <f>ROUND(F21*Прил.10!$D$12,2)</f>
        <v/>
      </c>
      <c r="J21" s="197">
        <f>ROUND(I21*E21,2)</f>
        <v/>
      </c>
    </row>
    <row r="22" ht="25.5" customFormat="1" customHeight="1" s="319">
      <c r="A22" s="377" t="n">
        <v>5</v>
      </c>
      <c r="B22" s="282" t="inlineStr">
        <is>
          <t>91.06.03-061</t>
        </is>
      </c>
      <c r="C22" s="283" t="inlineStr">
        <is>
          <t>Лебедки электрические тяговым усилием до 12,26 кН (1,25 т)</t>
        </is>
      </c>
      <c r="D22" s="282" t="inlineStr">
        <is>
          <t>маш.-ч.</t>
        </is>
      </c>
      <c r="E22" s="470" t="n">
        <v>24.2</v>
      </c>
      <c r="F22" s="302" t="n">
        <v>3.28</v>
      </c>
      <c r="G22" s="197">
        <f>ROUND(E22*F22,2)</f>
        <v/>
      </c>
      <c r="H22" s="199">
        <f>G22/$G$27</f>
        <v/>
      </c>
      <c r="I22" s="197">
        <f>ROUND(F22*Прил.10!$D$12,2)</f>
        <v/>
      </c>
      <c r="J22" s="197">
        <f>ROUND(I22*E22,2)</f>
        <v/>
      </c>
    </row>
    <row r="23" ht="14.25" customFormat="1" customHeight="1" s="319">
      <c r="A23" s="377" t="n"/>
      <c r="B23" s="377" t="n"/>
      <c r="C23" s="385" t="inlineStr">
        <is>
          <t>Итого основные машины и механизмы</t>
        </is>
      </c>
      <c r="D23" s="377" t="n"/>
      <c r="E23" s="469" t="n"/>
      <c r="F23" s="197" t="n"/>
      <c r="G23" s="197">
        <f>SUM(G20:G22)</f>
        <v/>
      </c>
      <c r="H23" s="388">
        <f>G23/G27</f>
        <v/>
      </c>
      <c r="I23" s="192" t="n"/>
      <c r="J23" s="197">
        <f>SUM(J20:J22)</f>
        <v/>
      </c>
    </row>
    <row r="24" hidden="1" outlineLevel="1" ht="25.5" customFormat="1" customHeight="1" s="319">
      <c r="A24" s="377" t="n">
        <v>6</v>
      </c>
      <c r="B24" s="282" t="inlineStr">
        <is>
          <t>91.06.01-003</t>
        </is>
      </c>
      <c r="C24" s="283" t="inlineStr">
        <is>
          <t>Домкраты гидравлические, грузоподъемность 63-100 т</t>
        </is>
      </c>
      <c r="D24" s="282" t="inlineStr">
        <is>
          <t>маш.-ч.</t>
        </is>
      </c>
      <c r="E24" s="470" t="n">
        <v>24.2</v>
      </c>
      <c r="F24" s="302" t="n">
        <v>0.9</v>
      </c>
      <c r="G24" s="197">
        <f>ROUND(E24*F24,2)</f>
        <v/>
      </c>
      <c r="H24" s="199">
        <f>G24/$G$27</f>
        <v/>
      </c>
      <c r="I24" s="197">
        <f>ROUND(F24*Прил.10!$D$12,2)</f>
        <v/>
      </c>
      <c r="J24" s="197">
        <f>ROUND(I24*E24,2)</f>
        <v/>
      </c>
    </row>
    <row r="25" hidden="1" outlineLevel="1" ht="25.5" customFormat="1" customHeight="1" s="319">
      <c r="A25" s="377" t="n">
        <v>7</v>
      </c>
      <c r="B25" s="282" t="inlineStr">
        <is>
          <t>91.17.04-233</t>
        </is>
      </c>
      <c r="C25" s="283" t="inlineStr">
        <is>
          <t>Установки для сварки ручной дуговой (постоянного тока)</t>
        </is>
      </c>
      <c r="D25" s="282" t="inlineStr">
        <is>
          <t>маш.-ч.</t>
        </is>
      </c>
      <c r="E25" s="470" t="n">
        <v>0.9</v>
      </c>
      <c r="F25" s="302" t="n">
        <v>8.1</v>
      </c>
      <c r="G25" s="197">
        <f>ROUND(E25*F25,2)</f>
        <v/>
      </c>
      <c r="H25" s="199">
        <f>G25/$G$27</f>
        <v/>
      </c>
      <c r="I25" s="197">
        <f>ROUND(F25*Прил.10!$D$12,2)</f>
        <v/>
      </c>
      <c r="J25" s="197">
        <f>ROUND(I25*E25,2)</f>
        <v/>
      </c>
    </row>
    <row r="26" collapsed="1" ht="14.25" customFormat="1" customHeight="1" s="319">
      <c r="A26" s="377" t="n"/>
      <c r="B26" s="377" t="n"/>
      <c r="C26" s="385" t="inlineStr">
        <is>
          <t>Итого прочие машины и механизмы</t>
        </is>
      </c>
      <c r="D26" s="377" t="n"/>
      <c r="E26" s="386" t="n"/>
      <c r="F26" s="197" t="n"/>
      <c r="G26" s="192">
        <f>SUM(G24:G25)</f>
        <v/>
      </c>
      <c r="H26" s="199">
        <f>G26/G27</f>
        <v/>
      </c>
      <c r="I26" s="197" t="n"/>
      <c r="J26" s="197">
        <f>SUM(J24:J25)</f>
        <v/>
      </c>
    </row>
    <row r="27" ht="25.5" customFormat="1" customHeight="1" s="319">
      <c r="A27" s="377" t="n"/>
      <c r="B27" s="377" t="n"/>
      <c r="C27" s="363" t="inlineStr">
        <is>
          <t>Итого по разделу «Машины и механизмы»</t>
        </is>
      </c>
      <c r="D27" s="377" t="n"/>
      <c r="E27" s="386" t="n"/>
      <c r="F27" s="197" t="n"/>
      <c r="G27" s="197">
        <f>G26+G23</f>
        <v/>
      </c>
      <c r="H27" s="186" t="n">
        <v>1</v>
      </c>
      <c r="I27" s="187" t="n"/>
      <c r="J27" s="210">
        <f>J26+J23</f>
        <v/>
      </c>
    </row>
    <row r="28" ht="14.25" customFormat="1" customHeight="1" s="319">
      <c r="A28" s="377" t="n"/>
      <c r="B28" s="363" t="inlineStr">
        <is>
          <t>Оборудование</t>
        </is>
      </c>
      <c r="C28" s="454" t="n"/>
      <c r="D28" s="454" t="n"/>
      <c r="E28" s="454" t="n"/>
      <c r="F28" s="454" t="n"/>
      <c r="G28" s="454" t="n"/>
      <c r="H28" s="455" t="n"/>
      <c r="I28" s="191" t="n"/>
      <c r="J28" s="191" t="n"/>
    </row>
    <row r="29">
      <c r="A29" s="377" t="n"/>
      <c r="B29" s="385" t="inlineStr">
        <is>
          <t>Основное оборудование</t>
        </is>
      </c>
      <c r="C29" s="454" t="n"/>
      <c r="D29" s="454" t="n"/>
      <c r="E29" s="454" t="n"/>
      <c r="F29" s="454" t="n"/>
      <c r="G29" s="454" t="n"/>
      <c r="H29" s="455" t="n"/>
      <c r="I29" s="191" t="n"/>
      <c r="J29" s="191" t="n"/>
      <c r="K29" s="319" t="n"/>
      <c r="L29" s="319" t="n"/>
    </row>
    <row r="30" ht="45" customFormat="1" customHeight="1" s="319">
      <c r="A30" s="377" t="n">
        <v>8</v>
      </c>
      <c r="B30" s="377" t="inlineStr">
        <is>
          <t>БЦ.34.12</t>
        </is>
      </c>
      <c r="C30" s="385" t="inlineStr">
        <is>
          <t>Шкаф для 1-го устройства приема, передачи или приемопередачи на 32 команды ШЭТ ПДС-1-032/128-8</t>
        </is>
      </c>
      <c r="D30" s="377" t="inlineStr">
        <is>
          <t>шт</t>
        </is>
      </c>
      <c r="E30" s="469" t="n">
        <v>1</v>
      </c>
      <c r="F30" s="397">
        <f>ROUND(I30/Прил.10!$D$14,2)</f>
        <v/>
      </c>
      <c r="G30" s="197">
        <f>ROUND(E30*F30,2)</f>
        <v/>
      </c>
      <c r="H30" s="199">
        <f>G30/$G$33</f>
        <v/>
      </c>
      <c r="I30" s="270" t="n">
        <v>950000</v>
      </c>
      <c r="J30" s="197">
        <f>ROUND(I30*E30,2)</f>
        <v/>
      </c>
    </row>
    <row r="31">
      <c r="A31" s="377" t="n"/>
      <c r="B31" s="377" t="n"/>
      <c r="C31" s="385" t="inlineStr">
        <is>
          <t>Итого основное оборудование</t>
        </is>
      </c>
      <c r="D31" s="377" t="n"/>
      <c r="E31" s="469" t="n"/>
      <c r="F31" s="387" t="n"/>
      <c r="G31" s="197">
        <f>G30</f>
        <v/>
      </c>
      <c r="H31" s="199">
        <f>G31/$G$33</f>
        <v/>
      </c>
      <c r="I31" s="192" t="n"/>
      <c r="J31" s="197">
        <f>J30</f>
        <v/>
      </c>
      <c r="K31" s="319" t="n"/>
      <c r="L31" s="319" t="n"/>
    </row>
    <row r="32">
      <c r="A32" s="377" t="n"/>
      <c r="B32" s="377" t="n"/>
      <c r="C32" s="385" t="inlineStr">
        <is>
          <t>Итого прочее оборудование</t>
        </is>
      </c>
      <c r="D32" s="276" t="n"/>
      <c r="E32" s="469" t="n"/>
      <c r="F32" s="387" t="n"/>
      <c r="G32" s="197" t="n">
        <v>0</v>
      </c>
      <c r="H32" s="199">
        <f>G32/$G$33</f>
        <v/>
      </c>
      <c r="I32" s="192" t="n"/>
      <c r="J32" s="197" t="n">
        <v>0</v>
      </c>
      <c r="K32" s="319" t="n"/>
      <c r="L32" s="319" t="n"/>
    </row>
    <row r="33">
      <c r="A33" s="377" t="n"/>
      <c r="B33" s="377" t="n"/>
      <c r="C33" s="363" t="inlineStr">
        <is>
          <t>Итого по разделу «Оборудование»</t>
        </is>
      </c>
      <c r="D33" s="377" t="n"/>
      <c r="E33" s="386" t="n"/>
      <c r="F33" s="387" t="n"/>
      <c r="G33" s="197">
        <f>G31+G32</f>
        <v/>
      </c>
      <c r="H33" s="199">
        <f>G33/$G$33</f>
        <v/>
      </c>
      <c r="I33" s="192" t="n"/>
      <c r="J33" s="197">
        <f>J31+J32</f>
        <v/>
      </c>
      <c r="K33" s="319" t="n"/>
      <c r="L33" s="319" t="n"/>
    </row>
    <row r="34" ht="25.5" customHeight="1" s="321">
      <c r="A34" s="377" t="n"/>
      <c r="B34" s="377" t="n"/>
      <c r="C34" s="385" t="inlineStr">
        <is>
          <t>в том числе технологическое оборудование</t>
        </is>
      </c>
      <c r="D34" s="377" t="n"/>
      <c r="E34" s="469" t="n"/>
      <c r="F34" s="387" t="n"/>
      <c r="G34" s="197">
        <f>'Прил.6 Расчет ОБ'!G13</f>
        <v/>
      </c>
      <c r="H34" s="388" t="n"/>
      <c r="I34" s="192" t="n"/>
      <c r="J34" s="197">
        <f>J33</f>
        <v/>
      </c>
      <c r="K34" s="319" t="n"/>
      <c r="L34" s="319" t="n"/>
    </row>
    <row r="35" ht="14.25" customFormat="1" customHeight="1" s="319">
      <c r="A35" s="377" t="n"/>
      <c r="B35" s="363" t="inlineStr">
        <is>
          <t>Материалы</t>
        </is>
      </c>
      <c r="C35" s="454" t="n"/>
      <c r="D35" s="454" t="n"/>
      <c r="E35" s="454" t="n"/>
      <c r="F35" s="454" t="n"/>
      <c r="G35" s="454" t="n"/>
      <c r="H35" s="455" t="n"/>
      <c r="I35" s="191" t="n"/>
      <c r="J35" s="191" t="n"/>
    </row>
    <row r="36" ht="14.25" customFormat="1" customHeight="1" s="319">
      <c r="A36" s="378" t="n"/>
      <c r="B36" s="381" t="inlineStr">
        <is>
          <t>Основные материалы</t>
        </is>
      </c>
      <c r="C36" s="471" t="n"/>
      <c r="D36" s="471" t="n"/>
      <c r="E36" s="471" t="n"/>
      <c r="F36" s="471" t="n"/>
      <c r="G36" s="471" t="n"/>
      <c r="H36" s="472" t="n"/>
      <c r="I36" s="205" t="n"/>
      <c r="J36" s="205" t="n"/>
    </row>
    <row r="37" ht="14.25" customFormat="1" customHeight="1" s="319">
      <c r="A37" s="377" t="n">
        <v>9</v>
      </c>
      <c r="B37" s="282" t="inlineStr">
        <is>
          <t>21.1.08.03-0581</t>
        </is>
      </c>
      <c r="C37" s="281" t="inlineStr">
        <is>
          <t>Кабель контрольный КВВГЭнг(A)-LS 7х1,5</t>
        </is>
      </c>
      <c r="D37" s="282" t="inlineStr">
        <is>
          <t>1000 м</t>
        </is>
      </c>
      <c r="E37" s="470">
        <f>G37/F37</f>
        <v/>
      </c>
      <c r="F37" s="283" t="n">
        <v>37014.5</v>
      </c>
      <c r="G37" s="197">
        <f>G38+G39</f>
        <v/>
      </c>
      <c r="H37" s="199">
        <f>G37/$G$66</f>
        <v/>
      </c>
      <c r="I37" s="197">
        <f>ROUND(F37*Прил.10!$D$13,2)</f>
        <v/>
      </c>
      <c r="J37" s="197">
        <f>ROUND(I37*E37,2)</f>
        <v/>
      </c>
    </row>
    <row r="38" hidden="1" outlineLevel="1" ht="14.25" customFormat="1" customHeight="1" s="319">
      <c r="A38" s="377" t="n"/>
      <c r="B38" s="282" t="inlineStr">
        <is>
          <t>21.1.08.03-0581</t>
        </is>
      </c>
      <c r="C38" s="281" t="inlineStr">
        <is>
          <t>Кабель контрольный КВВГЭнг(A)-LS 7х1,5</t>
        </is>
      </c>
      <c r="D38" s="282" t="inlineStr">
        <is>
          <t>1000 м</t>
        </is>
      </c>
      <c r="E38" s="470" t="n">
        <v>1.02</v>
      </c>
      <c r="F38" s="283" t="n">
        <v>37014.5</v>
      </c>
      <c r="G38" s="197">
        <f>ROUND(E38*F38,2)</f>
        <v/>
      </c>
      <c r="H38" s="199">
        <f>G38/$G$66</f>
        <v/>
      </c>
      <c r="I38" s="197">
        <f>ROUND(F38*Прил.10!$D$13,2)</f>
        <v/>
      </c>
      <c r="J38" s="197">
        <f>ROUND(I38*E38,2)</f>
        <v/>
      </c>
    </row>
    <row r="39" hidden="1" outlineLevel="1" ht="14.25" customFormat="1" customHeight="1" s="319">
      <c r="A39" s="377" t="n"/>
      <c r="B39" s="282" t="inlineStr">
        <is>
          <t>21.1.08.03-0574</t>
        </is>
      </c>
      <c r="C39" s="281" t="inlineStr">
        <is>
          <t>Кабель контрольный КВВГЭнг(А)-LS 4x2,5</t>
        </is>
      </c>
      <c r="D39" s="282" t="inlineStr">
        <is>
          <t>1000 м</t>
        </is>
      </c>
      <c r="E39" s="470" t="n">
        <v>0.102</v>
      </c>
      <c r="F39" s="283" t="n">
        <v>32828.82</v>
      </c>
      <c r="G39" s="197">
        <f>ROUND(E39*F39,2)</f>
        <v/>
      </c>
      <c r="H39" s="199">
        <f>G39/$G$66</f>
        <v/>
      </c>
      <c r="I39" s="197">
        <f>ROUND(F39*Прил.10!$D$13,2)</f>
        <v/>
      </c>
      <c r="J39" s="197">
        <f>ROUND(I39*E39,2)</f>
        <v/>
      </c>
    </row>
    <row r="40" collapsed="1" ht="14.25" customFormat="1" customHeight="1" s="319">
      <c r="A40" s="377" t="n"/>
      <c r="B40" s="206" t="n"/>
      <c r="C40" s="207" t="inlineStr">
        <is>
          <t>Итого основные материалы</t>
        </is>
      </c>
      <c r="D40" s="379" t="n"/>
      <c r="E40" s="473" t="n"/>
      <c r="F40" s="210" t="n"/>
      <c r="G40" s="210">
        <f>SUM(G37:G37)</f>
        <v/>
      </c>
      <c r="H40" s="199">
        <f>G40/$G$66</f>
        <v/>
      </c>
      <c r="I40" s="197" t="n"/>
      <c r="J40" s="210">
        <f>SUM(J37:J37)</f>
        <v/>
      </c>
    </row>
    <row r="41" hidden="1" outlineLevel="1" ht="43.15" customFormat="1" customHeight="1" s="319">
      <c r="A41" s="377" t="n">
        <v>10</v>
      </c>
      <c r="B41" s="282" t="inlineStr">
        <is>
          <t>21.1.01.01-0001</t>
        </is>
      </c>
      <c r="C41" s="281" t="inlineStr">
        <is>
          <t>Кабель волоконно-оптический самонесущий биэлектрический ДСт-49-6z-6/32</t>
        </is>
      </c>
      <c r="D41" s="282" t="inlineStr">
        <is>
          <t>1000 м</t>
        </is>
      </c>
      <c r="E41" s="470" t="n">
        <v>0.1</v>
      </c>
      <c r="F41" s="283" t="n">
        <v>45920.9</v>
      </c>
      <c r="G41" s="197">
        <f>ROUND(E41*F41,2)</f>
        <v/>
      </c>
      <c r="H41" s="199">
        <f>G41/$G$66</f>
        <v/>
      </c>
      <c r="I41" s="197">
        <f>ROUND(F41*Прил.10!$D$13,2)</f>
        <v/>
      </c>
      <c r="J41" s="197">
        <f>ROUND(I41*E41,2)</f>
        <v/>
      </c>
    </row>
    <row r="42" hidden="1" outlineLevel="1" ht="38.25" customFormat="1" customHeight="1" s="319">
      <c r="A42" s="377" t="n">
        <v>11</v>
      </c>
      <c r="B42" s="282" t="inlineStr">
        <is>
          <t>24.3.01.02-0002</t>
        </is>
      </c>
      <c r="C42" s="281" t="inlineStr">
        <is>
          <t>Трубы гибкие гофрированные из самозатухающего ПВХ легкие с протяжкой, диаметр 25 мм</t>
        </is>
      </c>
      <c r="D42" s="282" t="inlineStr">
        <is>
          <t>м</t>
        </is>
      </c>
      <c r="E42" s="470" t="n">
        <v>103</v>
      </c>
      <c r="F42" s="283" t="n">
        <v>3.43</v>
      </c>
      <c r="G42" s="197">
        <f>ROUND(E42*F42,2)</f>
        <v/>
      </c>
      <c r="H42" s="199">
        <f>G42/$G$66</f>
        <v/>
      </c>
      <c r="I42" s="197">
        <f>ROUND(F42*Прил.10!$D$13,2)</f>
        <v/>
      </c>
      <c r="J42" s="197">
        <f>ROUND(I42*E42,2)</f>
        <v/>
      </c>
    </row>
    <row r="43" hidden="1" outlineLevel="1" ht="25.5" customFormat="1" customHeight="1" s="319">
      <c r="A43" s="377" t="n">
        <v>12</v>
      </c>
      <c r="B43" s="282" t="inlineStr">
        <is>
          <t>07.2.07.04-0007</t>
        </is>
      </c>
      <c r="C43" s="281" t="inlineStr">
        <is>
          <t>Конструкции стальные индивидуальные решетчатые сварные, масса до 0,1 т</t>
        </is>
      </c>
      <c r="D43" s="282" t="inlineStr">
        <is>
          <t>т</t>
        </is>
      </c>
      <c r="E43" s="470" t="n">
        <v>0.03</v>
      </c>
      <c r="F43" s="283" t="n">
        <v>11500</v>
      </c>
      <c r="G43" s="197">
        <f>ROUND(E43*F43,2)</f>
        <v/>
      </c>
      <c r="H43" s="199">
        <f>G43/$G$66</f>
        <v/>
      </c>
      <c r="I43" s="197">
        <f>ROUND(F43*Прил.10!$D$13,2)</f>
        <v/>
      </c>
      <c r="J43" s="197">
        <f>ROUND(I43*E43,2)</f>
        <v/>
      </c>
    </row>
    <row r="44" hidden="1" outlineLevel="1" ht="25.5" customFormat="1" customHeight="1" s="319">
      <c r="A44" s="377" t="n">
        <v>13</v>
      </c>
      <c r="B44" s="282" t="inlineStr">
        <is>
          <t>10.3.02.03-0011</t>
        </is>
      </c>
      <c r="C44" s="281" t="inlineStr">
        <is>
          <t>Припои оловянно-свинцовые бессурьмянистые, марка ПОС30</t>
        </is>
      </c>
      <c r="D44" s="282" t="inlineStr">
        <is>
          <t>т</t>
        </is>
      </c>
      <c r="E44" s="470" t="n">
        <v>0.00406</v>
      </c>
      <c r="F44" s="283" t="n">
        <v>68027.09</v>
      </c>
      <c r="G44" s="197">
        <f>ROUND(E44*F44,2)</f>
        <v/>
      </c>
      <c r="H44" s="199">
        <f>G44/$G$66</f>
        <v/>
      </c>
      <c r="I44" s="197">
        <f>ROUND(F44*Прил.10!$D$13,2)</f>
        <v/>
      </c>
      <c r="J44" s="197">
        <f>ROUND(I44*E44,2)</f>
        <v/>
      </c>
    </row>
    <row r="45" hidden="1" outlineLevel="1" ht="14.25" customFormat="1" customHeight="1" s="319">
      <c r="A45" s="377" t="n">
        <v>14</v>
      </c>
      <c r="B45" s="282" t="inlineStr">
        <is>
          <t>14.4.03.03-0002</t>
        </is>
      </c>
      <c r="C45" s="281" t="inlineStr">
        <is>
          <t>Лак битумный БТ-123</t>
        </is>
      </c>
      <c r="D45" s="282" t="inlineStr">
        <is>
          <t>т</t>
        </is>
      </c>
      <c r="E45" s="470" t="n">
        <v>0.00792</v>
      </c>
      <c r="F45" s="283" t="n">
        <v>7833.33</v>
      </c>
      <c r="G45" s="197">
        <f>ROUND(E45*F45,2)</f>
        <v/>
      </c>
      <c r="H45" s="199">
        <f>G45/$G$66</f>
        <v/>
      </c>
      <c r="I45" s="197">
        <f>ROUND(F45*Прил.10!$D$13,2)</f>
        <v/>
      </c>
      <c r="J45" s="197">
        <f>ROUND(I45*E45,2)</f>
        <v/>
      </c>
    </row>
    <row r="46" hidden="1" outlineLevel="1" ht="14.25" customFormat="1" customHeight="1" s="319">
      <c r="A46" s="377" t="n">
        <v>15</v>
      </c>
      <c r="B46" s="282" t="inlineStr">
        <is>
          <t>20.1.02.06-0001</t>
        </is>
      </c>
      <c r="C46" s="281" t="inlineStr">
        <is>
          <t>Жир паяльный</t>
        </is>
      </c>
      <c r="D46" s="282" t="inlineStr">
        <is>
          <t>кг</t>
        </is>
      </c>
      <c r="E46" s="470" t="n">
        <v>0.48</v>
      </c>
      <c r="F46" s="283" t="n">
        <v>101</v>
      </c>
      <c r="G46" s="197">
        <f>ROUND(E46*F46,2)</f>
        <v/>
      </c>
      <c r="H46" s="199">
        <f>G46/$G$66</f>
        <v/>
      </c>
      <c r="I46" s="197">
        <f>ROUND(F46*Прил.10!$D$13,2)</f>
        <v/>
      </c>
      <c r="J46" s="197">
        <f>ROUND(I46*E46,2)</f>
        <v/>
      </c>
    </row>
    <row r="47" hidden="1" outlineLevel="1" ht="14.25" customFormat="1" customHeight="1" s="319">
      <c r="A47" s="377" t="n">
        <v>16</v>
      </c>
      <c r="B47" s="282" t="inlineStr">
        <is>
          <t>25.2.01.01-0017</t>
        </is>
      </c>
      <c r="C47" s="281" t="inlineStr">
        <is>
          <t>Бирки маркировочные пластмассовые</t>
        </is>
      </c>
      <c r="D47" s="282" t="inlineStr">
        <is>
          <t>100 шт</t>
        </is>
      </c>
      <c r="E47" s="470" t="n">
        <v>1.08</v>
      </c>
      <c r="F47" s="283" t="n">
        <v>30.74</v>
      </c>
      <c r="G47" s="197">
        <f>ROUND(E47*F47,2)</f>
        <v/>
      </c>
      <c r="H47" s="199">
        <f>G47/$G$66</f>
        <v/>
      </c>
      <c r="I47" s="197">
        <f>ROUND(F47*Прил.10!$D$13,2)</f>
        <v/>
      </c>
      <c r="J47" s="197">
        <f>ROUND(I47*E47,2)</f>
        <v/>
      </c>
    </row>
    <row r="48" hidden="1" outlineLevel="1" ht="25.5" customFormat="1" customHeight="1" s="319">
      <c r="A48" s="377" t="n">
        <v>17</v>
      </c>
      <c r="B48" s="282" t="inlineStr">
        <is>
          <t>999-9950</t>
        </is>
      </c>
      <c r="C48" s="281" t="inlineStr">
        <is>
          <t>Вспомогательные ненормируемые материальные ресурсы</t>
        </is>
      </c>
      <c r="D48" s="282" t="inlineStr">
        <is>
          <t>руб</t>
        </is>
      </c>
      <c r="E48" s="470" t="n">
        <v>27.221368</v>
      </c>
      <c r="F48" s="283" t="n">
        <v>1</v>
      </c>
      <c r="G48" s="197">
        <f>ROUND(E48*F48,2)</f>
        <v/>
      </c>
      <c r="H48" s="199">
        <f>G48/$G$66</f>
        <v/>
      </c>
      <c r="I48" s="197">
        <f>ROUND(F48*Прил.10!$D$13,2)</f>
        <v/>
      </c>
      <c r="J48" s="197">
        <f>ROUND(I48*E48,2)</f>
        <v/>
      </c>
    </row>
    <row r="49" hidden="1" outlineLevel="1" ht="14.25" customFormat="1" customHeight="1" s="319">
      <c r="A49" s="377" t="n">
        <v>18</v>
      </c>
      <c r="B49" s="282" t="inlineStr">
        <is>
          <t>01.7.06.07-0002</t>
        </is>
      </c>
      <c r="C49" s="281" t="inlineStr">
        <is>
          <t>Лента монтажная, тип ЛМ-5</t>
        </is>
      </c>
      <c r="D49" s="282" t="inlineStr">
        <is>
          <t>10 м</t>
        </is>
      </c>
      <c r="E49" s="470" t="n">
        <v>2.695</v>
      </c>
      <c r="F49" s="283" t="n">
        <v>6.9</v>
      </c>
      <c r="G49" s="197">
        <f>ROUND(E49*F49,2)</f>
        <v/>
      </c>
      <c r="H49" s="199">
        <f>G49/$G$66</f>
        <v/>
      </c>
      <c r="I49" s="197">
        <f>ROUND(F49*Прил.10!$D$13,2)</f>
        <v/>
      </c>
      <c r="J49" s="197">
        <f>ROUND(I49*E49,2)</f>
        <v/>
      </c>
    </row>
    <row r="50" hidden="1" outlineLevel="1" ht="38.25" customFormat="1" customHeight="1" s="319">
      <c r="A50" s="377" t="n">
        <v>19</v>
      </c>
      <c r="B50" s="282" t="inlineStr">
        <is>
          <t>01.7.06.05-0041</t>
        </is>
      </c>
      <c r="C50" s="281" t="inlineStr">
        <is>
          <t>Лента изоляционная прорезиненная односторонняя, ширина 20 мм, толщина 0,25-0,35 мм</t>
        </is>
      </c>
      <c r="D50" s="282" t="inlineStr">
        <is>
          <t>кг</t>
        </is>
      </c>
      <c r="E50" s="470" t="n">
        <v>0.5600000000000001</v>
      </c>
      <c r="F50" s="283" t="n">
        <v>30.23</v>
      </c>
      <c r="G50" s="197">
        <f>ROUND(E50*F50,2)</f>
        <v/>
      </c>
      <c r="H50" s="199">
        <f>G50/$G$66</f>
        <v/>
      </c>
      <c r="I50" s="197">
        <f>ROUND(F50*Прил.10!$D$13,2)</f>
        <v/>
      </c>
      <c r="J50" s="197">
        <f>ROUND(I50*E50,2)</f>
        <v/>
      </c>
    </row>
    <row r="51" hidden="1" outlineLevel="1" ht="14.25" customFormat="1" customHeight="1" s="319">
      <c r="A51" s="377" t="n">
        <v>20</v>
      </c>
      <c r="B51" s="282" t="inlineStr">
        <is>
          <t>01.7.15.14-0165</t>
        </is>
      </c>
      <c r="C51" s="281" t="inlineStr">
        <is>
          <t>Шурупы с полукруглой головкой 4x40 мм</t>
        </is>
      </c>
      <c r="D51" s="282" t="inlineStr">
        <is>
          <t>т</t>
        </is>
      </c>
      <c r="E51" s="470" t="n">
        <v>0.00121</v>
      </c>
      <c r="F51" s="283" t="n">
        <v>12454.55</v>
      </c>
      <c r="G51" s="197">
        <f>ROUND(E51*F51,2)</f>
        <v/>
      </c>
      <c r="H51" s="199">
        <f>G51/$G$66</f>
        <v/>
      </c>
      <c r="I51" s="197">
        <f>ROUND(F51*Прил.10!$D$13,2)</f>
        <v/>
      </c>
      <c r="J51" s="197">
        <f>ROUND(I51*E51,2)</f>
        <v/>
      </c>
    </row>
    <row r="52" hidden="1" outlineLevel="1" ht="14.25" customFormat="1" customHeight="1" s="319">
      <c r="A52" s="377" t="n">
        <v>21</v>
      </c>
      <c r="B52" s="282" t="inlineStr">
        <is>
          <t>01.7.15.07-0152</t>
        </is>
      </c>
      <c r="C52" s="281" t="inlineStr">
        <is>
          <t>Дюбели с шурупом, размер 6x35 мм</t>
        </is>
      </c>
      <c r="D52" s="282" t="inlineStr">
        <is>
          <t>100 шт</t>
        </is>
      </c>
      <c r="E52" s="470" t="n">
        <v>1.75</v>
      </c>
      <c r="F52" s="283" t="n">
        <v>8</v>
      </c>
      <c r="G52" s="197">
        <f>ROUND(E52*F52,2)</f>
        <v/>
      </c>
      <c r="H52" s="199">
        <f>G52/$G$66</f>
        <v/>
      </c>
      <c r="I52" s="197">
        <f>ROUND(F52*Прил.10!$D$13,2)</f>
        <v/>
      </c>
      <c r="J52" s="197">
        <f>ROUND(I52*E52,2)</f>
        <v/>
      </c>
    </row>
    <row r="53" hidden="1" outlineLevel="1" ht="25.5" customFormat="1" customHeight="1" s="319">
      <c r="A53" s="377" t="n">
        <v>22</v>
      </c>
      <c r="B53" s="282" t="inlineStr">
        <is>
          <t>10.3.02.03-0013</t>
        </is>
      </c>
      <c r="C53" s="281" t="inlineStr">
        <is>
          <t>Припои оловянно-свинцовые бессурьмянистые, марка ПОС61</t>
        </is>
      </c>
      <c r="D53" s="282" t="inlineStr">
        <is>
          <t>т</t>
        </is>
      </c>
      <c r="E53" s="470" t="n">
        <v>8.64e-05</v>
      </c>
      <c r="F53" s="283" t="n">
        <v>114236.11</v>
      </c>
      <c r="G53" s="197">
        <f>ROUND(E53*F53,2)</f>
        <v/>
      </c>
      <c r="H53" s="199">
        <f>G53/$G$66</f>
        <v/>
      </c>
      <c r="I53" s="197">
        <f>ROUND(F53*Прил.10!$D$13,2)</f>
        <v/>
      </c>
      <c r="J53" s="197">
        <f>ROUND(I53*E53,2)</f>
        <v/>
      </c>
    </row>
    <row r="54" hidden="1" outlineLevel="1" ht="14.25" customFormat="1" customHeight="1" s="319">
      <c r="A54" s="377" t="n">
        <v>23</v>
      </c>
      <c r="B54" s="282" t="inlineStr">
        <is>
          <t>20.2.01.05-0005</t>
        </is>
      </c>
      <c r="C54" s="281" t="inlineStr">
        <is>
          <t>Гильзы кабельные медные ГМ 16</t>
        </is>
      </c>
      <c r="D54" s="282" t="inlineStr">
        <is>
          <t>100 шт</t>
        </is>
      </c>
      <c r="E54" s="470" t="n">
        <v>0.05</v>
      </c>
      <c r="F54" s="283" t="n">
        <v>143</v>
      </c>
      <c r="G54" s="197">
        <f>ROUND(E54*F54,2)</f>
        <v/>
      </c>
      <c r="H54" s="199">
        <f>G54/$G$66</f>
        <v/>
      </c>
      <c r="I54" s="197">
        <f>ROUND(F54*Прил.10!$D$13,2)</f>
        <v/>
      </c>
      <c r="J54" s="197">
        <f>ROUND(I54*E54,2)</f>
        <v/>
      </c>
    </row>
    <row r="55" hidden="1" outlineLevel="1" ht="25.5" customFormat="1" customHeight="1" s="319">
      <c r="A55" s="377" t="n">
        <v>24</v>
      </c>
      <c r="B55" s="282" t="inlineStr">
        <is>
          <t>01.7.11.07-0034</t>
        </is>
      </c>
      <c r="C55" s="281" t="inlineStr">
        <is>
          <t>Электроды сварочные Э42А, диаметр 4 мм</t>
        </is>
      </c>
      <c r="D55" s="282" t="inlineStr">
        <is>
          <t>кг</t>
        </is>
      </c>
      <c r="E55" s="470" t="n">
        <v>0.3</v>
      </c>
      <c r="F55" s="283" t="n">
        <v>10.57</v>
      </c>
      <c r="G55" s="197">
        <f>ROUND(E55*F55,2)</f>
        <v/>
      </c>
      <c r="H55" s="199">
        <f>G55/$G$66</f>
        <v/>
      </c>
      <c r="I55" s="197">
        <f>ROUND(F55*Прил.10!$D$13,2)</f>
        <v/>
      </c>
      <c r="J55" s="197">
        <f>ROUND(I55*E55,2)</f>
        <v/>
      </c>
    </row>
    <row r="56" hidden="1" outlineLevel="1" ht="14.25" customFormat="1" customHeight="1" s="319">
      <c r="A56" s="377" t="n">
        <v>25</v>
      </c>
      <c r="B56" s="282" t="inlineStr">
        <is>
          <t>20.2.02.01-0013</t>
        </is>
      </c>
      <c r="C56" s="281" t="inlineStr">
        <is>
          <t>Втулки, диаметр 28 мм</t>
        </is>
      </c>
      <c r="D56" s="282" t="inlineStr">
        <is>
          <t>1000 шт</t>
        </is>
      </c>
      <c r="E56" s="470" t="n">
        <v>0.0122</v>
      </c>
      <c r="F56" s="283" t="n">
        <v>176.23</v>
      </c>
      <c r="G56" s="197">
        <f>ROUND(E56*F56,2)</f>
        <v/>
      </c>
      <c r="H56" s="199">
        <f>G56/$G$66</f>
        <v/>
      </c>
      <c r="I56" s="197">
        <f>ROUND(F56*Прил.10!$D$13,2)</f>
        <v/>
      </c>
      <c r="J56" s="197">
        <f>ROUND(I56*E56,2)</f>
        <v/>
      </c>
    </row>
    <row r="57" hidden="1" outlineLevel="1" ht="14.25" customFormat="1" customHeight="1" s="319">
      <c r="A57" s="377" t="n">
        <v>26</v>
      </c>
      <c r="B57" s="282" t="inlineStr">
        <is>
          <t>14.4.02.09-0001</t>
        </is>
      </c>
      <c r="C57" s="281" t="inlineStr">
        <is>
          <t>Краска</t>
        </is>
      </c>
      <c r="D57" s="282" t="inlineStr">
        <is>
          <t>кг</t>
        </is>
      </c>
      <c r="E57" s="470" t="n">
        <v>0.07000000000000001</v>
      </c>
      <c r="F57" s="283" t="n">
        <v>28.57</v>
      </c>
      <c r="G57" s="197">
        <f>ROUND(E57*F57,2)</f>
        <v/>
      </c>
      <c r="H57" s="199">
        <f>G57/$G$66</f>
        <v/>
      </c>
      <c r="I57" s="197">
        <f>ROUND(F57*Прил.10!$D$13,2)</f>
        <v/>
      </c>
      <c r="J57" s="197">
        <f>ROUND(I57*E57,2)</f>
        <v/>
      </c>
    </row>
    <row r="58" hidden="1" outlineLevel="1" ht="14.25" customFormat="1" customHeight="1" s="319">
      <c r="A58" s="377" t="n">
        <v>27</v>
      </c>
      <c r="B58" s="282" t="inlineStr">
        <is>
          <t>01.3.01.05-0009</t>
        </is>
      </c>
      <c r="C58" s="281" t="inlineStr">
        <is>
          <t>Парафин нефтяной твердый Т-1</t>
        </is>
      </c>
      <c r="D58" s="282" t="inlineStr">
        <is>
          <t>т</t>
        </is>
      </c>
      <c r="E58" s="470" t="n">
        <v>0.00024</v>
      </c>
      <c r="F58" s="283" t="n">
        <v>8000</v>
      </c>
      <c r="G58" s="197">
        <f>ROUND(E58*F58,2)</f>
        <v/>
      </c>
      <c r="H58" s="199">
        <f>G58/$G$66</f>
        <v/>
      </c>
      <c r="I58" s="197">
        <f>ROUND(F58*Прил.10!$D$13,2)</f>
        <v/>
      </c>
      <c r="J58" s="197">
        <f>ROUND(I58*E58,2)</f>
        <v/>
      </c>
    </row>
    <row r="59" hidden="1" outlineLevel="1" ht="14.25" customFormat="1" customHeight="1" s="319">
      <c r="A59" s="377" t="n">
        <v>28</v>
      </c>
      <c r="B59" s="282" t="inlineStr">
        <is>
          <t>01.7.07.20-0002</t>
        </is>
      </c>
      <c r="C59" s="281" t="inlineStr">
        <is>
          <t>Тальк молотый, сорт I</t>
        </is>
      </c>
      <c r="D59" s="282" t="inlineStr">
        <is>
          <t>т</t>
        </is>
      </c>
      <c r="E59" s="470" t="n">
        <v>0.00105</v>
      </c>
      <c r="F59" s="283" t="n">
        <v>1819.05</v>
      </c>
      <c r="G59" s="197">
        <f>ROUND(E59*F59,2)</f>
        <v/>
      </c>
      <c r="H59" s="199">
        <f>G59/$G$66</f>
        <v/>
      </c>
      <c r="I59" s="197">
        <f>ROUND(F59*Прил.10!$D$13,2)</f>
        <v/>
      </c>
      <c r="J59" s="197">
        <f>ROUND(I59*E59,2)</f>
        <v/>
      </c>
    </row>
    <row r="60" hidden="1" outlineLevel="1" ht="14.25" customFormat="1" customHeight="1" s="319">
      <c r="A60" s="377" t="n">
        <v>29</v>
      </c>
      <c r="B60" s="282" t="inlineStr">
        <is>
          <t>24.3.01.01-0002</t>
        </is>
      </c>
      <c r="C60" s="281" t="inlineStr">
        <is>
          <t>Трубка полихлорвиниловая</t>
        </is>
      </c>
      <c r="D60" s="282" t="inlineStr">
        <is>
          <t>кг</t>
        </is>
      </c>
      <c r="E60" s="470" t="n">
        <v>0.0432</v>
      </c>
      <c r="F60" s="283" t="n">
        <v>35.65</v>
      </c>
      <c r="G60" s="197">
        <f>ROUND(E60*F60,2)</f>
        <v/>
      </c>
      <c r="H60" s="199">
        <f>G60/$G$66</f>
        <v/>
      </c>
      <c r="I60" s="197">
        <f>ROUND(F60*Прил.10!$D$13,2)</f>
        <v/>
      </c>
      <c r="J60" s="197">
        <f>ROUND(I60*E60,2)</f>
        <v/>
      </c>
    </row>
    <row r="61" hidden="1" outlineLevel="1" ht="25.5" customFormat="1" customHeight="1" s="319">
      <c r="A61" s="377" t="n">
        <v>30</v>
      </c>
      <c r="B61" s="282" t="inlineStr">
        <is>
          <t>01.3.01.07-0009</t>
        </is>
      </c>
      <c r="C61" s="281" t="inlineStr">
        <is>
          <t>Спирт этиловый ректификованный технический, сорт I</t>
        </is>
      </c>
      <c r="D61" s="282" t="inlineStr">
        <is>
          <t>кг</t>
        </is>
      </c>
      <c r="E61" s="470" t="n">
        <v>0.03132</v>
      </c>
      <c r="F61" s="283" t="n">
        <v>38.95</v>
      </c>
      <c r="G61" s="197">
        <f>ROUND(E61*F61,2)</f>
        <v/>
      </c>
      <c r="H61" s="199">
        <f>G61/$G$66</f>
        <v/>
      </c>
      <c r="I61" s="197">
        <f>ROUND(F61*Прил.10!$D$13,2)</f>
        <v/>
      </c>
      <c r="J61" s="197">
        <f>ROUND(I61*E61,2)</f>
        <v/>
      </c>
    </row>
    <row r="62" hidden="1" outlineLevel="1" ht="14.25" customFormat="1" customHeight="1" s="319">
      <c r="A62" s="377" t="n">
        <v>31</v>
      </c>
      <c r="B62" s="282" t="inlineStr">
        <is>
          <t>01.3.05.17-0002</t>
        </is>
      </c>
      <c r="C62" s="281" t="inlineStr">
        <is>
          <t>Канифоль сосновая</t>
        </is>
      </c>
      <c r="D62" s="282" t="inlineStr">
        <is>
          <t>кг</t>
        </is>
      </c>
      <c r="E62" s="470" t="n">
        <v>0.02052</v>
      </c>
      <c r="F62" s="283" t="n">
        <v>27.78</v>
      </c>
      <c r="G62" s="197">
        <f>ROUND(E62*F62,2)</f>
        <v/>
      </c>
      <c r="H62" s="199">
        <f>G62/$G$66</f>
        <v/>
      </c>
      <c r="I62" s="197">
        <f>ROUND(F62*Прил.10!$D$13,2)</f>
        <v/>
      </c>
      <c r="J62" s="197">
        <f>ROUND(I62*E62,2)</f>
        <v/>
      </c>
    </row>
    <row r="63" hidden="1" outlineLevel="1" ht="14.25" customFormat="1" customHeight="1" s="319">
      <c r="A63" s="377" t="n">
        <v>32</v>
      </c>
      <c r="B63" s="282" t="inlineStr">
        <is>
          <t>01.7.15.03-0042</t>
        </is>
      </c>
      <c r="C63" s="281" t="inlineStr">
        <is>
          <t>Болты с гайками и шайбами строительные</t>
        </is>
      </c>
      <c r="D63" s="282" t="inlineStr">
        <is>
          <t>кг</t>
        </is>
      </c>
      <c r="E63" s="470" t="n">
        <v>0.06</v>
      </c>
      <c r="F63" s="283" t="n">
        <v>9</v>
      </c>
      <c r="G63" s="197">
        <f>ROUND(E63*F63,2)</f>
        <v/>
      </c>
      <c r="H63" s="199">
        <f>G63/$G$66</f>
        <v/>
      </c>
      <c r="I63" s="197">
        <f>ROUND(F63*Прил.10!$D$13,2)</f>
        <v/>
      </c>
      <c r="J63" s="197">
        <f>ROUND(I63*E63,2)</f>
        <v/>
      </c>
    </row>
    <row r="64" hidden="1" outlineLevel="1" ht="14.25" customFormat="1" customHeight="1" s="319">
      <c r="A64" s="377" t="n">
        <v>33</v>
      </c>
      <c r="B64" s="282" t="inlineStr">
        <is>
          <t>01.3.05.11-0001</t>
        </is>
      </c>
      <c r="C64" s="281" t="inlineStr">
        <is>
          <t>Дихлорэтан технический, сорт I</t>
        </is>
      </c>
      <c r="D64" s="282" t="inlineStr">
        <is>
          <t>т</t>
        </is>
      </c>
      <c r="E64" s="470" t="n">
        <v>2.16e-05</v>
      </c>
      <c r="F64" s="283" t="n">
        <v>5092.59</v>
      </c>
      <c r="G64" s="197">
        <f>ROUND(E64*F64,2)</f>
        <v/>
      </c>
      <c r="H64" s="199">
        <f>G64/$G$66</f>
        <v/>
      </c>
      <c r="I64" s="197">
        <f>ROUND(F64*Прил.10!$D$13,2)</f>
        <v/>
      </c>
      <c r="J64" s="197">
        <f>ROUND(I64*E64,2)</f>
        <v/>
      </c>
    </row>
    <row r="65" collapsed="1" ht="14.25" customFormat="1" customHeight="1" s="319">
      <c r="A65" s="377" t="n"/>
      <c r="B65" s="377" t="n"/>
      <c r="C65" s="385" t="inlineStr">
        <is>
          <t>Итого прочие материалы</t>
        </is>
      </c>
      <c r="D65" s="377" t="n"/>
      <c r="E65" s="469" t="n"/>
      <c r="F65" s="387" t="n"/>
      <c r="G65" s="197">
        <f>SUM(G41:G64)</f>
        <v/>
      </c>
      <c r="H65" s="199">
        <f>G65/$G$66</f>
        <v/>
      </c>
      <c r="I65" s="197" t="n"/>
      <c r="J65" s="197">
        <f>SUM(J41:J64)</f>
        <v/>
      </c>
    </row>
    <row r="66" ht="14.25" customFormat="1" customHeight="1" s="319">
      <c r="A66" s="377" t="n"/>
      <c r="B66" s="377" t="n"/>
      <c r="C66" s="363" t="inlineStr">
        <is>
          <t>Итого по разделу «Материалы»</t>
        </is>
      </c>
      <c r="D66" s="377" t="n"/>
      <c r="E66" s="386" t="n"/>
      <c r="F66" s="387" t="n"/>
      <c r="G66" s="197">
        <f>G40+G65</f>
        <v/>
      </c>
      <c r="H66" s="388">
        <f>G66/$G$66</f>
        <v/>
      </c>
      <c r="I66" s="197" t="n"/>
      <c r="J66" s="197">
        <f>J40+J65</f>
        <v/>
      </c>
    </row>
    <row r="67" ht="14.25" customFormat="1" customHeight="1" s="319">
      <c r="A67" s="377" t="n"/>
      <c r="B67" s="377" t="n"/>
      <c r="C67" s="385" t="inlineStr">
        <is>
          <t>ИТОГО ПО РМ</t>
        </is>
      </c>
      <c r="D67" s="377" t="n"/>
      <c r="E67" s="386" t="n"/>
      <c r="F67" s="387" t="n"/>
      <c r="G67" s="197">
        <f>G15+G27+G66</f>
        <v/>
      </c>
      <c r="H67" s="388" t="n"/>
      <c r="I67" s="197" t="n"/>
      <c r="J67" s="197">
        <f>J15+J27+J66</f>
        <v/>
      </c>
    </row>
    <row r="68" ht="14.25" customFormat="1" customHeight="1" s="319">
      <c r="A68" s="377" t="n"/>
      <c r="B68" s="377" t="n"/>
      <c r="C68" s="385" t="inlineStr">
        <is>
          <t>Накладные расходы</t>
        </is>
      </c>
      <c r="D68" s="307">
        <f>ROUND(G68/(G$17+$G$15),2)</f>
        <v/>
      </c>
      <c r="E68" s="386" t="n"/>
      <c r="F68" s="387" t="n"/>
      <c r="G68" s="197" t="n">
        <v>1376.71</v>
      </c>
      <c r="H68" s="388" t="n"/>
      <c r="I68" s="197" t="n"/>
      <c r="J68" s="197">
        <f>ROUND(D68*(J15+J17),2)</f>
        <v/>
      </c>
    </row>
    <row r="69" ht="14.25" customFormat="1" customHeight="1" s="319">
      <c r="A69" s="377" t="n"/>
      <c r="B69" s="377" t="n"/>
      <c r="C69" s="385" t="inlineStr">
        <is>
          <t>Сметная прибыль</t>
        </is>
      </c>
      <c r="D69" s="307">
        <f>ROUND(G69/(G$15+G$17),2)</f>
        <v/>
      </c>
      <c r="E69" s="386" t="n"/>
      <c r="F69" s="387" t="n"/>
      <c r="G69" s="197" t="n">
        <v>722.54</v>
      </c>
      <c r="H69" s="388" t="n"/>
      <c r="I69" s="197" t="n"/>
      <c r="J69" s="197">
        <f>ROUND(D69*(J15+J17),2)</f>
        <v/>
      </c>
    </row>
    <row r="70" ht="14.25" customFormat="1" customHeight="1" s="319">
      <c r="A70" s="377" t="n"/>
      <c r="B70" s="377" t="n"/>
      <c r="C70" s="385" t="inlineStr">
        <is>
          <t>Итого СМР (с НР и СП)</t>
        </is>
      </c>
      <c r="D70" s="377" t="n"/>
      <c r="E70" s="386" t="n"/>
      <c r="F70" s="387" t="n"/>
      <c r="G70" s="197">
        <f>G15+G27+G66+G68+G69</f>
        <v/>
      </c>
      <c r="H70" s="388" t="n"/>
      <c r="I70" s="197" t="n"/>
      <c r="J70" s="197">
        <f>J15+J27+J66+J68+J69</f>
        <v/>
      </c>
    </row>
    <row r="71" ht="14.25" customFormat="1" customHeight="1" s="319">
      <c r="A71" s="377" t="n"/>
      <c r="B71" s="377" t="n"/>
      <c r="C71" s="385" t="inlineStr">
        <is>
          <t>ВСЕГО СМР + ОБОРУДОВАНИЕ</t>
        </is>
      </c>
      <c r="D71" s="377" t="n"/>
      <c r="E71" s="386" t="n"/>
      <c r="F71" s="387" t="n"/>
      <c r="G71" s="197">
        <f>G70+G33</f>
        <v/>
      </c>
      <c r="H71" s="388" t="n"/>
      <c r="I71" s="197" t="n"/>
      <c r="J71" s="197">
        <f>J70+J33</f>
        <v/>
      </c>
    </row>
    <row r="72" ht="34.5" customFormat="1" customHeight="1" s="319">
      <c r="A72" s="377" t="n"/>
      <c r="B72" s="377" t="n"/>
      <c r="C72" s="385" t="inlineStr">
        <is>
          <t>ИТОГО ПОКАЗАТЕЛЬ НА ЕД. ИЗМ.</t>
        </is>
      </c>
      <c r="D72" s="377" t="inlineStr">
        <is>
          <t>1 ед.</t>
        </is>
      </c>
      <c r="E72" s="474" t="n">
        <v>1</v>
      </c>
      <c r="F72" s="387" t="n"/>
      <c r="G72" s="197">
        <f>G71/E72</f>
        <v/>
      </c>
      <c r="H72" s="388" t="n"/>
      <c r="I72" s="197" t="n"/>
      <c r="J72" s="197">
        <f>J71/E72</f>
        <v/>
      </c>
    </row>
    <row r="74" ht="14.25" customFormat="1" customHeight="1" s="319">
      <c r="A74" s="320" t="inlineStr">
        <is>
          <t>Составил ______________________    А.Р. Маркова</t>
        </is>
      </c>
      <c r="B74" s="304" t="n"/>
      <c r="D74" s="308" t="n"/>
      <c r="E74" s="308" t="n"/>
      <c r="F74" s="308" t="n"/>
    </row>
    <row r="75" ht="14.25" customFormat="1" customHeight="1" s="319">
      <c r="A75" s="318" t="inlineStr">
        <is>
          <t xml:space="preserve">                         (подпись, инициалы, фамилия)</t>
        </is>
      </c>
      <c r="B75" s="304" t="n"/>
      <c r="D75" s="308" t="n"/>
      <c r="E75" s="308" t="n"/>
      <c r="F75" s="308" t="n"/>
    </row>
    <row r="76" ht="14.25" customFormat="1" customHeight="1" s="319">
      <c r="A76" s="320" t="n"/>
      <c r="B76" s="304" t="n"/>
      <c r="D76" s="308" t="n"/>
      <c r="E76" s="308" t="n"/>
      <c r="F76" s="308" t="n"/>
    </row>
    <row r="77" ht="14.25" customFormat="1" customHeight="1" s="319">
      <c r="A77" s="320" t="inlineStr">
        <is>
          <t>Проверил ______________________        А.В. Костянецкая</t>
        </is>
      </c>
      <c r="B77" s="304" t="n"/>
      <c r="D77" s="308" t="n"/>
      <c r="E77" s="308" t="n"/>
      <c r="F77" s="308" t="n"/>
    </row>
    <row r="78" ht="14.25" customFormat="1" customHeight="1" s="319">
      <c r="A78" s="318" t="inlineStr">
        <is>
          <t xml:space="preserve">                        (подпись, инициалы, фамилия)</t>
        </is>
      </c>
      <c r="B78" s="304" t="n"/>
      <c r="D78" s="308" t="n"/>
      <c r="E78" s="308" t="n"/>
      <c r="F78" s="308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93" t="inlineStr">
        <is>
          <t>Приложение №6</t>
        </is>
      </c>
    </row>
    <row r="2" ht="21.75" customHeight="1" s="321">
      <c r="A2" s="393" t="n"/>
      <c r="B2" s="393" t="n"/>
      <c r="C2" s="393" t="n"/>
      <c r="D2" s="393" t="n"/>
      <c r="E2" s="393" t="n"/>
      <c r="F2" s="393" t="n"/>
      <c r="G2" s="393" t="n"/>
    </row>
    <row r="3">
      <c r="A3" s="344" t="inlineStr">
        <is>
          <t>Расчет стоимости оборудования</t>
        </is>
      </c>
    </row>
    <row r="4" ht="25.5" customHeight="1" s="321">
      <c r="A4" s="347" t="inlineStr">
        <is>
          <t>Наименование разрабатываемого показателя УНЦ — ШЭТ ПДС-1-032/128-8 Шкаф для 1-го устройства приема, передачи или приемопередачи на 32 команды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1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5" t="n"/>
    </row>
    <row r="7">
      <c r="A7" s="457" t="n"/>
      <c r="B7" s="457" t="n"/>
      <c r="C7" s="457" t="n"/>
      <c r="D7" s="457" t="n"/>
      <c r="E7" s="45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1">
      <c r="A9" s="232" t="n"/>
      <c r="B9" s="385" t="inlineStr">
        <is>
          <t>ИНЖЕНЕРНОЕ ОБОРУДОВАНИЕ</t>
        </is>
      </c>
      <c r="C9" s="454" t="n"/>
      <c r="D9" s="454" t="n"/>
      <c r="E9" s="454" t="n"/>
      <c r="F9" s="454" t="n"/>
      <c r="G9" s="455" t="n"/>
    </row>
    <row r="10" ht="27" customHeight="1" s="321">
      <c r="A10" s="377" t="n"/>
      <c r="B10" s="363" t="n"/>
      <c r="C10" s="385" t="inlineStr">
        <is>
          <t>ИТОГО ИНЖЕНЕРНОЕ ОБОРУДОВАНИЕ</t>
        </is>
      </c>
      <c r="D10" s="363" t="n"/>
      <c r="E10" s="142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54" t="n"/>
      <c r="D11" s="454" t="n"/>
      <c r="E11" s="454" t="n"/>
      <c r="F11" s="454" t="n"/>
      <c r="G11" s="455" t="n"/>
    </row>
    <row r="12" ht="46.9" customHeight="1" s="321">
      <c r="A12" s="377" t="n">
        <v>1</v>
      </c>
      <c r="B12" s="275">
        <f>'Прил.5 Расчет СМР и ОБ'!B30</f>
        <v/>
      </c>
      <c r="C12" s="385">
        <f>'Прил.5 Расчет СМР и ОБ'!C30</f>
        <v/>
      </c>
      <c r="D12" s="377">
        <f>'Прил.5 Расчет СМР и ОБ'!D30</f>
        <v/>
      </c>
      <c r="E12" s="469">
        <f>'Прил.5 Расчет СМР и ОБ'!E30</f>
        <v/>
      </c>
      <c r="F12" s="397">
        <f>'Прил.5 Расчет СМР и ОБ'!F30</f>
        <v/>
      </c>
      <c r="G12" s="197">
        <f>ROUND(E12*F12,2)</f>
        <v/>
      </c>
    </row>
    <row r="13" ht="25.5" customHeight="1" s="321">
      <c r="A13" s="377" t="n"/>
      <c r="B13" s="385" t="n"/>
      <c r="C13" s="385" t="inlineStr">
        <is>
          <t>ИТОГО ТЕХНОЛОГИЧЕСКОЕ ОБОРУДОВАНИЕ</t>
        </is>
      </c>
      <c r="D13" s="385" t="n"/>
      <c r="E13" s="397" t="n"/>
      <c r="F13" s="387" t="n"/>
      <c r="G13" s="197">
        <f>SUM(G12:G12)</f>
        <v/>
      </c>
    </row>
    <row r="14" ht="19.5" customHeight="1" s="321">
      <c r="A14" s="377" t="n"/>
      <c r="B14" s="385" t="n"/>
      <c r="C14" s="385" t="inlineStr">
        <is>
          <t>Всего по разделу «Оборудование»</t>
        </is>
      </c>
      <c r="D14" s="385" t="n"/>
      <c r="E14" s="397" t="n"/>
      <c r="F14" s="387" t="n"/>
      <c r="G14" s="197">
        <f>G10+G13</f>
        <v/>
      </c>
    </row>
    <row r="15">
      <c r="A15" s="317" t="n"/>
      <c r="B15" s="145" t="n"/>
      <c r="C15" s="317" t="n"/>
      <c r="D15" s="317" t="n"/>
      <c r="E15" s="317" t="n"/>
      <c r="F15" s="317" t="n"/>
      <c r="G15" s="317" t="n"/>
    </row>
    <row r="16">
      <c r="A16" s="320" t="inlineStr">
        <is>
          <t>Составил ______________________    А.Р. Маркова</t>
        </is>
      </c>
      <c r="B16" s="319" t="n"/>
      <c r="C16" s="319" t="n"/>
      <c r="D16" s="317" t="n"/>
      <c r="E16" s="317" t="n"/>
      <c r="F16" s="317" t="n"/>
      <c r="G16" s="317" t="n"/>
    </row>
    <row r="17">
      <c r="A17" s="318" t="inlineStr">
        <is>
          <t xml:space="preserve">                         (подпись, инициалы, фамилия)</t>
        </is>
      </c>
      <c r="B17" s="319" t="n"/>
      <c r="C17" s="319" t="n"/>
      <c r="D17" s="317" t="n"/>
      <c r="E17" s="317" t="n"/>
      <c r="F17" s="317" t="n"/>
      <c r="G17" s="317" t="n"/>
    </row>
    <row r="18">
      <c r="A18" s="320" t="n"/>
      <c r="B18" s="319" t="n"/>
      <c r="C18" s="319" t="n"/>
      <c r="D18" s="317" t="n"/>
      <c r="E18" s="317" t="n"/>
      <c r="F18" s="317" t="n"/>
      <c r="G18" s="317" t="n"/>
    </row>
    <row r="19">
      <c r="A19" s="320" t="inlineStr">
        <is>
          <t>Проверил ______________________        А.В. Костянецкая</t>
        </is>
      </c>
      <c r="B19" s="319" t="n"/>
      <c r="C19" s="319" t="n"/>
      <c r="D19" s="317" t="n"/>
      <c r="E19" s="317" t="n"/>
      <c r="F19" s="317" t="n"/>
      <c r="G19" s="317" t="n"/>
    </row>
    <row r="20">
      <c r="A20" s="318" t="inlineStr">
        <is>
          <t xml:space="preserve">                        (подпись, инициалы, фамилия)</t>
        </is>
      </c>
      <c r="B20" s="319" t="n"/>
      <c r="C20" s="319" t="n"/>
      <c r="D20" s="317" t="n"/>
      <c r="E20" s="317" t="n"/>
      <c r="F20" s="317" t="n"/>
      <c r="G20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1" min="1" max="1"/>
    <col width="16.42578125" customWidth="1" style="321" min="2" max="2"/>
    <col width="37.140625" customWidth="1" style="321" min="3" max="3"/>
    <col width="49" customWidth="1" style="321" min="4" max="4"/>
    <col width="9.14062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12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48.75" customHeight="1" s="321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57" t="n"/>
      <c r="B9" s="457" t="n"/>
      <c r="C9" s="457" t="n"/>
      <c r="D9" s="457" t="n"/>
    </row>
    <row r="10" ht="15.75" customHeight="1" s="321">
      <c r="A10" s="357" t="n">
        <v>1</v>
      </c>
      <c r="B10" s="357" t="n">
        <v>2</v>
      </c>
      <c r="C10" s="357" t="n">
        <v>3</v>
      </c>
      <c r="D10" s="357" t="n">
        <v>4</v>
      </c>
    </row>
    <row r="11" ht="63.75" customHeight="1" s="321">
      <c r="A11" s="357" t="inlineStr">
        <is>
          <t>Д3-02</t>
        </is>
      </c>
      <c r="B11" s="357" t="inlineStr">
        <is>
          <t>УНЦ ШПС</t>
        </is>
      </c>
      <c r="C11" s="315">
        <f>D5</f>
        <v/>
      </c>
      <c r="D11" s="329">
        <f>'Прил.4 РМ'!C41/1000</f>
        <v/>
      </c>
    </row>
    <row r="13">
      <c r="A13" s="320" t="inlineStr">
        <is>
          <t>Составил ______________________    А.Р. Маркова</t>
        </is>
      </c>
      <c r="B13" s="319" t="n"/>
      <c r="C13" s="319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9" t="n"/>
      <c r="C14" s="319" t="n"/>
      <c r="D14" s="317" t="n"/>
    </row>
    <row r="15">
      <c r="A15" s="320" t="n"/>
      <c r="B15" s="319" t="n"/>
      <c r="C15" s="319" t="n"/>
      <c r="D15" s="317" t="n"/>
    </row>
    <row r="16">
      <c r="A16" s="320" t="inlineStr">
        <is>
          <t>Проверил ______________________        А.В. Костянецкая</t>
        </is>
      </c>
      <c r="B16" s="319" t="n"/>
      <c r="C16" s="319" t="n"/>
      <c r="D16" s="317" t="n"/>
    </row>
    <row r="17">
      <c r="A17" s="318" t="inlineStr">
        <is>
          <t xml:space="preserve">                        (подпись, инициалы, фамилия)</t>
        </is>
      </c>
      <c r="B17" s="319" t="n"/>
      <c r="C17" s="319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51" t="inlineStr">
        <is>
          <t>Приложение № 10</t>
        </is>
      </c>
    </row>
    <row r="5" ht="18.75" customHeight="1" s="321">
      <c r="B5" s="166" t="n"/>
    </row>
    <row r="6" ht="15.75" customHeight="1" s="321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1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1">
      <c r="B10" s="357" t="n">
        <v>1</v>
      </c>
      <c r="C10" s="357" t="n">
        <v>2</v>
      </c>
      <c r="D10" s="357" t="n">
        <v>3</v>
      </c>
    </row>
    <row r="11" ht="45" customHeight="1" s="321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1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21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21">
      <c r="B14" s="35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1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1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0.6" customHeight="1" s="321">
      <c r="B17" s="357" t="n"/>
      <c r="C17" s="357" t="n"/>
      <c r="D17" s="169" t="n"/>
    </row>
    <row r="18" ht="31.5" customHeight="1" s="321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21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69" t="n">
        <v>0.002</v>
      </c>
    </row>
    <row r="20" ht="24" customHeight="1" s="321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69" t="n">
        <v>0.03</v>
      </c>
    </row>
    <row r="21" ht="18.75" customHeight="1" s="321">
      <c r="B21" s="246" t="n"/>
    </row>
    <row r="23">
      <c r="B23" s="320" t="inlineStr">
        <is>
          <t>Составил ______________________        А.Р. Маркова</t>
        </is>
      </c>
      <c r="C23" s="319" t="n"/>
    </row>
    <row r="24">
      <c r="B24" s="318" t="inlineStr">
        <is>
          <t xml:space="preserve">                         (подпись, инициалы, фамилия)</t>
        </is>
      </c>
      <c r="C24" s="319" t="n"/>
    </row>
    <row r="25">
      <c r="B25" s="320" t="n"/>
      <c r="C25" s="319" t="n"/>
    </row>
    <row r="26">
      <c r="B26" s="320" t="inlineStr">
        <is>
          <t>Проверил ______________________        А.В. Костянецкая</t>
        </is>
      </c>
      <c r="C26" s="319" t="n"/>
    </row>
    <row r="27">
      <c r="B27" s="318" t="inlineStr">
        <is>
          <t xml:space="preserve">                        (подпись, инициалы, фамилия)</t>
        </is>
      </c>
      <c r="C27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</cols>
  <sheetData>
    <row r="1" s="321"/>
    <row r="2" ht="17.25" customHeight="1" s="321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7" t="n"/>
      <c r="D10" s="357" t="n"/>
      <c r="E10" s="475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76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77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n"/>
    </row>
    <row r="13" ht="63" customHeight="1" s="321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2025-01-24T11:55:35Z</dcterms:modified>
  <cp:lastModifiedBy>Nikolay Ivanov</cp:lastModifiedBy>
  <cp:lastPrinted>2023-11-24T12:50:36Z</cp:lastPrinted>
</cp:coreProperties>
</file>