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24.6" customHeight="1" s="324">
      <c r="B5" s="358" t="n"/>
    </row>
    <row r="6" ht="18.75" customHeight="1" s="324">
      <c r="B6" s="241" t="n"/>
      <c r="C6" s="241" t="n"/>
      <c r="D6" s="241" t="n"/>
    </row>
    <row r="7" ht="38.45" customHeight="1" s="324">
      <c r="B7" s="357" t="inlineStr">
        <is>
          <t>Наименование разрабатываемого показателя УНЦ - Шкаф ПДС насосной станции пожаротушения</t>
        </is>
      </c>
    </row>
    <row r="8" ht="31.5" customHeight="1" s="324">
      <c r="B8" s="357" t="inlineStr">
        <is>
          <t>Сопоставимый уровень цен: 4 кв. 2021 г.</t>
        </is>
      </c>
    </row>
    <row r="9" ht="15.75" customHeight="1" s="324">
      <c r="B9" s="357" t="inlineStr">
        <is>
          <t>Единица измерения  — 1 ед.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19" t="n"/>
    </row>
    <row r="12" ht="141.75" customHeight="1" s="324">
      <c r="B12" s="361" t="n">
        <v>1</v>
      </c>
      <c r="C12" s="338" t="inlineStr">
        <is>
          <t>Наименование объекта-представителя</t>
        </is>
      </c>
      <c r="D12" s="361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1" t="n">
        <v>2</v>
      </c>
      <c r="C13" s="338" t="inlineStr">
        <is>
          <t>Наименование субъекта Российской Федерации</t>
        </is>
      </c>
      <c r="D13" s="361" t="inlineStr">
        <is>
          <t>Республика Бурятия</t>
        </is>
      </c>
    </row>
    <row r="14">
      <c r="B14" s="361" t="n">
        <v>3</v>
      </c>
      <c r="C14" s="338" t="inlineStr">
        <is>
          <t>Климатический район и подрайон</t>
        </is>
      </c>
      <c r="D14" s="361" t="inlineStr">
        <is>
          <t>IД</t>
        </is>
      </c>
    </row>
    <row r="15">
      <c r="B15" s="361" t="n">
        <v>4</v>
      </c>
      <c r="C15" s="338" t="inlineStr">
        <is>
          <t>Мощность объекта</t>
        </is>
      </c>
      <c r="D15" s="361" t="n">
        <v>1</v>
      </c>
    </row>
    <row r="16" ht="77.45" customHeight="1" s="324">
      <c r="B16" s="361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Шкаф ПДС</t>
        </is>
      </c>
    </row>
    <row r="17" ht="79.5" customHeight="1" s="324">
      <c r="B17" s="361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8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4">
      <c r="B19" s="218" t="inlineStr">
        <is>
          <t>6.2</t>
        </is>
      </c>
      <c r="C19" s="338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4">
      <c r="B20" s="218" t="inlineStr">
        <is>
          <t>6.3</t>
        </is>
      </c>
      <c r="C20" s="338" t="inlineStr">
        <is>
          <t>пусконаладочные работы</t>
        </is>
      </c>
      <c r="D20" s="255" t="n"/>
    </row>
    <row r="21" ht="35.25" customHeight="1" s="324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1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4">
      <c r="B23" s="361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4">
      <c r="B24" s="361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4">
      <c r="B25" s="361" t="n">
        <v>10</v>
      </c>
      <c r="C25" s="338" t="inlineStr">
        <is>
          <t>Примечание</t>
        </is>
      </c>
      <c r="D25" s="361" t="n"/>
    </row>
    <row r="26">
      <c r="B26" s="213" t="n"/>
      <c r="C26" s="212" t="n"/>
      <c r="D26" s="212" t="n"/>
    </row>
    <row r="27">
      <c r="B27" s="211" t="n"/>
    </row>
    <row r="28">
      <c r="B28" s="32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5" t="inlineStr">
        <is>
          <t>Приложение № 2</t>
        </is>
      </c>
      <c r="K3" s="211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4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4">
      <c r="B8" s="243" t="n"/>
    </row>
    <row r="9" ht="15.75" customHeight="1" s="324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4">
      <c r="B10" s="460" t="n"/>
      <c r="C10" s="46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2021 г., тыс. руб.</t>
        </is>
      </c>
      <c r="G10" s="458" t="n"/>
      <c r="H10" s="458" t="n"/>
      <c r="I10" s="458" t="n"/>
      <c r="J10" s="459" t="n"/>
    </row>
    <row r="11" ht="31.5" customHeight="1" s="324">
      <c r="B11" s="461" t="n"/>
      <c r="C11" s="461" t="n"/>
      <c r="D11" s="461" t="n"/>
      <c r="E11" s="461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31.5" customHeight="1" s="324">
      <c r="B12" s="343" t="n"/>
      <c r="C12" s="343" t="inlineStr">
        <is>
          <t>Шкаф ПДС насосной станции пожаротушения</t>
        </is>
      </c>
      <c r="D12" s="343" t="n"/>
      <c r="E12" s="343" t="n"/>
      <c r="F12" s="462">
        <f>((Прил.3!H12+Прил.3!H17)*30.43+Прил.3!H19*11.34+Прил.3!H27*7.77)/1000</f>
        <v/>
      </c>
      <c r="G12" s="459" t="n"/>
      <c r="H12" s="463">
        <f>Прил.3!H25*5.71/1000</f>
        <v/>
      </c>
      <c r="I12" s="343" t="n"/>
      <c r="J12" s="463">
        <f>F12+H12</f>
        <v/>
      </c>
    </row>
    <row r="13" ht="15" customHeight="1" s="324">
      <c r="B13" s="365" t="inlineStr">
        <is>
          <t>Всего по объекту:</t>
        </is>
      </c>
      <c r="C13" s="464" t="n"/>
      <c r="D13" s="464" t="n"/>
      <c r="E13" s="465" t="n"/>
      <c r="F13" s="346" t="n"/>
      <c r="G13" s="346" t="n"/>
      <c r="H13" s="346" t="n"/>
      <c r="I13" s="346" t="n"/>
      <c r="J13" s="346" t="n"/>
    </row>
    <row r="14">
      <c r="B14" s="366" t="inlineStr">
        <is>
          <t>Всего по объекту в сопоставимом уровне цен 4 кв. 2021 г:</t>
        </is>
      </c>
      <c r="C14" s="458" t="n"/>
      <c r="D14" s="458" t="n"/>
      <c r="E14" s="459" t="n"/>
      <c r="F14" s="466">
        <f>F12</f>
        <v/>
      </c>
      <c r="G14" s="459" t="n"/>
      <c r="H14" s="467">
        <f>H12</f>
        <v/>
      </c>
      <c r="I14" s="242" t="n"/>
      <c r="J14" s="467">
        <f>J12</f>
        <v/>
      </c>
    </row>
    <row r="15" ht="15" customHeight="1" s="324"/>
    <row r="16" ht="15" customHeight="1" s="324"/>
    <row r="17" ht="15" customHeight="1" s="324"/>
    <row r="18" ht="15" customHeight="1" s="324">
      <c r="C18" s="323" t="inlineStr">
        <is>
          <t>Составил ______________________     А.Р. Маркова</t>
        </is>
      </c>
      <c r="D18" s="322" t="n"/>
      <c r="E18" s="322" t="n"/>
    </row>
    <row r="19" ht="15" customHeight="1" s="324">
      <c r="C19" s="321" t="inlineStr">
        <is>
          <t xml:space="preserve">                         (подпись, инициалы, фамилия)</t>
        </is>
      </c>
      <c r="D19" s="322" t="n"/>
      <c r="E19" s="322" t="n"/>
    </row>
    <row r="20" ht="15" customHeight="1" s="324">
      <c r="C20" s="323" t="n"/>
      <c r="D20" s="322" t="n"/>
      <c r="E20" s="322" t="n"/>
    </row>
    <row r="21" ht="15" customHeight="1" s="324">
      <c r="C21" s="323" t="inlineStr">
        <is>
          <t>Проверил ______________________        А.В. Костянецкая</t>
        </is>
      </c>
      <c r="D21" s="322" t="n"/>
      <c r="E21" s="322" t="n"/>
    </row>
    <row r="22" ht="15" customHeight="1" s="324">
      <c r="C22" s="321" t="inlineStr">
        <is>
          <t xml:space="preserve">                        (подпись, инициалы, фамилия)</t>
        </is>
      </c>
      <c r="D22" s="322" t="n"/>
      <c r="E22" s="322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1" zoomScale="85" workbookViewId="0">
      <selection activeCell="C55" sqref="C55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6" min="9" max="10"/>
    <col width="15" customWidth="1" style="326" min="11" max="11"/>
    <col width="9.140625" customWidth="1" style="326" min="12" max="12"/>
    <col width="11.28515625" customWidth="1" style="326" min="13" max="13"/>
    <col width="9.140625" customWidth="1" style="326" min="14" max="14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4">
      <c r="A4" s="252" t="n"/>
      <c r="B4" s="252" t="n"/>
      <c r="C4" s="368" t="n"/>
    </row>
    <row r="5">
      <c r="A5" s="357" t="n"/>
    </row>
    <row r="6">
      <c r="A6" s="367" t="inlineStr">
        <is>
          <t>Наименование разрабатываемого показателя УНЦ -  Шкаф ПДС насосной станции пожаротушения</t>
        </is>
      </c>
    </row>
    <row r="7" s="324">
      <c r="A7" s="367" t="n"/>
      <c r="B7" s="367" t="n"/>
      <c r="C7" s="278" t="n"/>
      <c r="D7" s="282" t="n"/>
      <c r="E7" s="278" t="n"/>
      <c r="F7" s="278" t="n"/>
      <c r="G7" s="282" t="n"/>
      <c r="H7" s="211" t="n"/>
      <c r="I7" s="326" t="n"/>
      <c r="J7" s="326" t="n"/>
      <c r="K7" s="326" t="n"/>
      <c r="L7" s="326" t="n"/>
      <c r="M7" s="326" t="n"/>
      <c r="N7" s="326" t="n"/>
    </row>
    <row r="8">
      <c r="A8" s="367" t="n"/>
      <c r="B8" s="367" t="n"/>
      <c r="D8" s="282" t="n"/>
      <c r="G8" s="282" t="n"/>
    </row>
    <row r="9" ht="38.25" customHeight="1" s="324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59" t="n"/>
    </row>
    <row r="10" ht="40.5" customHeight="1" s="324">
      <c r="A10" s="461" t="n"/>
      <c r="B10" s="461" t="n"/>
      <c r="C10" s="461" t="n"/>
      <c r="D10" s="461" t="n"/>
      <c r="E10" s="461" t="n"/>
      <c r="F10" s="461" t="n"/>
      <c r="G10" s="361" t="inlineStr">
        <is>
          <t>на ед.изм.</t>
        </is>
      </c>
      <c r="H10" s="361" t="inlineStr">
        <is>
          <t>общая</t>
        </is>
      </c>
    </row>
    <row r="11">
      <c r="A11" s="362" t="n">
        <v>1</v>
      </c>
      <c r="B11" s="362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2" t="n">
        <v>7</v>
      </c>
    </row>
    <row r="12" customFormat="1" s="315">
      <c r="A12" s="373" t="inlineStr">
        <is>
          <t>Затраты труда рабочих</t>
        </is>
      </c>
      <c r="B12" s="458" t="n"/>
      <c r="C12" s="458" t="n"/>
      <c r="D12" s="458" t="n"/>
      <c r="E12" s="459" t="n"/>
      <c r="F12" s="468" t="n">
        <v>183.828</v>
      </c>
      <c r="G12" s="286" t="n"/>
      <c r="H12" s="469">
        <f>SUM(H13:H16)</f>
        <v/>
      </c>
    </row>
    <row r="13">
      <c r="A13" s="402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70" t="n"/>
    </row>
    <row r="14">
      <c r="A14" s="402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70" t="n"/>
    </row>
    <row r="15">
      <c r="A15" s="402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70" t="n"/>
    </row>
    <row r="16">
      <c r="A16" s="402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2.06</v>
      </c>
      <c r="G16" s="276" t="n">
        <v>9.92</v>
      </c>
      <c r="H16" s="264">
        <f>ROUND(F16*G16,2)</f>
        <v/>
      </c>
      <c r="M16" s="470" t="n"/>
    </row>
    <row r="17">
      <c r="A17" s="369" t="inlineStr">
        <is>
          <t>Затраты труда машинистов</t>
        </is>
      </c>
      <c r="B17" s="458" t="n"/>
      <c r="C17" s="458" t="n"/>
      <c r="D17" s="458" t="n"/>
      <c r="E17" s="459" t="n"/>
      <c r="F17" s="283" t="n"/>
      <c r="G17" s="224" t="n"/>
      <c r="H17" s="469">
        <f>H18</f>
        <v/>
      </c>
    </row>
    <row r="18">
      <c r="A18" s="402" t="n">
        <v>5</v>
      </c>
      <c r="B18" s="374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6.24</v>
      </c>
      <c r="G18" s="244" t="n"/>
      <c r="H18" s="265" t="n">
        <v>78.31999999999999</v>
      </c>
    </row>
    <row r="19" customFormat="1" s="315">
      <c r="A19" s="370" t="inlineStr">
        <is>
          <t>Машины и механизмы</t>
        </is>
      </c>
      <c r="B19" s="458" t="n"/>
      <c r="C19" s="458" t="n"/>
      <c r="D19" s="458" t="n"/>
      <c r="E19" s="459" t="n"/>
      <c r="F19" s="283" t="n"/>
      <c r="G19" s="224" t="n"/>
      <c r="H19" s="469">
        <f>SUM(H20:H24)</f>
        <v/>
      </c>
    </row>
    <row r="20" ht="25.5" customHeight="1" s="324">
      <c r="A20" s="402" t="n">
        <v>6</v>
      </c>
      <c r="B20" s="374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3.12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5">
      <c r="A21" s="402" t="n">
        <v>7</v>
      </c>
      <c r="B21" s="374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3.12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4">
      <c r="A22" s="402" t="n">
        <v>8</v>
      </c>
      <c r="B22" s="374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2" t="n">
        <v>9</v>
      </c>
      <c r="B23" s="374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4">
      <c r="A24" s="402" t="n">
        <v>10</v>
      </c>
      <c r="B24" s="374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0.66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4">
      <c r="A25" s="369" t="inlineStr">
        <is>
          <t>Оборудование</t>
        </is>
      </c>
      <c r="B25" s="458" t="n"/>
      <c r="C25" s="458" t="n"/>
      <c r="D25" s="458" t="n"/>
      <c r="E25" s="459" t="n"/>
      <c r="F25" s="285" t="n"/>
      <c r="G25" s="286" t="n"/>
      <c r="H25" s="469">
        <f>SUM(H26:H26)</f>
        <v/>
      </c>
    </row>
    <row r="26" ht="25.5" customHeight="1" s="324">
      <c r="A26" s="245" t="n">
        <v>11</v>
      </c>
      <c r="B26" s="369" t="n"/>
      <c r="C26" s="277" t="inlineStr">
        <is>
          <t>Прайс из СД ОП</t>
        </is>
      </c>
      <c r="D26" s="288" t="inlineStr">
        <is>
          <t>Шкаф ПДС насосной станции пожаротушения ШЭТ ПДС НСП</t>
        </is>
      </c>
      <c r="E26" s="277" t="inlineStr">
        <is>
          <t>шт</t>
        </is>
      </c>
      <c r="F26" s="277" t="n">
        <v>1</v>
      </c>
      <c r="G26" s="293" t="n">
        <v>138977.64</v>
      </c>
      <c r="H26" s="269">
        <f>ROUND(F26*G26,2)</f>
        <v/>
      </c>
      <c r="I26" s="247" t="n"/>
    </row>
    <row r="27">
      <c r="A27" s="370" t="inlineStr">
        <is>
          <t>Материалы</t>
        </is>
      </c>
      <c r="B27" s="458" t="n"/>
      <c r="C27" s="458" t="n"/>
      <c r="D27" s="458" t="n"/>
      <c r="E27" s="459" t="n"/>
      <c r="F27" s="283" t="n"/>
      <c r="G27" s="224" t="n"/>
      <c r="H27" s="469">
        <f>SUM(H28:H53)</f>
        <v/>
      </c>
    </row>
    <row r="28">
      <c r="A28" s="245" t="n">
        <v>12</v>
      </c>
      <c r="B28" s="374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4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4">
      <c r="A30" s="245" t="n">
        <v>14</v>
      </c>
      <c r="B30" s="374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4">
      <c r="A31" s="245" t="n">
        <v>15</v>
      </c>
      <c r="B31" s="374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4">
      <c r="A32" s="245" t="n">
        <v>16</v>
      </c>
      <c r="B32" s="374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4">
      <c r="A33" s="245" t="n">
        <v>17</v>
      </c>
      <c r="B33" s="374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0.015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4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4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4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4">
      <c r="A37" s="245" t="n">
        <v>21</v>
      </c>
      <c r="B37" s="374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34.60664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4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4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4">
      <c r="A40" s="245" t="n">
        <v>24</v>
      </c>
      <c r="B40" s="374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4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4">
      <c r="A42" s="245" t="n">
        <v>26</v>
      </c>
      <c r="B42" s="374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4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4" t="n"/>
      <c r="C44" s="277" t="inlineStr">
        <is>
          <t>01.3.01.05-0009</t>
        </is>
      </c>
      <c r="D44" s="312" t="inlineStr">
        <is>
          <t>Парафин нефтяной твердый Т-1</t>
        </is>
      </c>
      <c r="E44" s="277" t="inlineStr">
        <is>
          <t>т</t>
        </is>
      </c>
      <c r="F44" s="277" t="n">
        <v>0.0003</v>
      </c>
      <c r="G44" s="276" t="n">
        <v>8000</v>
      </c>
      <c r="H44" s="269">
        <f>ROUND(F44*G44,2)</f>
        <v/>
      </c>
      <c r="I44" s="247" t="n"/>
      <c r="J44" s="254" t="n"/>
    </row>
    <row r="45">
      <c r="A45" s="245" t="n">
        <v>29</v>
      </c>
      <c r="B45" s="374" t="n"/>
      <c r="C45" s="277" t="inlineStr">
        <is>
          <t>20.2.02.01-0013</t>
        </is>
      </c>
      <c r="D45" s="312" t="inlineStr">
        <is>
          <t>Втулки, диаметр 28 мм</t>
        </is>
      </c>
      <c r="E45" s="277" t="inlineStr">
        <is>
          <t>1000 шт</t>
        </is>
      </c>
      <c r="F45" s="277" t="n">
        <v>0.0122</v>
      </c>
      <c r="G45" s="276" t="n">
        <v>176.23</v>
      </c>
      <c r="H45" s="269">
        <f>ROUND(F45*G45,2)</f>
        <v/>
      </c>
      <c r="I45" s="247" t="n"/>
      <c r="J45" s="254" t="n"/>
    </row>
    <row r="46">
      <c r="A46" s="245" t="n">
        <v>30</v>
      </c>
      <c r="B46" s="374" t="n"/>
      <c r="C46" s="277" t="inlineStr">
        <is>
          <t>24.3.01.01-0002</t>
        </is>
      </c>
      <c r="D46" s="312" t="inlineStr">
        <is>
          <t>Трубка полихлорвиниловая</t>
        </is>
      </c>
      <c r="E46" s="277" t="inlineStr">
        <is>
          <t>кг</t>
        </is>
      </c>
      <c r="F46" s="277" t="n">
        <v>0.056</v>
      </c>
      <c r="G46" s="276" t="n">
        <v>35.71</v>
      </c>
      <c r="H46" s="269">
        <f>ROUND(F46*G46,2)</f>
        <v/>
      </c>
      <c r="I46" s="247" t="n"/>
      <c r="J46" s="254" t="n"/>
    </row>
    <row r="47">
      <c r="A47" s="245" t="n">
        <v>31</v>
      </c>
      <c r="B47" s="374" t="n"/>
      <c r="C47" s="277" t="inlineStr">
        <is>
          <t>01.7.07.20-0002</t>
        </is>
      </c>
      <c r="D47" s="312" t="inlineStr">
        <is>
          <t>Тальк молотый, сорт I</t>
        </is>
      </c>
      <c r="E47" s="277" t="inlineStr">
        <is>
          <t>т</t>
        </is>
      </c>
      <c r="F47" s="277" t="n">
        <v>0.00105</v>
      </c>
      <c r="G47" s="276" t="n">
        <v>1819.05</v>
      </c>
      <c r="H47" s="269">
        <f>ROUND(F47*G47,2)</f>
        <v/>
      </c>
      <c r="I47" s="247" t="n"/>
      <c r="J47" s="254" t="n"/>
    </row>
    <row r="48">
      <c r="A48" s="245" t="n">
        <v>32</v>
      </c>
      <c r="B48" s="374" t="n"/>
      <c r="C48" s="277" t="inlineStr">
        <is>
          <t>01.7.11.07-0034</t>
        </is>
      </c>
      <c r="D48" s="312" t="inlineStr">
        <is>
          <t>Электроды сварочные Э42А, диаметр 4 мм</t>
        </is>
      </c>
      <c r="E48" s="277" t="inlineStr">
        <is>
          <t>кг</t>
        </is>
      </c>
      <c r="F48" s="277" t="n">
        <v>0.15</v>
      </c>
      <c r="G48" s="276" t="n">
        <v>10.6</v>
      </c>
      <c r="H48" s="269">
        <f>ROUND(F48*G48,2)</f>
        <v/>
      </c>
      <c r="I48" s="247" t="n"/>
      <c r="J48" s="254" t="n"/>
    </row>
    <row r="49">
      <c r="A49" s="245" t="n">
        <v>33</v>
      </c>
      <c r="B49" s="374" t="n"/>
      <c r="C49" s="277" t="inlineStr">
        <is>
          <t>01.3.01.07-0009</t>
        </is>
      </c>
      <c r="D49" s="312" t="inlineStr">
        <is>
          <t>Спирт этиловый ректификованный технический, сорт I</t>
        </is>
      </c>
      <c r="E49" s="277" t="inlineStr">
        <is>
          <t>кг</t>
        </is>
      </c>
      <c r="F49" s="277" t="n">
        <v>0.0406</v>
      </c>
      <c r="G49" s="276" t="n">
        <v>38.92</v>
      </c>
      <c r="H49" s="269">
        <f>ROUND(F49*G49,2)</f>
        <v/>
      </c>
      <c r="I49" s="247" t="n"/>
      <c r="J49" s="254" t="n"/>
    </row>
    <row r="50">
      <c r="A50" s="245" t="n">
        <v>34</v>
      </c>
      <c r="B50" s="374" t="n"/>
      <c r="C50" s="277" t="inlineStr">
        <is>
          <t>01.7.15.03-0042</t>
        </is>
      </c>
      <c r="D50" s="312" t="inlineStr">
        <is>
          <t>Болты с гайками и шайбами строительные</t>
        </is>
      </c>
      <c r="E50" s="277" t="inlineStr">
        <is>
          <t>кг</t>
        </is>
      </c>
      <c r="F50" s="277" t="n">
        <v>0.17</v>
      </c>
      <c r="G50" s="276" t="n">
        <v>9.06</v>
      </c>
      <c r="H50" s="269">
        <f>ROUND(F50*G50,2)</f>
        <v/>
      </c>
      <c r="I50" s="247" t="n"/>
      <c r="J50" s="254" t="n"/>
    </row>
    <row r="51">
      <c r="A51" s="245" t="n">
        <v>35</v>
      </c>
      <c r="B51" s="374" t="n"/>
      <c r="C51" s="277" t="inlineStr">
        <is>
          <t>14.4.02.09-0001</t>
        </is>
      </c>
      <c r="D51" s="312" t="inlineStr">
        <is>
          <t>Краска</t>
        </is>
      </c>
      <c r="E51" s="277" t="inlineStr">
        <is>
          <t>кг</t>
        </is>
      </c>
      <c r="F51" s="277" t="n">
        <v>0.05</v>
      </c>
      <c r="G51" s="276" t="n">
        <v>28.6</v>
      </c>
      <c r="H51" s="269">
        <f>ROUND(F51*G51,2)</f>
        <v/>
      </c>
      <c r="I51" s="247" t="n"/>
      <c r="J51" s="254" t="n"/>
    </row>
    <row r="52">
      <c r="A52" s="245" t="n">
        <v>36</v>
      </c>
      <c r="B52" s="374" t="n"/>
      <c r="C52" s="277" t="inlineStr">
        <is>
          <t>01.3.05.17-0002</t>
        </is>
      </c>
      <c r="D52" s="312" t="inlineStr">
        <is>
          <t>Канифоль сосновая</t>
        </is>
      </c>
      <c r="E52" s="277" t="inlineStr">
        <is>
          <t>кг</t>
        </is>
      </c>
      <c r="F52" s="277" t="n">
        <v>0.0266</v>
      </c>
      <c r="G52" s="276" t="n">
        <v>27.82</v>
      </c>
      <c r="H52" s="269">
        <f>ROUND(F52*G52,2)</f>
        <v/>
      </c>
      <c r="I52" s="247" t="n"/>
      <c r="J52" s="254" t="n"/>
    </row>
    <row r="53">
      <c r="A53" s="245" t="n">
        <v>37</v>
      </c>
      <c r="B53" s="374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6" t="inlineStr">
        <is>
          <t>Составил ______________________     А.Р. Маркова</t>
        </is>
      </c>
    </row>
    <row r="56">
      <c r="B56" s="211" t="inlineStr">
        <is>
          <t xml:space="preserve">                         (подпись, инициалы, фамилия)</t>
        </is>
      </c>
    </row>
    <row r="58">
      <c r="B58" s="326" t="inlineStr">
        <is>
          <t>Проверил ______________________        А.В. Костянецкая</t>
        </is>
      </c>
    </row>
    <row r="59">
      <c r="B59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3" t="n"/>
      <c r="C1" s="323" t="n"/>
      <c r="D1" s="323" t="n"/>
      <c r="E1" s="323" t="n"/>
    </row>
    <row r="2">
      <c r="B2" s="323" t="n"/>
      <c r="C2" s="323" t="n"/>
      <c r="D2" s="323" t="n"/>
      <c r="E2" s="397" t="inlineStr">
        <is>
          <t>Приложение № 4</t>
        </is>
      </c>
    </row>
    <row r="3">
      <c r="B3" s="323" t="n"/>
      <c r="C3" s="323" t="n"/>
      <c r="D3" s="323" t="n"/>
      <c r="E3" s="323" t="n"/>
    </row>
    <row r="4">
      <c r="B4" s="323" t="n"/>
      <c r="C4" s="323" t="n"/>
      <c r="D4" s="323" t="n"/>
      <c r="E4" s="323" t="n"/>
    </row>
    <row r="5">
      <c r="B5" s="348" t="inlineStr">
        <is>
          <t>Ресурсная модель</t>
        </is>
      </c>
    </row>
    <row r="6">
      <c r="B6" s="237" t="n"/>
      <c r="C6" s="323" t="n"/>
      <c r="D6" s="323" t="n"/>
      <c r="E6" s="323" t="n"/>
    </row>
    <row r="7" ht="25.5" customHeight="1" s="324">
      <c r="B7" s="376" t="inlineStr">
        <is>
          <t>Наименование разрабатываемого показателя УНЦ — Шкаф ПДС насосной станции пожаротушения</t>
        </is>
      </c>
    </row>
    <row r="8">
      <c r="B8" s="377" t="inlineStr">
        <is>
          <t>Единица измерения  — 1 ед.</t>
        </is>
      </c>
    </row>
    <row r="9">
      <c r="B9" s="237" t="n"/>
      <c r="C9" s="323" t="n"/>
      <c r="D9" s="323" t="n"/>
      <c r="E9" s="323" t="n"/>
    </row>
    <row r="10" ht="51" customHeight="1" s="324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1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4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4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4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4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4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32110</v>
      </c>
      <c r="D31" s="308" t="n"/>
      <c r="E31" s="231">
        <f>C31/$C$40</f>
        <v/>
      </c>
    </row>
    <row r="32" ht="25.5" customHeight="1" s="324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4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455">
        <f>C33/$C$40</f>
        <v/>
      </c>
    </row>
    <row r="34" ht="51" customHeight="1" s="324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4" t="n"/>
      <c r="E34" s="456">
        <f>C34/$C$40</f>
        <v/>
      </c>
      <c r="H34" s="247" t="n"/>
    </row>
    <row r="35" ht="76.5" customHeight="1" s="324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4" t="n"/>
      <c r="E35" s="456">
        <f>C35/$C$40</f>
        <v/>
      </c>
    </row>
    <row r="36" ht="25.5" customHeight="1" s="324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4" t="n"/>
      <c r="E36" s="456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4" t="n"/>
      <c r="E37" s="456">
        <f>C37/$C$40</f>
        <v/>
      </c>
      <c r="G37" s="292" t="n"/>
      <c r="L37" s="232" t="n"/>
    </row>
    <row r="38" ht="38.25" customHeight="1" s="324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4" t="n"/>
      <c r="E38" s="456">
        <f>C38/$C$40</f>
        <v/>
      </c>
    </row>
    <row r="39" ht="13.5" customHeight="1" s="324">
      <c r="B39" s="308" t="inlineStr">
        <is>
          <t>Непредвиденные расходы</t>
        </is>
      </c>
      <c r="C39" s="264">
        <f>ROUND(C38*3%,2)</f>
        <v/>
      </c>
      <c r="D39" s="454" t="n"/>
      <c r="E39" s="456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4" t="n"/>
      <c r="E40" s="456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4" t="n"/>
      <c r="E41" s="457" t="n"/>
    </row>
    <row r="42">
      <c r="B42" s="228" t="n"/>
      <c r="C42" s="323" t="n"/>
      <c r="D42" s="323" t="n"/>
      <c r="E42" s="323" t="n"/>
    </row>
    <row r="43">
      <c r="B43" s="228" t="inlineStr">
        <is>
          <t>Составил ____________________________ А.Р. Маркова</t>
        </is>
      </c>
      <c r="C43" s="323" t="n"/>
      <c r="D43" s="323" t="n"/>
      <c r="E43" s="323" t="n"/>
    </row>
    <row r="44">
      <c r="B44" s="228" t="inlineStr">
        <is>
          <t xml:space="preserve">(должность, подпись, инициалы, фамилия) </t>
        </is>
      </c>
      <c r="C44" s="323" t="n"/>
      <c r="D44" s="323" t="n"/>
      <c r="E44" s="323" t="n"/>
    </row>
    <row r="45">
      <c r="B45" s="228" t="n"/>
      <c r="C45" s="323" t="n"/>
      <c r="D45" s="323" t="n"/>
      <c r="E45" s="323" t="n"/>
    </row>
    <row r="46">
      <c r="B46" s="228" t="inlineStr">
        <is>
          <t>Проверил ____________________________ А.В. Костянецкая</t>
        </is>
      </c>
      <c r="C46" s="323" t="n"/>
      <c r="D46" s="323" t="n"/>
      <c r="E46" s="323" t="n"/>
    </row>
    <row r="47">
      <c r="B47" s="377" t="inlineStr">
        <is>
          <t>(должность, подпись, инициалы, фамилия)</t>
        </is>
      </c>
      <c r="D47" s="323" t="n"/>
      <c r="E47" s="323" t="n"/>
    </row>
    <row r="49">
      <c r="B49" s="323" t="n"/>
      <c r="C49" s="323" t="n"/>
      <c r="D49" s="323" t="n"/>
      <c r="E49" s="323" t="n"/>
    </row>
    <row r="50">
      <c r="B50" s="323" t="n"/>
      <c r="C50" s="323" t="n"/>
      <c r="D50" s="323" t="n"/>
      <c r="E50" s="32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5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2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2" min="7" max="7"/>
    <col width="12.7109375" customWidth="1" style="322" min="8" max="8"/>
    <col width="13.85546875" customWidth="1" style="322" min="9" max="9"/>
    <col width="17.5703125" customWidth="1" style="322" min="10" max="10"/>
    <col width="10.85546875" customWidth="1" style="322" min="11" max="11"/>
    <col width="9.140625" customWidth="1" style="322" min="12" max="12"/>
    <col width="9.140625" customWidth="1" style="324" min="13" max="13"/>
  </cols>
  <sheetData>
    <row r="1" s="324">
      <c r="A1" s="322" t="n"/>
      <c r="B1" s="296" t="n"/>
      <c r="C1" s="299" t="n"/>
      <c r="D1" s="299" t="n"/>
      <c r="E1" s="299" t="n"/>
      <c r="F1" s="299" t="n"/>
      <c r="G1" s="322" t="n"/>
      <c r="H1" s="322" t="n"/>
      <c r="I1" s="322" t="n"/>
      <c r="J1" s="322" t="n"/>
      <c r="K1" s="322" t="n"/>
      <c r="L1" s="322" t="n"/>
      <c r="M1" s="322" t="n"/>
      <c r="N1" s="322" t="n"/>
    </row>
    <row r="2" ht="15.75" customHeight="1" s="324">
      <c r="A2" s="322" t="n"/>
      <c r="B2" s="296" t="n"/>
      <c r="C2" s="299" t="n"/>
      <c r="D2" s="299" t="n"/>
      <c r="E2" s="299" t="n"/>
      <c r="F2" s="299" t="n"/>
      <c r="G2" s="322" t="n"/>
      <c r="H2" s="392" t="inlineStr">
        <is>
          <t>Приложение №5</t>
        </is>
      </c>
      <c r="K2" s="322" t="n"/>
      <c r="L2" s="322" t="n"/>
      <c r="M2" s="322" t="n"/>
      <c r="N2" s="322" t="n"/>
    </row>
    <row r="3" s="324">
      <c r="A3" s="322" t="n"/>
      <c r="B3" s="296" t="n"/>
      <c r="C3" s="299" t="n"/>
      <c r="D3" s="299" t="n"/>
      <c r="E3" s="299" t="n"/>
      <c r="F3" s="299" t="n"/>
      <c r="G3" s="322" t="n"/>
      <c r="H3" s="322" t="n"/>
      <c r="I3" s="322" t="n"/>
      <c r="J3" s="322" t="n"/>
      <c r="K3" s="322" t="n"/>
      <c r="L3" s="322" t="n"/>
      <c r="M3" s="322" t="n"/>
      <c r="N3" s="322" t="n"/>
    </row>
    <row r="4" ht="12.75" customFormat="1" customHeight="1" s="323">
      <c r="A4" s="348" t="inlineStr">
        <is>
          <t>Расчет стоимости СМР и оборудования</t>
        </is>
      </c>
    </row>
    <row r="5" ht="12.75" customFormat="1" customHeight="1" s="323">
      <c r="A5" s="348" t="n"/>
      <c r="B5" s="348" t="n"/>
      <c r="C5" s="306" t="n"/>
      <c r="D5" s="348" t="n"/>
      <c r="E5" s="348" t="n"/>
      <c r="F5" s="348" t="n"/>
      <c r="G5" s="348" t="n"/>
      <c r="H5" s="348" t="n"/>
      <c r="I5" s="348" t="n"/>
      <c r="J5" s="348" t="n"/>
    </row>
    <row r="6" ht="27.6" customFormat="1" customHeight="1" s="323">
      <c r="A6" s="201" t="inlineStr">
        <is>
          <t>Наименование разрабатываемого показателя УНЦ</t>
        </is>
      </c>
      <c r="B6" s="396" t="n"/>
      <c r="C6" s="200" t="n"/>
      <c r="D6" s="396" t="inlineStr">
        <is>
          <t>Шкаф ПДС насосной станции пожаротушения</t>
        </is>
      </c>
    </row>
    <row r="7" ht="12.75" customFormat="1" customHeight="1" s="323">
      <c r="A7" s="351" t="inlineStr">
        <is>
          <t>Единица измерения  — 1 ед.</t>
        </is>
      </c>
      <c r="I7" s="376" t="n"/>
      <c r="J7" s="376" t="n"/>
    </row>
    <row r="8" ht="13.5" customFormat="1" customHeight="1" s="323">
      <c r="A8" s="351" t="n"/>
    </row>
    <row r="9" ht="27" customHeight="1" s="324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9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9" t="n"/>
      <c r="K9" s="322" t="n"/>
      <c r="L9" s="322" t="n"/>
      <c r="M9" s="322" t="n"/>
      <c r="N9" s="322" t="n"/>
    </row>
    <row r="10" ht="28.5" customHeight="1" s="324">
      <c r="A10" s="461" t="n"/>
      <c r="B10" s="461" t="n"/>
      <c r="C10" s="461" t="n"/>
      <c r="D10" s="461" t="n"/>
      <c r="E10" s="461" t="n"/>
      <c r="F10" s="384" t="inlineStr">
        <is>
          <t>на ед. изм.</t>
        </is>
      </c>
      <c r="G10" s="384" t="inlineStr">
        <is>
          <t>общая</t>
        </is>
      </c>
      <c r="H10" s="461" t="n"/>
      <c r="I10" s="384" t="inlineStr">
        <is>
          <t>на ед. изм.</t>
        </is>
      </c>
      <c r="J10" s="384" t="inlineStr">
        <is>
          <t>общая</t>
        </is>
      </c>
      <c r="K10" s="322" t="n"/>
      <c r="L10" s="322" t="n"/>
      <c r="M10" s="322" t="n"/>
      <c r="N10" s="322" t="n"/>
    </row>
    <row r="11" s="324">
      <c r="A11" s="384" t="n">
        <v>1</v>
      </c>
      <c r="B11" s="384" t="n">
        <v>2</v>
      </c>
      <c r="C11" s="308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9" t="n">
        <v>9</v>
      </c>
      <c r="J11" s="379" t="n">
        <v>10</v>
      </c>
      <c r="K11" s="322" t="n"/>
      <c r="L11" s="322" t="n"/>
      <c r="M11" s="322" t="n"/>
      <c r="N11" s="322" t="n"/>
    </row>
    <row r="12">
      <c r="A12" s="384" t="n"/>
      <c r="B12" s="369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4">
      <c r="A13" s="384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4" t="inlineStr">
        <is>
          <t>чел.-ч.</t>
        </is>
      </c>
      <c r="E13" s="472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2">
      <c r="A14" s="384" t="n"/>
      <c r="B14" s="384" t="n"/>
      <c r="C14" s="309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72">
        <f>SUM(E13:E13)</f>
        <v/>
      </c>
      <c r="F14" s="196" t="n"/>
      <c r="G14" s="196">
        <f>SUM(G13:G13)</f>
        <v/>
      </c>
      <c r="H14" s="387" t="n">
        <v>1</v>
      </c>
      <c r="I14" s="190" t="n"/>
      <c r="J14" s="196">
        <f>SUM(J13:J13)</f>
        <v/>
      </c>
    </row>
    <row r="15" ht="14.25" customFormat="1" customHeight="1" s="322">
      <c r="A15" s="384" t="n"/>
      <c r="B15" s="383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2">
      <c r="A16" s="384" t="n">
        <v>2</v>
      </c>
      <c r="B16" s="384" t="n">
        <v>2</v>
      </c>
      <c r="C16" s="308" t="inlineStr">
        <is>
          <t>Затраты труда машинистов</t>
        </is>
      </c>
      <c r="D16" s="384" t="inlineStr">
        <is>
          <t>чел.-ч.</t>
        </is>
      </c>
      <c r="E16" s="473" t="n">
        <v>6.24</v>
      </c>
      <c r="F16" s="196">
        <f>G16/E16</f>
        <v/>
      </c>
      <c r="G16" s="196">
        <f>Прил.3!H17</f>
        <v/>
      </c>
      <c r="H16" s="387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2">
      <c r="A17" s="384" t="n"/>
      <c r="B17" s="369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2">
      <c r="A18" s="384" t="n"/>
      <c r="B18" s="383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2">
      <c r="A19" s="384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4" t="n">
        <v>3.12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2">
      <c r="A20" s="384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4" t="n">
        <v>3.12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2">
      <c r="A21" s="384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4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2">
      <c r="A22" s="384" t="n"/>
      <c r="B22" s="384" t="n"/>
      <c r="C22" s="308" t="inlineStr">
        <is>
          <t>Итого основные машины и механизмы</t>
        </is>
      </c>
      <c r="D22" s="384" t="n"/>
      <c r="E22" s="473" t="n"/>
      <c r="F22" s="196" t="n"/>
      <c r="G22" s="196">
        <f>SUM(G19:G21)</f>
        <v/>
      </c>
      <c r="H22" s="387">
        <f>G22/G26</f>
        <v/>
      </c>
      <c r="I22" s="191" t="n"/>
      <c r="J22" s="196">
        <f>SUM(J19:J21)</f>
        <v/>
      </c>
    </row>
    <row r="23" hidden="1" outlineLevel="1" ht="25.5" customFormat="1" customHeight="1" s="322">
      <c r="A23" s="384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4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2">
      <c r="A24" s="384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4" t="n">
        <v>0.66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2">
      <c r="A25" s="384" t="n"/>
      <c r="B25" s="384" t="n"/>
      <c r="C25" s="308" t="inlineStr">
        <is>
          <t>Итого прочие машины и механизмы</t>
        </is>
      </c>
      <c r="D25" s="384" t="n"/>
      <c r="E25" s="385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2">
      <c r="A26" s="384" t="n"/>
      <c r="B26" s="384" t="n"/>
      <c r="C26" s="309" t="inlineStr">
        <is>
          <t>Итого по разделу «Машины и механизмы»</t>
        </is>
      </c>
      <c r="D26" s="384" t="n"/>
      <c r="E26" s="385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2">
      <c r="A27" s="384" t="n"/>
      <c r="B27" s="369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4" t="n"/>
      <c r="B28" s="383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2" t="n"/>
      <c r="L28" s="322" t="n"/>
    </row>
    <row r="29" ht="45" customFormat="1" customHeight="1" s="322">
      <c r="A29" s="384" t="n">
        <v>8</v>
      </c>
      <c r="B29" s="384" t="inlineStr">
        <is>
          <t>БЦ.34.17</t>
        </is>
      </c>
      <c r="C29" s="308" t="inlineStr">
        <is>
          <t>Шкаф ПДС насосной станции пожаротушения ШЭТ ПДС НСП</t>
        </is>
      </c>
      <c r="D29" s="384" t="inlineStr">
        <is>
          <t>шт</t>
        </is>
      </c>
      <c r="E29" s="473" t="n">
        <v>1</v>
      </c>
      <c r="F29" s="401">
        <f>ROUND(I29/Прил.10!$D$14,2)</f>
        <v/>
      </c>
      <c r="G29" s="196">
        <f>ROUND(E29*F29,2)</f>
        <v/>
      </c>
      <c r="H29" s="198">
        <f>G29/$G$32</f>
        <v/>
      </c>
      <c r="I29" s="267" t="n">
        <v>870000</v>
      </c>
      <c r="J29" s="196">
        <f>ROUND(I29*E29,2)</f>
        <v/>
      </c>
    </row>
    <row r="30">
      <c r="A30" s="384" t="n"/>
      <c r="B30" s="384" t="n"/>
      <c r="C30" s="308" t="inlineStr">
        <is>
          <t>Итого основное оборудование</t>
        </is>
      </c>
      <c r="D30" s="384" t="n"/>
      <c r="E30" s="473" t="n"/>
      <c r="F30" s="386" t="n"/>
      <c r="G30" s="196">
        <f>G29</f>
        <v/>
      </c>
      <c r="H30" s="198">
        <f>G30/$G$32</f>
        <v/>
      </c>
      <c r="I30" s="191" t="n"/>
      <c r="J30" s="196">
        <f>J29</f>
        <v/>
      </c>
      <c r="K30" s="322" t="n"/>
      <c r="L30" s="322" t="n"/>
    </row>
    <row r="31">
      <c r="A31" s="384" t="n"/>
      <c r="B31" s="384" t="n"/>
      <c r="C31" s="308" t="inlineStr">
        <is>
          <t>Итого прочее оборудование</t>
        </is>
      </c>
      <c r="D31" s="273" t="n"/>
      <c r="E31" s="473" t="n"/>
      <c r="F31" s="386" t="n"/>
      <c r="G31" s="196" t="n">
        <v>0</v>
      </c>
      <c r="H31" s="198">
        <f>G31/$G$32</f>
        <v/>
      </c>
      <c r="I31" s="191" t="n"/>
      <c r="J31" s="196" t="n">
        <v>0</v>
      </c>
      <c r="K31" s="322" t="n"/>
      <c r="L31" s="322" t="n"/>
    </row>
    <row r="32">
      <c r="A32" s="384" t="n"/>
      <c r="B32" s="384" t="n"/>
      <c r="C32" s="309" t="inlineStr">
        <is>
          <t>Итого по разделу «Оборудование»</t>
        </is>
      </c>
      <c r="D32" s="384" t="n"/>
      <c r="E32" s="385" t="n"/>
      <c r="F32" s="38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2" t="n"/>
      <c r="L32" s="322" t="n"/>
    </row>
    <row r="33" ht="25.5" customHeight="1" s="324">
      <c r="A33" s="384" t="n"/>
      <c r="B33" s="384" t="n"/>
      <c r="C33" s="308" t="inlineStr">
        <is>
          <t>в том числе технологическое оборудование</t>
        </is>
      </c>
      <c r="D33" s="384" t="n"/>
      <c r="E33" s="473" t="n"/>
      <c r="F33" s="386" t="n"/>
      <c r="G33" s="196">
        <f>'Прил.6 Расчет ОБ'!G13</f>
        <v/>
      </c>
      <c r="H33" s="387" t="n"/>
      <c r="I33" s="191" t="n"/>
      <c r="J33" s="196">
        <f>J32</f>
        <v/>
      </c>
      <c r="K33" s="322" t="n"/>
      <c r="L33" s="322" t="n"/>
    </row>
    <row r="34" ht="14.25" customFormat="1" customHeight="1" s="322">
      <c r="A34" s="384" t="n"/>
      <c r="B34" s="369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2">
      <c r="A35" s="379" t="n"/>
      <c r="B35" s="378" t="inlineStr">
        <is>
          <t>Основные материалы</t>
        </is>
      </c>
      <c r="C35" s="475" t="n"/>
      <c r="D35" s="475" t="n"/>
      <c r="E35" s="475" t="n"/>
      <c r="F35" s="475" t="n"/>
      <c r="G35" s="475" t="n"/>
      <c r="H35" s="476" t="n"/>
      <c r="I35" s="203" t="n"/>
      <c r="J35" s="203" t="n"/>
    </row>
    <row r="36" ht="14.25" customFormat="1" customHeight="1" s="322">
      <c r="A36" s="384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4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2">
      <c r="A37" s="384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7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2">
      <c r="A38" s="384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7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2">
      <c r="A39" s="384" t="n"/>
      <c r="B39" s="204" t="n"/>
      <c r="C39" s="310" t="inlineStr">
        <is>
          <t>Итого основные материалы</t>
        </is>
      </c>
      <c r="D39" s="395" t="n"/>
      <c r="E39" s="478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2">
      <c r="A40" s="384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4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2">
      <c r="A41" s="384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4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2">
      <c r="A42" s="384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4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2">
      <c r="A43" s="384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4" t="n">
        <v>0.015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2">
      <c r="A44" s="384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4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2">
      <c r="A45" s="384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4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2">
      <c r="A46" s="384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4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2">
      <c r="A47" s="384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4" t="n">
        <v>34.60664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2">
      <c r="A48" s="384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4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2">
      <c r="A49" s="384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4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2">
      <c r="A50" s="384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4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2">
      <c r="A51" s="384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4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2">
      <c r="A52" s="384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4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2">
      <c r="A53" s="384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4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14.25" customFormat="1" customHeight="1" s="322">
      <c r="A54" s="384" t="n">
        <v>24</v>
      </c>
      <c r="B54" s="274" t="inlineStr">
        <is>
          <t>01.3.01.05-0009</t>
        </is>
      </c>
      <c r="C54" s="275" t="inlineStr">
        <is>
          <t>Парафин нефтяной твердый Т-1</t>
        </is>
      </c>
      <c r="D54" s="274" t="inlineStr">
        <is>
          <t>т</t>
        </is>
      </c>
      <c r="E54" s="474" t="n">
        <v>0.0003</v>
      </c>
      <c r="F54" s="275" t="n">
        <v>8000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2">
      <c r="A55" s="384" t="n">
        <v>25</v>
      </c>
      <c r="B55" s="274" t="inlineStr">
        <is>
          <t>20.2.02.01-0013</t>
        </is>
      </c>
      <c r="C55" s="275" t="inlineStr">
        <is>
          <t>Втулки, диаметр 28 мм</t>
        </is>
      </c>
      <c r="D55" s="274" t="inlineStr">
        <is>
          <t>1000 шт</t>
        </is>
      </c>
      <c r="E55" s="474" t="n">
        <v>0.0122</v>
      </c>
      <c r="F55" s="275" t="n">
        <v>176.23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2">
      <c r="A56" s="384" t="n">
        <v>26</v>
      </c>
      <c r="B56" s="274" t="inlineStr">
        <is>
          <t>24.3.01.01-0002</t>
        </is>
      </c>
      <c r="C56" s="275" t="inlineStr">
        <is>
          <t>Трубка полихлорвиниловая</t>
        </is>
      </c>
      <c r="D56" s="274" t="inlineStr">
        <is>
          <t>кг</t>
        </is>
      </c>
      <c r="E56" s="474" t="n">
        <v>0.056</v>
      </c>
      <c r="F56" s="275" t="n">
        <v>35.71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2">
      <c r="A57" s="384" t="n">
        <v>27</v>
      </c>
      <c r="B57" s="274" t="inlineStr">
        <is>
          <t>01.7.07.20-0002</t>
        </is>
      </c>
      <c r="C57" s="275" t="inlineStr">
        <is>
          <t>Тальк молотый, сорт I</t>
        </is>
      </c>
      <c r="D57" s="274" t="inlineStr">
        <is>
          <t>т</t>
        </is>
      </c>
      <c r="E57" s="474" t="n">
        <v>0.00105</v>
      </c>
      <c r="F57" s="275" t="n">
        <v>1819.05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25.5" customFormat="1" customHeight="1" s="322">
      <c r="A58" s="384" t="n">
        <v>28</v>
      </c>
      <c r="B58" s="274" t="inlineStr">
        <is>
          <t>01.7.11.07-0034</t>
        </is>
      </c>
      <c r="C58" s="275" t="inlineStr">
        <is>
          <t>Электроды сварочные Э42А, диаметр 4 мм</t>
        </is>
      </c>
      <c r="D58" s="274" t="inlineStr">
        <is>
          <t>кг</t>
        </is>
      </c>
      <c r="E58" s="474" t="n">
        <v>0.15</v>
      </c>
      <c r="F58" s="275" t="n">
        <v>10.6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25.5" customFormat="1" customHeight="1" s="322">
      <c r="A59" s="384" t="n">
        <v>29</v>
      </c>
      <c r="B59" s="274" t="inlineStr">
        <is>
          <t>01.3.01.07-0009</t>
        </is>
      </c>
      <c r="C59" s="275" t="inlineStr">
        <is>
          <t>Спирт этиловый ректификованный технический, сорт I</t>
        </is>
      </c>
      <c r="D59" s="274" t="inlineStr">
        <is>
          <t>кг</t>
        </is>
      </c>
      <c r="E59" s="474" t="n">
        <v>0.0406</v>
      </c>
      <c r="F59" s="275" t="n">
        <v>38.92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14.25" customFormat="1" customHeight="1" s="322">
      <c r="A60" s="384" t="n">
        <v>30</v>
      </c>
      <c r="B60" s="274" t="inlineStr">
        <is>
          <t>01.7.15.03-0042</t>
        </is>
      </c>
      <c r="C60" s="275" t="inlineStr">
        <is>
          <t>Болты с гайками и шайбами строительные</t>
        </is>
      </c>
      <c r="D60" s="274" t="inlineStr">
        <is>
          <t>кг</t>
        </is>
      </c>
      <c r="E60" s="474" t="n">
        <v>0.17</v>
      </c>
      <c r="F60" s="275" t="n">
        <v>9.06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2">
      <c r="A61" s="384" t="n">
        <v>31</v>
      </c>
      <c r="B61" s="274" t="inlineStr">
        <is>
          <t>14.4.02.09-0001</t>
        </is>
      </c>
      <c r="C61" s="275" t="inlineStr">
        <is>
          <t>Краска</t>
        </is>
      </c>
      <c r="D61" s="274" t="inlineStr">
        <is>
          <t>кг</t>
        </is>
      </c>
      <c r="E61" s="474" t="n">
        <v>0.05</v>
      </c>
      <c r="F61" s="275" t="n">
        <v>28.6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2">
      <c r="A62" s="384" t="n">
        <v>32</v>
      </c>
      <c r="B62" s="274" t="inlineStr">
        <is>
          <t>01.3.05.17-0002</t>
        </is>
      </c>
      <c r="C62" s="275" t="inlineStr">
        <is>
          <t>Канифоль сосновая</t>
        </is>
      </c>
      <c r="D62" s="274" t="inlineStr">
        <is>
          <t>кг</t>
        </is>
      </c>
      <c r="E62" s="474" t="n">
        <v>0.0266</v>
      </c>
      <c r="F62" s="275" t="n">
        <v>27.82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2">
      <c r="A63" s="384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4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2">
      <c r="A64" s="384" t="n"/>
      <c r="B64" s="384" t="n"/>
      <c r="C64" s="308" t="inlineStr">
        <is>
          <t>Итого прочие материалы</t>
        </is>
      </c>
      <c r="D64" s="384" t="n"/>
      <c r="E64" s="473" t="n"/>
      <c r="F64" s="386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2">
      <c r="A65" s="384" t="n"/>
      <c r="B65" s="384" t="n"/>
      <c r="C65" s="309" t="inlineStr">
        <is>
          <t>Итого по разделу «Материалы»</t>
        </is>
      </c>
      <c r="D65" s="384" t="n"/>
      <c r="E65" s="385" t="n"/>
      <c r="F65" s="386" t="n"/>
      <c r="G65" s="196">
        <f>G39+G64</f>
        <v/>
      </c>
      <c r="H65" s="387">
        <f>G65/$G$65</f>
        <v/>
      </c>
      <c r="I65" s="196" t="n"/>
      <c r="J65" s="196">
        <f>J39+J64</f>
        <v/>
      </c>
    </row>
    <row r="66" ht="14.25" customFormat="1" customHeight="1" s="322">
      <c r="A66" s="384" t="n"/>
      <c r="B66" s="384" t="n"/>
      <c r="C66" s="308" t="inlineStr">
        <is>
          <t>ИТОГО ПО РМ</t>
        </is>
      </c>
      <c r="D66" s="384" t="n"/>
      <c r="E66" s="385" t="n"/>
      <c r="F66" s="386" t="n"/>
      <c r="G66" s="196">
        <f>G14+G26+G65</f>
        <v/>
      </c>
      <c r="H66" s="387" t="n"/>
      <c r="I66" s="196" t="n"/>
      <c r="J66" s="196">
        <f>J14+J26+J65</f>
        <v/>
      </c>
    </row>
    <row r="67" ht="14.25" customFormat="1" customHeight="1" s="322">
      <c r="A67" s="384" t="n"/>
      <c r="B67" s="384" t="n"/>
      <c r="C67" s="308" t="inlineStr">
        <is>
          <t>Накладные расходы</t>
        </is>
      </c>
      <c r="D67" s="298">
        <f>ROUND(G67/(G$16+$G$14),2)</f>
        <v/>
      </c>
      <c r="E67" s="385" t="n"/>
      <c r="F67" s="386" t="n"/>
      <c r="G67" s="196" t="n">
        <v>1745.52</v>
      </c>
      <c r="H67" s="387" t="n"/>
      <c r="I67" s="196" t="n"/>
      <c r="J67" s="196">
        <f>ROUND(D67*(J14+J16),2)</f>
        <v/>
      </c>
    </row>
    <row r="68" ht="14.25" customFormat="1" customHeight="1" s="322">
      <c r="A68" s="384" t="n"/>
      <c r="B68" s="384" t="n"/>
      <c r="C68" s="308" t="inlineStr">
        <is>
          <t>Сметная прибыль</t>
        </is>
      </c>
      <c r="D68" s="298">
        <f>ROUND(G68/(G$14+G$16),2)</f>
        <v/>
      </c>
      <c r="E68" s="385" t="n"/>
      <c r="F68" s="386" t="n"/>
      <c r="G68" s="196" t="n">
        <v>916.08</v>
      </c>
      <c r="H68" s="387" t="n"/>
      <c r="I68" s="196" t="n"/>
      <c r="J68" s="196">
        <f>ROUND(D68*(J14+J16),2)</f>
        <v/>
      </c>
    </row>
    <row r="69" ht="14.25" customFormat="1" customHeight="1" s="322">
      <c r="A69" s="384" t="n"/>
      <c r="B69" s="384" t="n"/>
      <c r="C69" s="308" t="inlineStr">
        <is>
          <t>Итого СМР (с НР и СП)</t>
        </is>
      </c>
      <c r="D69" s="384" t="n"/>
      <c r="E69" s="385" t="n"/>
      <c r="F69" s="386" t="n"/>
      <c r="G69" s="196">
        <f>G14+G26+G65+G67+G68</f>
        <v/>
      </c>
      <c r="H69" s="387" t="n"/>
      <c r="I69" s="196" t="n"/>
      <c r="J69" s="196">
        <f>J14+J26+J65+J67+J68</f>
        <v/>
      </c>
    </row>
    <row r="70" ht="14.25" customFormat="1" customHeight="1" s="322">
      <c r="A70" s="384" t="n"/>
      <c r="B70" s="384" t="n"/>
      <c r="C70" s="308" t="inlineStr">
        <is>
          <t>ВСЕГО СМР + ОБОРУДОВАНИЕ</t>
        </is>
      </c>
      <c r="D70" s="384" t="n"/>
      <c r="E70" s="385" t="n"/>
      <c r="F70" s="386" t="n"/>
      <c r="G70" s="196">
        <f>G69+G32</f>
        <v/>
      </c>
      <c r="H70" s="387" t="n"/>
      <c r="I70" s="196" t="n"/>
      <c r="J70" s="196">
        <f>J69+J32</f>
        <v/>
      </c>
    </row>
    <row r="71" ht="34.5" customFormat="1" customHeight="1" s="322">
      <c r="A71" s="384" t="n"/>
      <c r="B71" s="384" t="n"/>
      <c r="C71" s="308" t="inlineStr">
        <is>
          <t>ИТОГО ПОКАЗАТЕЛЬ НА ЕД. ИЗМ.</t>
        </is>
      </c>
      <c r="D71" s="384" t="inlineStr">
        <is>
          <t>1 ед.</t>
        </is>
      </c>
      <c r="E71" s="479" t="n">
        <v>1</v>
      </c>
      <c r="F71" s="386" t="n"/>
      <c r="G71" s="196">
        <f>G70/E71</f>
        <v/>
      </c>
      <c r="H71" s="387" t="n"/>
      <c r="I71" s="196" t="n"/>
      <c r="J71" s="196">
        <f>J70/E71</f>
        <v/>
      </c>
    </row>
    <row r="73" ht="14.25" customFormat="1" customHeight="1" s="322">
      <c r="A73" s="323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2">
      <c r="A74" s="321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2">
      <c r="A75" s="323" t="n"/>
      <c r="B75" s="296" t="n"/>
      <c r="C75" s="299" t="n"/>
      <c r="D75" s="299" t="n"/>
      <c r="E75" s="299" t="n"/>
      <c r="F75" s="299" t="n"/>
    </row>
    <row r="76" ht="14.25" customFormat="1" customHeight="1" s="322">
      <c r="A76" s="323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2">
      <c r="A77" s="321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7" t="inlineStr">
        <is>
          <t>Приложение №6</t>
        </is>
      </c>
    </row>
    <row r="2" ht="21.75" customHeight="1" s="324">
      <c r="A2" s="397" t="n"/>
      <c r="B2" s="397" t="n"/>
      <c r="C2" s="397" t="n"/>
      <c r="D2" s="397" t="n"/>
      <c r="E2" s="397" t="n"/>
      <c r="F2" s="397" t="n"/>
      <c r="G2" s="397" t="n"/>
    </row>
    <row r="3">
      <c r="A3" s="348" t="inlineStr">
        <is>
          <t>Расчет стоимости оборудования</t>
        </is>
      </c>
    </row>
    <row r="4" ht="25.5" customHeight="1" s="324">
      <c r="A4" s="351" t="inlineStr">
        <is>
          <t>Наименование разрабатываемого показателя УНЦ — Шкаф ПДС насосной станции пожаротушения</t>
        </is>
      </c>
    </row>
    <row r="5">
      <c r="A5" s="323" t="n"/>
      <c r="B5" s="323" t="n"/>
      <c r="C5" s="323" t="n"/>
      <c r="D5" s="323" t="n"/>
      <c r="E5" s="323" t="n"/>
      <c r="F5" s="323" t="n"/>
      <c r="G5" s="323" t="n"/>
    </row>
    <row r="6" ht="30" customHeight="1" s="324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4">
      <c r="A9" s="308" t="n"/>
      <c r="B9" s="38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4">
      <c r="A10" s="384" t="n"/>
      <c r="B10" s="369" t="n"/>
      <c r="C10" s="383" t="inlineStr">
        <is>
          <t>ИТОГО ИНЖЕНЕРНОЕ ОБОРУДОВАНИЕ</t>
        </is>
      </c>
      <c r="D10" s="369" t="n"/>
      <c r="E10" s="143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46.9" customHeight="1" s="324">
      <c r="A12" s="384" t="n">
        <v>1</v>
      </c>
      <c r="B12" s="272">
        <f>'Прил.5 Расчет СМР и ОБ'!B29</f>
        <v/>
      </c>
      <c r="C12" s="383">
        <f>'Прил.5 Расчет СМР и ОБ'!C29</f>
        <v/>
      </c>
      <c r="D12" s="384">
        <f>'Прил.5 Расчет СМР и ОБ'!D29</f>
        <v/>
      </c>
      <c r="E12" s="473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4">
      <c r="A13" s="384" t="n"/>
      <c r="B13" s="383" t="n"/>
      <c r="C13" s="383" t="inlineStr">
        <is>
          <t>ИТОГО ТЕХНОЛОГИЧЕСКОЕ ОБОРУДОВАНИЕ</t>
        </is>
      </c>
      <c r="D13" s="383" t="n"/>
      <c r="E13" s="401" t="n"/>
      <c r="F13" s="386" t="n"/>
      <c r="G13" s="196">
        <f>SUM(G12:G12)</f>
        <v/>
      </c>
    </row>
    <row r="14" ht="19.5" customHeight="1" s="324">
      <c r="A14" s="384" t="n"/>
      <c r="B14" s="383" t="n"/>
      <c r="C14" s="383" t="inlineStr">
        <is>
          <t>Всего по разделу «Оборудование»</t>
        </is>
      </c>
      <c r="D14" s="383" t="n"/>
      <c r="E14" s="401" t="n"/>
      <c r="F14" s="386" t="n"/>
      <c r="G14" s="196">
        <f>G10+G13</f>
        <v/>
      </c>
    </row>
    <row r="15">
      <c r="A15" s="320" t="n"/>
      <c r="B15" s="146" t="n"/>
      <c r="C15" s="320" t="n"/>
      <c r="D15" s="320" t="n"/>
      <c r="E15" s="320" t="n"/>
      <c r="F15" s="320" t="n"/>
      <c r="G15" s="320" t="n"/>
    </row>
    <row r="16">
      <c r="A16" s="323" t="inlineStr">
        <is>
          <t>Составил ______________________    А.Р. Маркова</t>
        </is>
      </c>
      <c r="B16" s="322" t="n"/>
      <c r="C16" s="322" t="n"/>
      <c r="D16" s="320" t="n"/>
      <c r="E16" s="320" t="n"/>
      <c r="F16" s="320" t="n"/>
      <c r="G16" s="320" t="n"/>
    </row>
    <row r="17">
      <c r="A17" s="321" t="inlineStr">
        <is>
          <t xml:space="preserve">                         (подпись, инициалы, фамилия)</t>
        </is>
      </c>
      <c r="B17" s="322" t="n"/>
      <c r="C17" s="322" t="n"/>
      <c r="D17" s="320" t="n"/>
      <c r="E17" s="320" t="n"/>
      <c r="F17" s="320" t="n"/>
      <c r="G17" s="320" t="n"/>
    </row>
    <row r="18">
      <c r="A18" s="323" t="n"/>
      <c r="B18" s="322" t="n"/>
      <c r="C18" s="322" t="n"/>
      <c r="D18" s="320" t="n"/>
      <c r="E18" s="320" t="n"/>
      <c r="F18" s="320" t="n"/>
      <c r="G18" s="320" t="n"/>
    </row>
    <row r="19">
      <c r="A19" s="323" t="inlineStr">
        <is>
          <t>Проверил ______________________        А.В. Костянецкая</t>
        </is>
      </c>
      <c r="B19" s="322" t="n"/>
      <c r="C19" s="322" t="n"/>
      <c r="D19" s="320" t="n"/>
      <c r="E19" s="320" t="n"/>
      <c r="F19" s="320" t="n"/>
      <c r="G19" s="320" t="n"/>
    </row>
    <row r="20">
      <c r="A20" s="321" t="inlineStr">
        <is>
          <t xml:space="preserve">                        (подпись, инициалы, фамилия)</t>
        </is>
      </c>
      <c r="B20" s="322" t="n"/>
      <c r="C20" s="322" t="n"/>
      <c r="D20" s="320" t="n"/>
      <c r="E20" s="320" t="n"/>
      <c r="F20" s="320" t="n"/>
      <c r="G20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D15" sqref="D15"/>
    </sheetView>
  </sheetViews>
  <sheetFormatPr baseColWidth="8" defaultRowHeight="15"/>
  <cols>
    <col width="12.7109375" customWidth="1" style="324" min="1" max="1"/>
    <col width="16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5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48.75" customHeight="1" s="324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4">
      <c r="A10" s="361" t="n">
        <v>1</v>
      </c>
      <c r="B10" s="361" t="n">
        <v>2</v>
      </c>
      <c r="C10" s="361" t="n">
        <v>3</v>
      </c>
      <c r="D10" s="361" t="n">
        <v>4</v>
      </c>
    </row>
    <row r="11" ht="63.75" customHeight="1" s="324">
      <c r="A11" s="361" t="inlineStr">
        <is>
          <t>Д3-07</t>
        </is>
      </c>
      <c r="B11" s="361" t="inlineStr">
        <is>
          <t>УНЦ ШПС</t>
        </is>
      </c>
      <c r="C11" s="318">
        <f>D5</f>
        <v/>
      </c>
      <c r="D11" s="332">
        <f>'Прил.4 РМ'!C41/1000</f>
        <v/>
      </c>
    </row>
    <row r="13">
      <c r="A13" s="323" t="inlineStr">
        <is>
          <t>Составил ______________________    А.Р. Маркова</t>
        </is>
      </c>
      <c r="B13" s="322" t="n"/>
      <c r="C13" s="322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22" t="n"/>
      <c r="C14" s="322" t="n"/>
      <c r="D14" s="320" t="n"/>
    </row>
    <row r="15">
      <c r="A15" s="323" t="n"/>
      <c r="B15" s="322" t="n"/>
      <c r="C15" s="322" t="n"/>
      <c r="D15" s="320" t="n"/>
    </row>
    <row r="16">
      <c r="A16" s="323" t="inlineStr">
        <is>
          <t>Проверил ______________________        А.В. Костянецкая</t>
        </is>
      </c>
      <c r="B16" s="322" t="n"/>
      <c r="C16" s="322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22" t="n"/>
      <c r="C17" s="322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zoomScale="60" zoomScaleNormal="85" workbookViewId="0">
      <selection activeCell="L39" sqref="L39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5" t="inlineStr">
        <is>
          <t>Приложение № 10</t>
        </is>
      </c>
    </row>
    <row r="5" ht="18.75" customHeight="1" s="324">
      <c r="B5" s="167" t="n"/>
    </row>
    <row r="6" ht="15.75" customHeight="1" s="324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4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4">
      <c r="B10" s="361" t="n">
        <v>1</v>
      </c>
      <c r="C10" s="361" t="n">
        <v>2</v>
      </c>
      <c r="D10" s="361" t="n">
        <v>3</v>
      </c>
    </row>
    <row r="11" ht="45" customHeight="1" s="324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4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13.47</v>
      </c>
    </row>
    <row r="13" ht="29.25" customHeight="1" s="324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8.039999999999999</v>
      </c>
    </row>
    <row r="14" ht="30.75" customHeight="1" s="324">
      <c r="B14" s="361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24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4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4">
      <c r="B17" s="361" t="n"/>
      <c r="C17" s="361" t="n"/>
      <c r="D17" s="170" t="n"/>
    </row>
    <row r="18" ht="31.5" customHeight="1" s="324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4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170" t="n">
        <v>0.002</v>
      </c>
    </row>
    <row r="20" ht="24" customHeight="1" s="324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170" t="n">
        <v>0.03</v>
      </c>
    </row>
    <row r="21" ht="18.75" customHeight="1" s="324">
      <c r="B21" s="243" t="n"/>
    </row>
    <row r="23">
      <c r="B23" s="323" t="inlineStr">
        <is>
          <t>Составил ______________________        А.Р. Маркова</t>
        </is>
      </c>
      <c r="C23" s="322" t="n"/>
    </row>
    <row r="24">
      <c r="B24" s="321" t="inlineStr">
        <is>
          <t xml:space="preserve">                         (подпись, инициалы, фамилия)</t>
        </is>
      </c>
      <c r="C24" s="322" t="n"/>
    </row>
    <row r="25">
      <c r="B25" s="323" t="n"/>
      <c r="C25" s="322" t="n"/>
    </row>
    <row r="26">
      <c r="B26" s="323" t="inlineStr">
        <is>
          <t>Проверил ______________________        А.В. Костянецкая</t>
        </is>
      </c>
      <c r="C26" s="322" t="n"/>
    </row>
    <row r="27">
      <c r="B27" s="321" t="inlineStr">
        <is>
          <t xml:space="preserve">                        (подпись, инициалы, фамилия)</t>
        </is>
      </c>
      <c r="C27" s="32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1" t="n"/>
      <c r="D10" s="361" t="n"/>
      <c r="E10" s="480" t="n">
        <v>3.8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81" t="n">
        <v>1.308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8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449" t="inlineStr">
        <is>
          <t>1.7</t>
        </is>
      </c>
      <c r="B13" s="450" t="inlineStr">
        <is>
          <t>Размер средств на оплату труда рабочих-строителей в текущем уровне цен (ФОТр.тек.), руб/чел.-ч</t>
        </is>
      </c>
      <c r="C13" s="451" t="inlineStr">
        <is>
          <t>ФОТр.тек.</t>
        </is>
      </c>
      <c r="D13" s="451" t="inlineStr">
        <is>
          <t>(С1ср/tср*КТ*Т*Кув)*Кинф</t>
        </is>
      </c>
      <c r="E13" s="452">
        <f>((E7*E9/E8)*E11)*E12</f>
        <v/>
      </c>
      <c r="F13" s="4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2025-01-24T11:55:38Z</dcterms:modified>
  <cp:lastModifiedBy>Nikolay Ivanov</cp:lastModifiedBy>
  <cp:lastPrinted>2023-11-24T13:14:13Z</cp:lastPrinted>
</cp:coreProperties>
</file>