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24.6" customHeight="1" s="324">
      <c r="B5" s="366" t="n"/>
    </row>
    <row r="6" ht="18.75" customHeight="1" s="324">
      <c r="B6" s="241" t="n"/>
      <c r="C6" s="241" t="n"/>
      <c r="D6" s="241" t="n"/>
    </row>
    <row r="7" ht="48.6" customHeight="1" s="324">
      <c r="B7" s="365" t="inlineStr">
        <is>
          <t>Наименование разрабатываемого показателя УНЦ - ШПДС 1-3-0 Шкаф с преобразователями дискретных сигналов (контролирует выключатель с трехфазным приводом, количество контролируемых КА с трехфазным приводом – 3)</t>
        </is>
      </c>
    </row>
    <row r="8" ht="31.5" customHeight="1" s="324">
      <c r="B8" s="365" t="inlineStr">
        <is>
          <t>Сопоставимый уровень цен: 4 кв. 2021 г.</t>
        </is>
      </c>
    </row>
    <row r="9" ht="15.75" customHeight="1" s="324">
      <c r="B9" s="365" t="inlineStr">
        <is>
          <t>Единица измерения  — 1 ед.</t>
        </is>
      </c>
    </row>
    <row r="10">
      <c r="B10" s="365" t="n"/>
    </row>
    <row r="11">
      <c r="B11" s="369" t="inlineStr">
        <is>
          <t>№ п/п</t>
        </is>
      </c>
      <c r="C11" s="369" t="inlineStr">
        <is>
          <t>Параметр</t>
        </is>
      </c>
      <c r="D11" s="369" t="inlineStr">
        <is>
          <t xml:space="preserve">Объект-представитель </t>
        </is>
      </c>
      <c r="E11" s="219" t="n"/>
    </row>
    <row r="12" ht="141.75" customHeight="1" s="324">
      <c r="B12" s="369" t="n">
        <v>1</v>
      </c>
      <c r="C12" s="338" t="inlineStr">
        <is>
          <t>Наименование объекта-представителя</t>
        </is>
      </c>
      <c r="D12" s="369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9" t="n">
        <v>2</v>
      </c>
      <c r="C13" s="338" t="inlineStr">
        <is>
          <t>Наименование субъекта Российской Федерации</t>
        </is>
      </c>
      <c r="D13" s="369" t="inlineStr">
        <is>
          <t>Республика Бурятия</t>
        </is>
      </c>
    </row>
    <row r="14">
      <c r="B14" s="369" t="n">
        <v>3</v>
      </c>
      <c r="C14" s="338" t="inlineStr">
        <is>
          <t>Климатический район и подрайон</t>
        </is>
      </c>
      <c r="D14" s="369" t="inlineStr">
        <is>
          <t>IД</t>
        </is>
      </c>
    </row>
    <row r="15">
      <c r="B15" s="369" t="n">
        <v>4</v>
      </c>
      <c r="C15" s="338" t="inlineStr">
        <is>
          <t>Мощность объекта</t>
        </is>
      </c>
      <c r="D15" s="369" t="n">
        <v>1</v>
      </c>
    </row>
    <row r="16" ht="77.45" customHeight="1" s="324">
      <c r="B16" s="369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 xml:space="preserve">ШПДС 1-3-0 </t>
        </is>
      </c>
    </row>
    <row r="17" ht="79.5" customHeight="1" s="324">
      <c r="B17" s="369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9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9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9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4">
      <c r="B25" s="369" t="n">
        <v>10</v>
      </c>
      <c r="C25" s="338" t="inlineStr">
        <is>
          <t>Примечание</t>
        </is>
      </c>
      <c r="D25" s="369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hidden="1" width="8.140625" customWidth="1" style="326" min="11" max="11"/>
    <col width="9.140625" customWidth="1" style="326" min="12" max="12"/>
  </cols>
  <sheetData>
    <row r="3">
      <c r="B3" s="363" t="inlineStr">
        <is>
          <t>Приложение № 2</t>
        </is>
      </c>
      <c r="K3" s="211" t="n"/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34.5" customHeight="1" s="324">
      <c r="B6" s="365">
        <f>'Прил.1 Сравнит табл'!B7:D7</f>
        <v/>
      </c>
    </row>
    <row r="7">
      <c r="B7" s="365">
        <f>'Прил.1 Сравнит табл'!B9:D9</f>
        <v/>
      </c>
    </row>
    <row r="8" ht="18.75" customHeight="1" s="324">
      <c r="B8" s="243" t="n"/>
    </row>
    <row r="9" ht="15.75" customHeight="1" s="324"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4">
      <c r="B10" s="459" t="n"/>
      <c r="C10" s="459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4">
      <c r="B11" s="460" t="n"/>
      <c r="C11" s="460" t="n"/>
      <c r="D11" s="460" t="n"/>
      <c r="E11" s="460" t="n"/>
      <c r="F11" s="370" t="inlineStr">
        <is>
          <t>Строительные работы</t>
        </is>
      </c>
      <c r="G11" s="370" t="inlineStr">
        <is>
          <t>Монтажные работы</t>
        </is>
      </c>
      <c r="H11" s="370" t="inlineStr">
        <is>
          <t>Оборудование</t>
        </is>
      </c>
      <c r="I11" s="370" t="inlineStr">
        <is>
          <t>Прочее</t>
        </is>
      </c>
      <c r="J11" s="370" t="inlineStr">
        <is>
          <t>Всего</t>
        </is>
      </c>
    </row>
    <row r="12" ht="110.25" customHeight="1" s="324">
      <c r="B12" s="342" t="n"/>
      <c r="C12" s="342" t="inlineStr">
        <is>
          <t>ШПДС 1-3-0 Шкаф с преобразователями дискретных сигналов (контролирует выключатель с трехфазным приводом, количество контролируемых КА с трехфазным приводом – 3)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 ht="15" customHeight="1" s="324">
      <c r="B13" s="373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74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8.75" customHeight="1" s="324">
      <c r="A4" s="252" t="n"/>
      <c r="B4" s="252" t="n"/>
      <c r="C4" s="376" t="n"/>
    </row>
    <row r="5">
      <c r="A5" s="365" t="n"/>
    </row>
    <row r="6" ht="33.6" customHeight="1" s="324">
      <c r="A6" s="375" t="inlineStr">
        <is>
          <t>Наименование разрабатываемого показателя УНЦ - ШПДС 1-3-0 Шкаф с преобразователями дискретных сигналов (контролирует выключатель с трехфазным приводом, количество контролируемых КА с трехфазным приводом – 3)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9" t="inlineStr">
        <is>
          <t>п/п</t>
        </is>
      </c>
      <c r="B9" s="369" t="inlineStr">
        <is>
          <t>№ЛСР</t>
        </is>
      </c>
      <c r="C9" s="369" t="inlineStr">
        <is>
          <t>Код ресурса</t>
        </is>
      </c>
      <c r="D9" s="369" t="inlineStr">
        <is>
          <t>Наименование ресурса</t>
        </is>
      </c>
      <c r="E9" s="369" t="inlineStr">
        <is>
          <t>Ед. изм.</t>
        </is>
      </c>
      <c r="F9" s="369" t="inlineStr">
        <is>
          <t>Кол-во единиц по данным объекта-представителя</t>
        </is>
      </c>
      <c r="G9" s="369" t="inlineStr">
        <is>
          <t>Сметная стоимость в ценах на 01.01.2000 (руб.)</t>
        </is>
      </c>
      <c r="H9" s="458" t="n"/>
    </row>
    <row r="10" ht="40.5" customHeight="1" s="324">
      <c r="A10" s="460" t="n"/>
      <c r="B10" s="460" t="n"/>
      <c r="C10" s="460" t="n"/>
      <c r="D10" s="460" t="n"/>
      <c r="E10" s="460" t="n"/>
      <c r="F10" s="460" t="n"/>
      <c r="G10" s="369" t="inlineStr">
        <is>
          <t>на ед.изм.</t>
        </is>
      </c>
      <c r="H10" s="369" t="inlineStr">
        <is>
          <t>общая</t>
        </is>
      </c>
    </row>
    <row r="11">
      <c r="A11" s="370" t="n">
        <v>1</v>
      </c>
      <c r="B11" s="370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70" t="n">
        <v>7</v>
      </c>
    </row>
    <row r="12" customFormat="1" s="315">
      <c r="A12" s="381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185.888</v>
      </c>
      <c r="G12" s="286" t="n"/>
      <c r="H12" s="468">
        <f>SUM(H13:H16)</f>
        <v/>
      </c>
    </row>
    <row r="13">
      <c r="A13" s="410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69" t="n"/>
    </row>
    <row r="14">
      <c r="A14" s="410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9" t="n"/>
    </row>
    <row r="15">
      <c r="A15" s="410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69" t="n"/>
    </row>
    <row r="16">
      <c r="A16" s="410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77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10" t="n">
        <v>5</v>
      </c>
      <c r="B18" s="382" t="n"/>
      <c r="C18" s="261" t="n">
        <v>2</v>
      </c>
      <c r="D18" s="262" t="inlineStr">
        <is>
          <t>Затраты труда машинистов(справочно)</t>
        </is>
      </c>
      <c r="E18" s="410" t="inlineStr">
        <is>
          <t>чел.-ч</t>
        </is>
      </c>
      <c r="F18" s="410" t="n">
        <v>6.8</v>
      </c>
      <c r="G18" s="244" t="n"/>
      <c r="H18" s="265" t="n">
        <v>85.34999999999999</v>
      </c>
    </row>
    <row r="19" customFormat="1" s="315">
      <c r="A19" s="378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 ht="25.5" customHeight="1" s="324">
      <c r="A20" s="410" t="n">
        <v>6</v>
      </c>
      <c r="B20" s="382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10" t="n">
        <v>7</v>
      </c>
      <c r="B21" s="382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10" t="n">
        <v>8</v>
      </c>
      <c r="B22" s="382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10" t="n">
        <v>9</v>
      </c>
      <c r="B23" s="382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10" t="n">
        <v>10</v>
      </c>
      <c r="B24" s="382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77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45.6" customHeight="1" s="324">
      <c r="A26" s="245" t="n">
        <v>11</v>
      </c>
      <c r="B26" s="377" t="n"/>
      <c r="C26" s="277" t="inlineStr">
        <is>
          <t>Прайс из СД ОП</t>
        </is>
      </c>
      <c r="D26" s="288" t="inlineStr">
        <is>
          <t>ШПДС 1-3-0 Шкаф с преобразователями дискретных сигналов (контролирует выключатель с трехфазным приводом, количество контролируемых КА с трехфазным приводом – 3)</t>
        </is>
      </c>
      <c r="E26" s="277" t="inlineStr">
        <is>
          <t>шт</t>
        </is>
      </c>
      <c r="F26" s="277" t="n">
        <v>1</v>
      </c>
      <c r="G26" s="293" t="n">
        <v>503194.89</v>
      </c>
      <c r="H26" s="269">
        <f>ROUND(F26*G26,2)</f>
        <v/>
      </c>
      <c r="I26" s="247" t="n"/>
    </row>
    <row r="27">
      <c r="A27" s="378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SUM(H28:H53)</f>
        <v/>
      </c>
    </row>
    <row r="28">
      <c r="A28" s="245" t="n">
        <v>12</v>
      </c>
      <c r="B28" s="382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82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4">
      <c r="A30" s="245" t="n">
        <v>14</v>
      </c>
      <c r="B30" s="382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4">
      <c r="A31" s="245" t="n">
        <v>15</v>
      </c>
      <c r="B31" s="382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4">
      <c r="A32" s="245" t="n">
        <v>16</v>
      </c>
      <c r="B32" s="382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4">
      <c r="A33" s="245" t="n">
        <v>17</v>
      </c>
      <c r="B33" s="382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82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82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82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4">
      <c r="A37" s="245" t="n">
        <v>21</v>
      </c>
      <c r="B37" s="382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82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82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4">
      <c r="A40" s="245" t="n">
        <v>24</v>
      </c>
      <c r="B40" s="382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82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4">
      <c r="A42" s="245" t="n">
        <v>26</v>
      </c>
      <c r="B42" s="382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82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82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82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82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82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82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82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82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82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82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82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405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56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.6" customHeight="1" s="324">
      <c r="B7" s="384" t="inlineStr">
        <is>
          <t>Наименование разрабатываемого показателя УНЦ — ШПДС 1-3-0 Шкаф с преобразователями дискретных сигналов (контролирует выключатель с трехфазным приводом, количество контролируемых КА с трехфазным приводом – 3)</t>
        </is>
      </c>
    </row>
    <row r="8">
      <c r="B8" s="385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92" t="inlineStr">
        <is>
          <t>Наименование</t>
        </is>
      </c>
      <c r="C10" s="392" t="inlineStr">
        <is>
          <t>Сметная стоимость в ценах на 01.01.2023
 (руб.)</t>
        </is>
      </c>
      <c r="D10" s="392" t="inlineStr">
        <is>
          <t>Удельный вес, 
(в СМР)</t>
        </is>
      </c>
      <c r="E10" s="392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353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52" t="n"/>
      <c r="E34" s="354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52" t="n"/>
      <c r="E35" s="354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52" t="n"/>
      <c r="E36" s="354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352" t="n"/>
      <c r="E37" s="354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52" t="n"/>
      <c r="E38" s="354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352" t="n"/>
      <c r="E39" s="354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352" t="n"/>
      <c r="E40" s="354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352" t="n"/>
      <c r="E41" s="355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85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6" zoomScale="85" workbookViewId="0">
      <selection activeCell="C73" sqref="C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400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56" t="inlineStr">
        <is>
          <t>Расчет стоимости СМР и оборудования</t>
        </is>
      </c>
    </row>
    <row r="5" ht="12.75" customFormat="1" customHeight="1" s="323">
      <c r="A5" s="356" t="n"/>
      <c r="B5" s="356" t="n"/>
      <c r="C5" s="306" t="n"/>
      <c r="D5" s="356" t="n"/>
      <c r="E5" s="356" t="n"/>
      <c r="F5" s="356" t="n"/>
      <c r="G5" s="356" t="n"/>
      <c r="H5" s="356" t="n"/>
      <c r="I5" s="356" t="n"/>
      <c r="J5" s="356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404" t="n"/>
      <c r="C6" s="200" t="n"/>
      <c r="D6" s="404" t="inlineStr">
        <is>
          <t>ШПДС 1-3-0 Шкаф с преобразователями дискретных сигналов (контролирует выключатель с трехфазным приводом, количество контролируемых КА с трехфазным приводом – 3)</t>
        </is>
      </c>
    </row>
    <row r="7" ht="12.75" customFormat="1" customHeight="1" s="323">
      <c r="A7" s="359" t="inlineStr">
        <is>
          <t>Единица измерения  — 1 ед.</t>
        </is>
      </c>
      <c r="I7" s="384" t="n"/>
      <c r="J7" s="384" t="n"/>
    </row>
    <row r="8" ht="13.5" customFormat="1" customHeight="1" s="323">
      <c r="A8" s="359" t="n"/>
    </row>
    <row r="9" ht="27" customHeight="1" s="324">
      <c r="A9" s="392" t="inlineStr">
        <is>
          <t>№ пп.</t>
        </is>
      </c>
      <c r="B9" s="392" t="inlineStr">
        <is>
          <t>Код ресурса</t>
        </is>
      </c>
      <c r="C9" s="392" t="inlineStr">
        <is>
          <t>Наименование</t>
        </is>
      </c>
      <c r="D9" s="392" t="inlineStr">
        <is>
          <t>Ед. изм.</t>
        </is>
      </c>
      <c r="E9" s="392" t="inlineStr">
        <is>
          <t>Кол-во единиц по проектным данным</t>
        </is>
      </c>
      <c r="F9" s="392" t="inlineStr">
        <is>
          <t>Сметная стоимость в ценах на 01.01.2000 (руб.)</t>
        </is>
      </c>
      <c r="G9" s="458" t="n"/>
      <c r="H9" s="392" t="inlineStr">
        <is>
          <t>Удельный вес, %</t>
        </is>
      </c>
      <c r="I9" s="392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4">
      <c r="A10" s="460" t="n"/>
      <c r="B10" s="460" t="n"/>
      <c r="C10" s="460" t="n"/>
      <c r="D10" s="460" t="n"/>
      <c r="E10" s="460" t="n"/>
      <c r="F10" s="392" t="inlineStr">
        <is>
          <t>на ед. изм.</t>
        </is>
      </c>
      <c r="G10" s="392" t="inlineStr">
        <is>
          <t>общая</t>
        </is>
      </c>
      <c r="H10" s="460" t="n"/>
      <c r="I10" s="392" t="inlineStr">
        <is>
          <t>на ед. изм.</t>
        </is>
      </c>
      <c r="J10" s="392" t="inlineStr">
        <is>
          <t>общая</t>
        </is>
      </c>
      <c r="K10" s="322" t="n"/>
      <c r="L10" s="322" t="n"/>
      <c r="M10" s="322" t="n"/>
      <c r="N10" s="322" t="n"/>
    </row>
    <row r="11" s="324">
      <c r="A11" s="392" t="n">
        <v>1</v>
      </c>
      <c r="B11" s="392" t="n">
        <v>2</v>
      </c>
      <c r="C11" s="308" t="n">
        <v>3</v>
      </c>
      <c r="D11" s="392" t="n">
        <v>4</v>
      </c>
      <c r="E11" s="392" t="n">
        <v>5</v>
      </c>
      <c r="F11" s="392" t="n">
        <v>6</v>
      </c>
      <c r="G11" s="392" t="n">
        <v>7</v>
      </c>
      <c r="H11" s="392" t="n">
        <v>8</v>
      </c>
      <c r="I11" s="387" t="n">
        <v>9</v>
      </c>
      <c r="J11" s="387" t="n">
        <v>10</v>
      </c>
      <c r="K11" s="322" t="n"/>
      <c r="L11" s="322" t="n"/>
      <c r="M11" s="322" t="n"/>
      <c r="N11" s="322" t="n"/>
    </row>
    <row r="12">
      <c r="A12" s="392" t="n"/>
      <c r="B12" s="377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4">
      <c r="A13" s="392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92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92" t="n"/>
      <c r="B14" s="392" t="n"/>
      <c r="C14" s="309" t="inlineStr">
        <is>
          <t>Итого по разделу "Затраты труда рабочих-строителей"</t>
        </is>
      </c>
      <c r="D14" s="392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95" t="n">
        <v>1</v>
      </c>
      <c r="I14" s="190" t="n"/>
      <c r="J14" s="196">
        <f>SUM(J13:J13)</f>
        <v/>
      </c>
    </row>
    <row r="15" ht="14.25" customFormat="1" customHeight="1" s="322">
      <c r="A15" s="392" t="n"/>
      <c r="B15" s="391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92" t="n">
        <v>2</v>
      </c>
      <c r="B16" s="392" t="n">
        <v>2</v>
      </c>
      <c r="C16" s="308" t="inlineStr">
        <is>
          <t>Затраты труда машинистов</t>
        </is>
      </c>
      <c r="D16" s="392" t="inlineStr">
        <is>
          <t>чел.-ч.</t>
        </is>
      </c>
      <c r="E16" s="472" t="n">
        <v>6.8</v>
      </c>
      <c r="F16" s="196">
        <f>G16/E16</f>
        <v/>
      </c>
      <c r="G16" s="196">
        <f>Прил.3!H17</f>
        <v/>
      </c>
      <c r="H16" s="395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92" t="n"/>
      <c r="B17" s="377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92" t="n"/>
      <c r="B18" s="391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92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92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92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92" t="n"/>
      <c r="B22" s="392" t="n"/>
      <c r="C22" s="308" t="inlineStr">
        <is>
          <t>Итого основные машины и механизмы</t>
        </is>
      </c>
      <c r="D22" s="392" t="n"/>
      <c r="E22" s="472" t="n"/>
      <c r="F22" s="196" t="n"/>
      <c r="G22" s="196">
        <f>SUM(G19:G21)</f>
        <v/>
      </c>
      <c r="H22" s="395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92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92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92" t="n"/>
      <c r="B25" s="392" t="n"/>
      <c r="C25" s="308" t="inlineStr">
        <is>
          <t>Итого прочие машины и механизмы</t>
        </is>
      </c>
      <c r="D25" s="392" t="n"/>
      <c r="E25" s="393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92" t="n"/>
      <c r="B26" s="392" t="n"/>
      <c r="C26" s="309" t="inlineStr">
        <is>
          <t>Итого по разделу «Машины и механизмы»</t>
        </is>
      </c>
      <c r="D26" s="392" t="n"/>
      <c r="E26" s="393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92" t="n"/>
      <c r="B27" s="377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92" t="n"/>
      <c r="B28" s="391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75.59999999999999" customFormat="1" customHeight="1" s="322">
      <c r="A29" s="392" t="n">
        <v>8</v>
      </c>
      <c r="B29" s="392" t="inlineStr">
        <is>
          <t>БЦ.34.25</t>
        </is>
      </c>
      <c r="C29" s="308" t="inlineStr">
        <is>
          <t>ШПДС 1-3-0 Шкаф с преобразователями дискретных сигналов (контролирует выключатель с трехфазным приводом, количество контролируемых КА с трехфазным приводом – 3)</t>
        </is>
      </c>
      <c r="D29" s="392" t="inlineStr">
        <is>
          <t>шт</t>
        </is>
      </c>
      <c r="E29" s="472" t="n">
        <v>1</v>
      </c>
      <c r="F29" s="409">
        <f>ROUND(I29/Прил.10!$D$14,2)</f>
        <v/>
      </c>
      <c r="G29" s="196">
        <f>ROUND(E29*F29,2)</f>
        <v/>
      </c>
      <c r="H29" s="198">
        <f>G29/$G$32</f>
        <v/>
      </c>
      <c r="I29" s="267" t="n">
        <v>3150000</v>
      </c>
      <c r="J29" s="196">
        <f>ROUND(I29*E29,2)</f>
        <v/>
      </c>
    </row>
    <row r="30">
      <c r="A30" s="392" t="n"/>
      <c r="B30" s="392" t="n"/>
      <c r="C30" s="308" t="inlineStr">
        <is>
          <t>Итого основное оборудование</t>
        </is>
      </c>
      <c r="D30" s="392" t="n"/>
      <c r="E30" s="472" t="n"/>
      <c r="F30" s="394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92" t="n"/>
      <c r="B31" s="392" t="n"/>
      <c r="C31" s="308" t="inlineStr">
        <is>
          <t>Итого прочее оборудование</t>
        </is>
      </c>
      <c r="D31" s="273" t="n"/>
      <c r="E31" s="472" t="n"/>
      <c r="F31" s="394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92" t="n"/>
      <c r="B32" s="392" t="n"/>
      <c r="C32" s="309" t="inlineStr">
        <is>
          <t>Итого по разделу «Оборудование»</t>
        </is>
      </c>
      <c r="D32" s="392" t="n"/>
      <c r="E32" s="393" t="n"/>
      <c r="F32" s="394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92" t="n"/>
      <c r="B33" s="392" t="n"/>
      <c r="C33" s="308" t="inlineStr">
        <is>
          <t>в том числе технологическое оборудование</t>
        </is>
      </c>
      <c r="D33" s="392" t="n"/>
      <c r="E33" s="472" t="n"/>
      <c r="F33" s="394" t="n"/>
      <c r="G33" s="196">
        <f>'Прил.6 Расчет ОБ'!G13</f>
        <v/>
      </c>
      <c r="H33" s="395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92" t="n"/>
      <c r="B34" s="377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87" t="n"/>
      <c r="B35" s="386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2">
      <c r="A36" s="392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2">
      <c r="A37" s="392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6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2">
      <c r="A38" s="392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6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2">
      <c r="A39" s="392" t="n"/>
      <c r="B39" s="204" t="n"/>
      <c r="C39" s="310" t="inlineStr">
        <is>
          <t>Итого основные материалы</t>
        </is>
      </c>
      <c r="D39" s="403" t="n"/>
      <c r="E39" s="477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2">
      <c r="A40" s="392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3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2">
      <c r="A41" s="392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3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2">
      <c r="A42" s="392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3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2">
      <c r="A43" s="392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3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2">
      <c r="A44" s="392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3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2">
      <c r="A45" s="392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3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2">
      <c r="A46" s="392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3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2">
      <c r="A47" s="392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2">
      <c r="A48" s="392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3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2">
      <c r="A49" s="392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3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2">
      <c r="A50" s="392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3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2">
      <c r="A51" s="392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3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2">
      <c r="A52" s="392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3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2">
      <c r="A53" s="392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2">
      <c r="A54" s="392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3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2">
      <c r="A55" s="392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3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2">
      <c r="A56" s="392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3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2">
      <c r="A57" s="392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3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2">
      <c r="A58" s="392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3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2">
      <c r="A59" s="392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3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2">
      <c r="A60" s="392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3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2">
      <c r="A61" s="392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3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2">
      <c r="A62" s="392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3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2">
      <c r="A63" s="392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3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2">
      <c r="A64" s="392" t="n"/>
      <c r="B64" s="392" t="n"/>
      <c r="C64" s="308" t="inlineStr">
        <is>
          <t>Итого прочие материалы</t>
        </is>
      </c>
      <c r="D64" s="392" t="n"/>
      <c r="E64" s="472" t="n"/>
      <c r="F64" s="394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92" t="n"/>
      <c r="B65" s="392" t="n"/>
      <c r="C65" s="309" t="inlineStr">
        <is>
          <t>Итого по разделу «Материалы»</t>
        </is>
      </c>
      <c r="D65" s="392" t="n"/>
      <c r="E65" s="393" t="n"/>
      <c r="F65" s="394" t="n"/>
      <c r="G65" s="196">
        <f>G39+G64</f>
        <v/>
      </c>
      <c r="H65" s="395">
        <f>G65/$G$65</f>
        <v/>
      </c>
      <c r="I65" s="196" t="n"/>
      <c r="J65" s="196">
        <f>J39+J64</f>
        <v/>
      </c>
    </row>
    <row r="66" ht="14.25" customFormat="1" customHeight="1" s="322">
      <c r="A66" s="392" t="n"/>
      <c r="B66" s="392" t="n"/>
      <c r="C66" s="308" t="inlineStr">
        <is>
          <t>ИТОГО ПО РМ</t>
        </is>
      </c>
      <c r="D66" s="392" t="n"/>
      <c r="E66" s="393" t="n"/>
      <c r="F66" s="394" t="n"/>
      <c r="G66" s="196">
        <f>G14+G26+G65</f>
        <v/>
      </c>
      <c r="H66" s="395" t="n"/>
      <c r="I66" s="196" t="n"/>
      <c r="J66" s="196">
        <f>J14+J26+J65</f>
        <v/>
      </c>
    </row>
    <row r="67" ht="14.25" customFormat="1" customHeight="1" s="322">
      <c r="A67" s="392" t="n"/>
      <c r="B67" s="392" t="n"/>
      <c r="C67" s="308" t="inlineStr">
        <is>
          <t>Накладные расходы</t>
        </is>
      </c>
      <c r="D67" s="298">
        <f>ROUND(G67/(G$16+$G$14),2)</f>
        <v/>
      </c>
      <c r="E67" s="393" t="n"/>
      <c r="F67" s="394" t="n"/>
      <c r="G67" s="196" t="n">
        <v>1772.16</v>
      </c>
      <c r="H67" s="395" t="n"/>
      <c r="I67" s="196" t="n"/>
      <c r="J67" s="196">
        <f>ROUND(D67*(J14+J16),2)</f>
        <v/>
      </c>
    </row>
    <row r="68" ht="14.25" customFormat="1" customHeight="1" s="322">
      <c r="A68" s="392" t="n"/>
      <c r="B68" s="392" t="n"/>
      <c r="C68" s="308" t="inlineStr">
        <is>
          <t>Сметная прибыль</t>
        </is>
      </c>
      <c r="D68" s="298">
        <f>ROUND(G68/(G$14+G$16),2)</f>
        <v/>
      </c>
      <c r="E68" s="393" t="n"/>
      <c r="F68" s="394" t="n"/>
      <c r="G68" s="196" t="n">
        <v>930.08</v>
      </c>
      <c r="H68" s="395" t="n"/>
      <c r="I68" s="196" t="n"/>
      <c r="J68" s="196">
        <f>ROUND(D68*(J14+J16),2)</f>
        <v/>
      </c>
    </row>
    <row r="69" ht="14.25" customFormat="1" customHeight="1" s="322">
      <c r="A69" s="392" t="n"/>
      <c r="B69" s="392" t="n"/>
      <c r="C69" s="308" t="inlineStr">
        <is>
          <t>Итого СМР (с НР и СП)</t>
        </is>
      </c>
      <c r="D69" s="392" t="n"/>
      <c r="E69" s="393" t="n"/>
      <c r="F69" s="394" t="n"/>
      <c r="G69" s="196">
        <f>G14+G26+G65+G67+G68</f>
        <v/>
      </c>
      <c r="H69" s="395" t="n"/>
      <c r="I69" s="196" t="n"/>
      <c r="J69" s="196">
        <f>J14+J26+J65+J67+J68</f>
        <v/>
      </c>
    </row>
    <row r="70" ht="14.25" customFormat="1" customHeight="1" s="322">
      <c r="A70" s="392" t="n"/>
      <c r="B70" s="392" t="n"/>
      <c r="C70" s="308" t="inlineStr">
        <is>
          <t>ВСЕГО СМР + ОБОРУДОВАНИЕ</t>
        </is>
      </c>
      <c r="D70" s="392" t="n"/>
      <c r="E70" s="393" t="n"/>
      <c r="F70" s="394" t="n"/>
      <c r="G70" s="196">
        <f>G69+G32</f>
        <v/>
      </c>
      <c r="H70" s="395" t="n"/>
      <c r="I70" s="196" t="n"/>
      <c r="J70" s="196">
        <f>J69+J32</f>
        <v/>
      </c>
    </row>
    <row r="71" ht="34.5" customFormat="1" customHeight="1" s="322">
      <c r="A71" s="392" t="n"/>
      <c r="B71" s="392" t="n"/>
      <c r="C71" s="308" t="inlineStr">
        <is>
          <t>ИТОГО ПОКАЗАТЕЛЬ НА ЕД. ИЗМ.</t>
        </is>
      </c>
      <c r="D71" s="392" t="inlineStr">
        <is>
          <t>1 ед.</t>
        </is>
      </c>
      <c r="E71" s="478" t="n">
        <v>1</v>
      </c>
      <c r="F71" s="394" t="n"/>
      <c r="G71" s="196">
        <f>G70/E71</f>
        <v/>
      </c>
      <c r="H71" s="395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405" t="inlineStr">
        <is>
          <t>Приложение №6</t>
        </is>
      </c>
    </row>
    <row r="2" ht="21.75" customHeight="1" s="324">
      <c r="A2" s="405" t="n"/>
      <c r="B2" s="405" t="n"/>
      <c r="C2" s="405" t="n"/>
      <c r="D2" s="405" t="n"/>
      <c r="E2" s="405" t="n"/>
      <c r="F2" s="405" t="n"/>
      <c r="G2" s="405" t="n"/>
    </row>
    <row r="3">
      <c r="A3" s="356" t="inlineStr">
        <is>
          <t>Расчет стоимости оборудования</t>
        </is>
      </c>
    </row>
    <row r="4" ht="25.5" customHeight="1" s="324">
      <c r="A4" s="359" t="inlineStr">
        <is>
          <t>Наименование разрабатываемого показателя УНЦ — ШПДС 1-3-0 Шкаф с преобразователями дискретных сигналов (контролирует выключатель с трехфазным приводом, количество контролируемых КА с трехфазным приводом – 3)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10" t="inlineStr">
        <is>
          <t>№ пп.</t>
        </is>
      </c>
      <c r="B6" s="410" t="inlineStr">
        <is>
          <t>Код ресурса</t>
        </is>
      </c>
      <c r="C6" s="410" t="inlineStr">
        <is>
          <t>Наименование</t>
        </is>
      </c>
      <c r="D6" s="410" t="inlineStr">
        <is>
          <t>Ед. изм.</t>
        </is>
      </c>
      <c r="E6" s="392" t="inlineStr">
        <is>
          <t>Кол-во единиц по проектным данным</t>
        </is>
      </c>
      <c r="F6" s="410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92" t="inlineStr">
        <is>
          <t>на ед. изм.</t>
        </is>
      </c>
      <c r="G7" s="392" t="inlineStr">
        <is>
          <t>общая</t>
        </is>
      </c>
    </row>
    <row r="8">
      <c r="A8" s="392" t="n">
        <v>1</v>
      </c>
      <c r="B8" s="392" t="n">
        <v>2</v>
      </c>
      <c r="C8" s="392" t="n">
        <v>3</v>
      </c>
      <c r="D8" s="392" t="n">
        <v>4</v>
      </c>
      <c r="E8" s="392" t="n">
        <v>5</v>
      </c>
      <c r="F8" s="392" t="n">
        <v>6</v>
      </c>
      <c r="G8" s="392" t="n">
        <v>7</v>
      </c>
    </row>
    <row r="9" ht="15" customHeight="1" s="324">
      <c r="A9" s="308" t="n"/>
      <c r="B9" s="391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4">
      <c r="A10" s="392" t="n"/>
      <c r="B10" s="377" t="n"/>
      <c r="C10" s="391" t="inlineStr">
        <is>
          <t>ИТОГО ИНЖЕНЕРНОЕ ОБОРУДОВАНИЕ</t>
        </is>
      </c>
      <c r="D10" s="377" t="n"/>
      <c r="E10" s="143" t="n"/>
      <c r="F10" s="394" t="n"/>
      <c r="G10" s="394" t="n">
        <v>0</v>
      </c>
    </row>
    <row r="11">
      <c r="A11" s="392" t="n"/>
      <c r="B11" s="391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67.15000000000001" customHeight="1" s="324">
      <c r="A12" s="392" t="n">
        <v>1</v>
      </c>
      <c r="B12" s="272">
        <f>'Прил.5 Расчет СМР и ОБ'!B29</f>
        <v/>
      </c>
      <c r="C12" s="391">
        <f>'Прил.5 Расчет СМР и ОБ'!C29</f>
        <v/>
      </c>
      <c r="D12" s="392">
        <f>'Прил.5 Расчет СМР и ОБ'!D29</f>
        <v/>
      </c>
      <c r="E12" s="472">
        <f>'Прил.5 Расчет СМР и ОБ'!E29</f>
        <v/>
      </c>
      <c r="F12" s="409">
        <f>'Прил.5 Расчет СМР и ОБ'!F29</f>
        <v/>
      </c>
      <c r="G12" s="196">
        <f>ROUND(E12*F12,2)</f>
        <v/>
      </c>
    </row>
    <row r="13" ht="25.5" customHeight="1" s="324">
      <c r="A13" s="392" t="n"/>
      <c r="B13" s="391" t="n"/>
      <c r="C13" s="391" t="inlineStr">
        <is>
          <t>ИТОГО ТЕХНОЛОГИЧЕСКОЕ ОБОРУДОВАНИЕ</t>
        </is>
      </c>
      <c r="D13" s="391" t="n"/>
      <c r="E13" s="409" t="n"/>
      <c r="F13" s="394" t="n"/>
      <c r="G13" s="196">
        <f>SUM(G12:G12)</f>
        <v/>
      </c>
    </row>
    <row r="14" ht="19.5" customHeight="1" s="324">
      <c r="A14" s="392" t="n"/>
      <c r="B14" s="391" t="n"/>
      <c r="C14" s="391" t="inlineStr">
        <is>
          <t>Всего по разделу «Оборудование»</t>
        </is>
      </c>
      <c r="D14" s="391" t="n"/>
      <c r="E14" s="409" t="n"/>
      <c r="F14" s="394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11" t="inlineStr">
        <is>
          <t xml:space="preserve">Наименование разрабатываемого показателя УНЦ - </t>
        </is>
      </c>
      <c r="D5" s="411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4">
      <c r="A10" s="369" t="n">
        <v>1</v>
      </c>
      <c r="B10" s="369" t="n">
        <v>2</v>
      </c>
      <c r="C10" s="369" t="n">
        <v>3</v>
      </c>
      <c r="D10" s="369" t="n">
        <v>4</v>
      </c>
    </row>
    <row r="11" ht="114.75" customHeight="1" s="324">
      <c r="A11" s="369" t="inlineStr">
        <is>
          <t>Д3-15</t>
        </is>
      </c>
      <c r="B11" s="369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zoomScale="60" zoomScaleNormal="85" workbookViewId="0">
      <selection activeCell="B42" sqref="B42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63" t="inlineStr">
        <is>
          <t>Приложение № 10</t>
        </is>
      </c>
    </row>
    <row r="5" ht="18.75" customHeight="1" s="324">
      <c r="B5" s="167" t="n"/>
    </row>
    <row r="6" ht="15.75" customHeight="1" s="324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7.25" customHeight="1" s="324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24">
      <c r="B10" s="369" t="n">
        <v>1</v>
      </c>
      <c r="C10" s="369" t="n">
        <v>2</v>
      </c>
      <c r="D10" s="369" t="n">
        <v>3</v>
      </c>
    </row>
    <row r="11" ht="45" customHeight="1" s="324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30.03.2023г. №17106-ИФ/09  прил.1</t>
        </is>
      </c>
      <c r="D11" s="369" t="n">
        <v>44.29</v>
      </c>
    </row>
    <row r="12" ht="29.25" customHeight="1" s="324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30.03.2023г. №17106-ИФ/09  прил.1</t>
        </is>
      </c>
      <c r="D12" s="369" t="n">
        <v>13.47</v>
      </c>
    </row>
    <row r="13" ht="29.25" customHeight="1" s="324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30.03.2023г. №17106-ИФ/09  прил.1</t>
        </is>
      </c>
      <c r="D13" s="369" t="n">
        <v>8.039999999999999</v>
      </c>
    </row>
    <row r="14" ht="30.75" customHeight="1" s="324">
      <c r="B14" s="369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9" t="n">
        <v>6.26</v>
      </c>
    </row>
    <row r="15" ht="89.25" customHeight="1" s="324">
      <c r="B15" s="369" t="inlineStr">
        <is>
          <t>Временные здания и сооружения</t>
        </is>
      </c>
      <c r="C15" s="36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9" t="n"/>
      <c r="C17" s="369" t="n"/>
      <c r="D17" s="170" t="n"/>
    </row>
    <row r="18" ht="31.5" customHeight="1" s="324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70" t="n">
        <v>0.002</v>
      </c>
    </row>
    <row r="20" ht="24" customHeight="1" s="324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9" t="n"/>
      <c r="D10" s="369" t="n"/>
      <c r="E10" s="479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480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81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347" t="inlineStr">
        <is>
          <t>1.7</t>
        </is>
      </c>
      <c r="B13" s="348" t="inlineStr">
        <is>
          <t>Размер средств на оплату труда рабочих-строителей в текущем уровне цен (ФОТр.тек.), руб/чел.-ч</t>
        </is>
      </c>
      <c r="C13" s="349" t="inlineStr">
        <is>
          <t>ФОТр.тек.</t>
        </is>
      </c>
      <c r="D13" s="349" t="inlineStr">
        <is>
          <t>(С1ср/tср*КТ*Т*Кув)*Кинф</t>
        </is>
      </c>
      <c r="E13" s="350">
        <f>((E7*E9/E8)*E11)*E12</f>
        <v/>
      </c>
      <c r="F13" s="3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2025-01-24T11:55:41Z</dcterms:modified>
  <cp:lastModifiedBy>Nikolay Ivanov</cp:lastModifiedBy>
  <cp:lastPrinted>2023-11-24T13:57:07Z</cp:lastPrinted>
</cp:coreProperties>
</file>