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  <numFmt numFmtId="172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1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0" fontId="4" fillId="4" borderId="0" pivotButton="0" quotePrefix="0" xfId="0"/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165" fontId="23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71" fontId="16" fillId="0" borderId="0" pivotButton="0" quotePrefix="0" xfId="0"/>
    <xf numFmtId="0" fontId="18" fillId="0" borderId="0" pivotButton="0" quotePrefix="0" xfId="0"/>
    <xf numFmtId="10" fontId="16" fillId="0" borderId="0" pivotButton="0" quotePrefix="0" xfId="0"/>
    <xf numFmtId="2" fontId="16" fillId="0" borderId="0" pivotButton="0" quotePrefix="0" xfId="0"/>
    <xf numFmtId="172" fontId="16" fillId="0" borderId="0" pivotButton="0" quotePrefix="0" xfId="0"/>
    <xf numFmtId="4" fontId="16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71" fontId="16" fillId="0" borderId="0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E41" sqref="E41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84" t="inlineStr">
        <is>
          <t>Приложение № 1</t>
        </is>
      </c>
    </row>
    <row r="4">
      <c r="B4" s="385" t="inlineStr">
        <is>
          <t>Сравнительная таблица отбора объекта-представителя</t>
        </is>
      </c>
    </row>
    <row r="5" ht="84" customHeight="1" s="364">
      <c r="B5" s="38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4">
      <c r="B6" s="268" t="n"/>
      <c r="C6" s="268" t="n"/>
      <c r="D6" s="268" t="n"/>
    </row>
    <row r="7" ht="64.5" customHeight="1" s="364">
      <c r="B7" s="386" t="inlineStr">
        <is>
          <t>Наименование разрабатываемого показателя УНЦ - Переходные пункты ВЛ-КЛ. Открытый без разъединителей 330 кВ</t>
        </is>
      </c>
    </row>
    <row r="8" ht="31.5" customHeight="1" s="364">
      <c r="B8" s="354" t="inlineStr">
        <is>
          <t xml:space="preserve">Сопоставимый уровень цен: </t>
        </is>
      </c>
      <c r="C8" s="354" t="n"/>
      <c r="D8" s="355">
        <f>D22</f>
        <v/>
      </c>
    </row>
    <row r="9" ht="15.75" customHeight="1" s="364">
      <c r="B9" s="387" t="inlineStr">
        <is>
          <t>Единица измерения  — 1 ВЛ</t>
        </is>
      </c>
    </row>
    <row r="10">
      <c r="B10" s="387" t="n"/>
    </row>
    <row r="11">
      <c r="B11" s="393" t="inlineStr">
        <is>
          <t>№ п/п</t>
        </is>
      </c>
      <c r="C11" s="393" t="inlineStr">
        <is>
          <t>Параметр</t>
        </is>
      </c>
      <c r="D11" s="393" t="inlineStr">
        <is>
          <t xml:space="preserve">Объект-представитель </t>
        </is>
      </c>
      <c r="E11" s="244" t="n"/>
    </row>
    <row r="12" ht="31.5" customHeight="1" s="364">
      <c r="B12" s="393" t="n">
        <v>1</v>
      </c>
      <c r="C12" s="349" t="inlineStr">
        <is>
          <t>Наименование объекта-представителя</t>
        </is>
      </c>
      <c r="D12" s="293" t="inlineStr">
        <is>
          <t>«Строительство КВЛ Ленинградская АЭС-2 – Пулковская – Южная. Корректировка»</t>
        </is>
      </c>
    </row>
    <row r="13">
      <c r="B13" s="393" t="n">
        <v>2</v>
      </c>
      <c r="C13" s="349" t="inlineStr">
        <is>
          <t>Наименование субъекта Российской Федерации</t>
        </is>
      </c>
      <c r="D13" s="293" t="inlineStr">
        <is>
          <t>Ленинградская область</t>
        </is>
      </c>
    </row>
    <row r="14">
      <c r="B14" s="393" t="n">
        <v>3</v>
      </c>
      <c r="C14" s="349" t="inlineStr">
        <is>
          <t>Климатический район и подрайон</t>
        </is>
      </c>
      <c r="D14" s="294" t="inlineStr">
        <is>
          <t>IIВ</t>
        </is>
      </c>
    </row>
    <row r="15">
      <c r="B15" s="393" t="n">
        <v>4</v>
      </c>
      <c r="C15" s="349" t="inlineStr">
        <is>
          <t>Мощность объекта</t>
        </is>
      </c>
      <c r="D15" s="293" t="n">
        <v>1</v>
      </c>
    </row>
    <row r="16" ht="63" customHeight="1" s="364">
      <c r="B16" s="39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3" t="inlineStr">
        <is>
          <t>Ограничитель перенапряжений ОПНп-330/1800/230-20-III УХЛ1-П в комплекте с изолирующим основанием и датчиком измерения тока утечки "ДТУ-03" (ПП) - 3 шт.</t>
        </is>
      </c>
    </row>
    <row r="17" ht="63" customHeight="1" s="364">
      <c r="B17" s="39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6">
        <f>D18+D19+D21+D20</f>
        <v/>
      </c>
      <c r="E17" s="267" t="n"/>
    </row>
    <row r="18">
      <c r="B18" s="243" t="inlineStr">
        <is>
          <t>6.1</t>
        </is>
      </c>
      <c r="C18" s="349" t="inlineStr">
        <is>
          <t>строительно-монтажные работы</t>
        </is>
      </c>
      <c r="D18" s="356">
        <f>'Прил.2 Расч стоим'!F19+'Прил.2 Расч стоим'!G19</f>
        <v/>
      </c>
    </row>
    <row r="19">
      <c r="B19" s="243" t="inlineStr">
        <is>
          <t>6.2</t>
        </is>
      </c>
      <c r="C19" s="349" t="inlineStr">
        <is>
          <t>оборудование и инвентарь</t>
        </is>
      </c>
      <c r="D19" s="356">
        <f>'Прил.2 Расч стоим'!H19</f>
        <v/>
      </c>
    </row>
    <row r="20">
      <c r="B20" s="243" t="inlineStr">
        <is>
          <t>6.3</t>
        </is>
      </c>
      <c r="C20" s="349" t="inlineStr">
        <is>
          <t>пусконаладочные работы</t>
        </is>
      </c>
      <c r="D20" s="356" t="n"/>
    </row>
    <row r="21">
      <c r="B21" s="243" t="inlineStr">
        <is>
          <t>6.4</t>
        </is>
      </c>
      <c r="C21" s="242" t="inlineStr">
        <is>
          <t>прочие и лимитированные затраты</t>
        </is>
      </c>
      <c r="D21" s="356">
        <f>D18*3.3%+(D18*3.3%+D18)*1%</f>
        <v/>
      </c>
    </row>
    <row r="22">
      <c r="B22" s="393" t="n">
        <v>7</v>
      </c>
      <c r="C22" s="242" t="inlineStr">
        <is>
          <t>Сопоставимый уровень цен</t>
        </is>
      </c>
      <c r="D22" s="290" t="inlineStr">
        <is>
          <t xml:space="preserve">2 квартал 2017г. </t>
        </is>
      </c>
      <c r="E22" s="240" t="n"/>
    </row>
    <row r="23" ht="78.75" customHeight="1" s="364">
      <c r="B23" s="393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6">
        <f>D17</f>
        <v/>
      </c>
      <c r="E23" s="267" t="n"/>
    </row>
    <row r="24" ht="31.5" customHeight="1" s="364">
      <c r="B24" s="39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6">
        <f>D23/D15</f>
        <v/>
      </c>
      <c r="E24" s="240" t="n"/>
    </row>
    <row r="25">
      <c r="B25" s="393" t="n">
        <v>10</v>
      </c>
      <c r="C25" s="349" t="inlineStr">
        <is>
          <t>Примечание</t>
        </is>
      </c>
      <c r="D25" s="393" t="n"/>
    </row>
    <row r="26">
      <c r="B26" s="238" t="n"/>
      <c r="C26" s="237" t="n"/>
      <c r="D26" s="237" t="n"/>
    </row>
    <row r="27" ht="37.5" customHeight="1" s="364">
      <c r="B27" s="354" t="n"/>
    </row>
    <row r="28">
      <c r="B28" s="345" t="inlineStr">
        <is>
          <t>Составил ______________________    Е. М. Добровольская</t>
        </is>
      </c>
    </row>
    <row r="29">
      <c r="B29" s="354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35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J26"/>
  <sheetViews>
    <sheetView view="pageBreakPreview" topLeftCell="A10" zoomScaleNormal="70" workbookViewId="0">
      <selection activeCell="E24" sqref="E24"/>
    </sheetView>
  </sheetViews>
  <sheetFormatPr baseColWidth="8" defaultColWidth="9.140625" defaultRowHeight="15.75"/>
  <cols>
    <col width="5.5703125" customWidth="1" style="345" min="1" max="1"/>
    <col width="9.140625" customWidth="1" style="345" min="2" max="2"/>
    <col width="35.28515625" customWidth="1" style="345" min="3" max="3"/>
    <col width="13.85546875" customWidth="1" style="345" min="4" max="4"/>
    <col width="24.85546875" customWidth="1" style="345" min="5" max="5"/>
    <col width="15.5703125" customWidth="1" style="345" min="6" max="6"/>
    <col width="14.85546875" customWidth="1" style="345" min="7" max="7"/>
    <col width="16.7109375" customWidth="1" style="345" min="8" max="8"/>
    <col width="13" customWidth="1" style="345" min="9" max="10"/>
  </cols>
  <sheetData>
    <row r="3">
      <c r="B3" s="384" t="inlineStr">
        <is>
          <t>Приложение № 2</t>
        </is>
      </c>
    </row>
    <row r="4">
      <c r="B4" s="385" t="inlineStr">
        <is>
          <t>Расчет стоимости основных видов работ для выбора объекта-представителя</t>
        </is>
      </c>
    </row>
    <row r="5"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9.25" customHeight="1" s="364">
      <c r="B6" s="387">
        <f>'Прил.1 Сравнит табл'!B7:D7</f>
        <v/>
      </c>
    </row>
    <row r="7">
      <c r="B7" s="387">
        <f>'Прил.1 Сравнит табл'!B9:D9</f>
        <v/>
      </c>
    </row>
    <row r="8" ht="18.75" customHeight="1" s="364">
      <c r="B8" s="269" t="n"/>
    </row>
    <row r="9" ht="15.75" customHeight="1" s="364">
      <c r="B9" s="393" t="inlineStr">
        <is>
          <t>№ п/п</t>
        </is>
      </c>
      <c r="C9" s="3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3" t="inlineStr">
        <is>
          <t>Объект-представитель 1</t>
        </is>
      </c>
      <c r="E9" s="478" t="n"/>
      <c r="F9" s="478" t="n"/>
      <c r="G9" s="478" t="n"/>
      <c r="H9" s="478" t="n"/>
      <c r="I9" s="478" t="n"/>
      <c r="J9" s="479" t="n"/>
    </row>
    <row r="10" ht="15.75" customHeight="1" s="364">
      <c r="B10" s="480" t="n"/>
      <c r="C10" s="480" t="n"/>
      <c r="D10" s="393" t="inlineStr">
        <is>
          <t>Номер сметы</t>
        </is>
      </c>
      <c r="E10" s="393" t="inlineStr">
        <is>
          <t>Наименование сметы</t>
        </is>
      </c>
      <c r="F10" s="393" t="inlineStr">
        <is>
          <t>Сметная стоимость в уровне цен 2 квартал 2017г. , тыс. руб.</t>
        </is>
      </c>
      <c r="G10" s="478" t="n"/>
      <c r="H10" s="478" t="n"/>
      <c r="I10" s="478" t="n"/>
      <c r="J10" s="479" t="n"/>
    </row>
    <row r="11" ht="65.25" customHeight="1" s="364">
      <c r="B11" s="481" t="n"/>
      <c r="C11" s="481" t="n"/>
      <c r="D11" s="481" t="n"/>
      <c r="E11" s="481" t="n"/>
      <c r="F11" s="393" t="inlineStr">
        <is>
          <t>Строительные работы</t>
        </is>
      </c>
      <c r="G11" s="393" t="inlineStr">
        <is>
          <t>Монтажные работы</t>
        </is>
      </c>
      <c r="H11" s="393" t="inlineStr">
        <is>
          <t>Оборудование</t>
        </is>
      </c>
      <c r="I11" s="393" t="inlineStr">
        <is>
          <t>Прочее</t>
        </is>
      </c>
      <c r="J11" s="393" t="inlineStr">
        <is>
          <t>Всего</t>
        </is>
      </c>
    </row>
    <row r="12" ht="78.75" customHeight="1" s="364">
      <c r="B12" s="347" t="n">
        <v>1</v>
      </c>
      <c r="C12" s="394">
        <f>'Прил.1 Сравнит табл'!D16</f>
        <v/>
      </c>
      <c r="D12" s="348" t="inlineStr">
        <is>
          <t>02-03-01</t>
        </is>
      </c>
      <c r="E12" s="349" t="inlineStr">
        <is>
          <t xml:space="preserve">Строительные работы по устройству переходной линейной опоры портального типа на ПП </t>
        </is>
      </c>
      <c r="F12" s="362" t="n">
        <v>296.6677</v>
      </c>
      <c r="G12" s="362" t="n">
        <v>0</v>
      </c>
      <c r="H12" s="362" t="n">
        <v>0</v>
      </c>
      <c r="I12" s="362" t="n">
        <v>0</v>
      </c>
      <c r="J12" s="351">
        <f>SUM(F12:I12)</f>
        <v/>
      </c>
    </row>
    <row r="13" ht="63" customHeight="1" s="364">
      <c r="B13" s="347" t="n">
        <v>2</v>
      </c>
      <c r="C13" s="480" t="n"/>
      <c r="D13" s="348" t="inlineStr">
        <is>
          <t>02-03-02</t>
        </is>
      </c>
      <c r="E13" s="349" t="inlineStr">
        <is>
          <t xml:space="preserve">Строительные работы по устройству опоры под кабельные муфты на ПП </t>
        </is>
      </c>
      <c r="F13" s="362" t="n">
        <v>201.4676</v>
      </c>
      <c r="G13" s="362" t="n">
        <v>0</v>
      </c>
      <c r="H13" s="362" t="n">
        <v>0</v>
      </c>
      <c r="I13" s="362" t="n">
        <v>0</v>
      </c>
      <c r="J13" s="351">
        <f>SUM(F13:I13)</f>
        <v/>
      </c>
    </row>
    <row r="14" ht="47.25" customHeight="1" s="364">
      <c r="B14" s="347" t="n">
        <v>3</v>
      </c>
      <c r="C14" s="480" t="n"/>
      <c r="D14" s="348" t="inlineStr">
        <is>
          <t>02-03-03</t>
        </is>
      </c>
      <c r="E14" s="349" t="inlineStr">
        <is>
          <t>Приобретение и монтаж кабельных муфт КВЛ ЛАЭС-Пулковская</t>
        </is>
      </c>
      <c r="F14" s="362" t="n">
        <v>28.7645</v>
      </c>
      <c r="G14" s="362" t="n">
        <v>939.7381</v>
      </c>
      <c r="H14" s="362" t="n">
        <v>0</v>
      </c>
      <c r="I14" s="362" t="n">
        <v>0</v>
      </c>
      <c r="J14" s="351">
        <f>SUM(F14:I14)</f>
        <v/>
      </c>
    </row>
    <row r="15" ht="47.25" customHeight="1" s="364">
      <c r="A15" s="345" t="n"/>
      <c r="B15" s="347" t="n">
        <v>4</v>
      </c>
      <c r="C15" s="480" t="n"/>
      <c r="D15" s="348" t="inlineStr">
        <is>
          <t>02-03-05</t>
        </is>
      </c>
      <c r="E15" s="349" t="inlineStr">
        <is>
          <t>Приобретение и монтаж  ОПН на ПП (Лен. обл.)</t>
        </is>
      </c>
      <c r="F15" s="362" t="n">
        <v>0</v>
      </c>
      <c r="G15" s="362" t="n">
        <v>9.2835</v>
      </c>
      <c r="H15" s="362" t="n">
        <v>777.8044</v>
      </c>
      <c r="I15" s="362" t="n">
        <v>0</v>
      </c>
      <c r="J15" s="351">
        <f>SUM(F15:I15)</f>
        <v/>
      </c>
    </row>
    <row r="16" ht="31.5" customHeight="1" s="364">
      <c r="A16" s="345" t="n"/>
      <c r="B16" s="347" t="n">
        <v>5</v>
      </c>
      <c r="C16" s="480" t="n"/>
      <c r="D16" s="348" t="inlineStr">
        <is>
          <t>02-03-06</t>
        </is>
      </c>
      <c r="E16" s="349" t="inlineStr">
        <is>
          <t xml:space="preserve">Подвеска провода на ПП </t>
        </is>
      </c>
      <c r="F16" s="362" t="n">
        <v>455.1915</v>
      </c>
      <c r="G16" s="362" t="n">
        <v>117.2463</v>
      </c>
      <c r="H16" s="362" t="n">
        <v>0</v>
      </c>
      <c r="I16" s="362" t="n">
        <v>0</v>
      </c>
      <c r="J16" s="351">
        <f>SUM(F16:I16)</f>
        <v/>
      </c>
    </row>
    <row r="17" ht="63" customHeight="1" s="364">
      <c r="A17" s="345" t="n"/>
      <c r="B17" s="347" t="n">
        <v>6</v>
      </c>
      <c r="C17" s="480" t="n"/>
      <c r="D17" s="348" t="inlineStr">
        <is>
          <t>02-03-07</t>
        </is>
      </c>
      <c r="E17" s="349" t="inlineStr">
        <is>
          <t>Строительные работы по устройству фундамента под модульный КТП на ПП</t>
        </is>
      </c>
      <c r="F17" s="362" t="n">
        <v>525.3487</v>
      </c>
      <c r="G17" s="362" t="n">
        <v>0</v>
      </c>
      <c r="H17" s="362" t="n">
        <v>0</v>
      </c>
      <c r="I17" s="362" t="n">
        <v>0</v>
      </c>
      <c r="J17" s="351">
        <f>SUM(F17:I17)</f>
        <v/>
      </c>
    </row>
    <row r="18">
      <c r="B18" s="347" t="n">
        <v>7</v>
      </c>
      <c r="C18" s="480" t="n"/>
      <c r="D18" s="348" t="inlineStr">
        <is>
          <t>02-03-08</t>
        </is>
      </c>
      <c r="E18" s="349" t="inlineStr">
        <is>
          <t>Заземление ПП</t>
        </is>
      </c>
      <c r="F18" s="362" t="n">
        <v>30.7581</v>
      </c>
      <c r="G18" s="362" t="n">
        <v>22.0823</v>
      </c>
      <c r="H18" s="362" t="n">
        <v>0</v>
      </c>
      <c r="I18" s="362" t="n">
        <v>0</v>
      </c>
      <c r="J18" s="351">
        <f>SUM(F18:I18)</f>
        <v/>
      </c>
    </row>
    <row r="19" ht="15" customHeight="1" s="364">
      <c r="B19" s="392" t="inlineStr">
        <is>
          <t>Всего по объекту:</t>
        </is>
      </c>
      <c r="C19" s="478" t="n"/>
      <c r="D19" s="478" t="n"/>
      <c r="E19" s="479" t="n"/>
      <c r="F19" s="353">
        <f>SUM(F12:F18)</f>
        <v/>
      </c>
      <c r="G19" s="353">
        <f>SUM(G12:G18)</f>
        <v/>
      </c>
      <c r="H19" s="353">
        <f>SUM(H12:H18)</f>
        <v/>
      </c>
      <c r="I19" s="353" t="n"/>
      <c r="J19" s="353">
        <f>SUM(F19:I19)</f>
        <v/>
      </c>
    </row>
    <row r="20" ht="15" customHeight="1" s="364">
      <c r="B20" s="392" t="inlineStr">
        <is>
          <t>Всего по объекту в сопоставимом уровне цен 2 квартал 2017г. :</t>
        </is>
      </c>
      <c r="C20" s="478" t="n"/>
      <c r="D20" s="478" t="n"/>
      <c r="E20" s="479" t="n"/>
      <c r="F20" s="353">
        <f>F19</f>
        <v/>
      </c>
      <c r="G20" s="353">
        <f>G19</f>
        <v/>
      </c>
      <c r="H20" s="353">
        <f>H19</f>
        <v/>
      </c>
      <c r="I20" s="353">
        <f>'Прил.1 Сравнит табл'!D21</f>
        <v/>
      </c>
      <c r="J20" s="353">
        <f>SUM(F20:I20)</f>
        <v/>
      </c>
    </row>
    <row r="21" ht="15" customHeight="1" s="364"/>
    <row r="22" ht="15" customHeight="1" s="364">
      <c r="C22" s="365" t="inlineStr">
        <is>
          <t>Составил ______________________     Е. М. Добровольская</t>
        </is>
      </c>
      <c r="D22" s="375" t="n"/>
      <c r="E22" s="375" t="n"/>
    </row>
    <row r="23" ht="15" customHeight="1" s="364">
      <c r="C23" s="376" t="inlineStr">
        <is>
          <t xml:space="preserve">                         (подпись, инициалы, фамилия)</t>
        </is>
      </c>
      <c r="D23" s="375" t="n"/>
      <c r="E23" s="375" t="n"/>
    </row>
    <row r="24" ht="15" customHeight="1" s="364">
      <c r="C24" s="365" t="n"/>
      <c r="D24" s="375" t="n"/>
      <c r="E24" s="375" t="n"/>
    </row>
    <row r="25" ht="15" customHeight="1" s="364">
      <c r="C25" s="365" t="inlineStr">
        <is>
          <t>Проверил ______________________        А.В. Костянецкая</t>
        </is>
      </c>
      <c r="D25" s="375" t="n"/>
      <c r="E25" s="375" t="n"/>
    </row>
    <row r="26" ht="15" customHeight="1" s="364">
      <c r="C26" s="376" t="inlineStr">
        <is>
          <t xml:space="preserve">                        (подпись, инициалы, фамилия)</t>
        </is>
      </c>
      <c r="D26" s="375" t="n"/>
      <c r="E26" s="375" t="n"/>
    </row>
    <row r="27" ht="15" customHeight="1" s="364"/>
    <row r="28" ht="15" customHeight="1" s="364"/>
    <row r="29" ht="15" customHeight="1" s="364"/>
    <row r="30" ht="15" customHeight="1" s="364"/>
    <row r="31" ht="15" customHeight="1" s="364"/>
    <row r="32" ht="15" customHeight="1" s="364"/>
  </sheetData>
  <mergeCells count="13">
    <mergeCell ref="B7:J7"/>
    <mergeCell ref="B3:J3"/>
    <mergeCell ref="D10:D11"/>
    <mergeCell ref="D9:J9"/>
    <mergeCell ref="C12:C18"/>
    <mergeCell ref="F10:J10"/>
    <mergeCell ref="B9:B11"/>
    <mergeCell ref="C9:C11"/>
    <mergeCell ref="B4:J4"/>
    <mergeCell ref="B20:E20"/>
    <mergeCell ref="B19:E19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3"/>
  <sheetViews>
    <sheetView view="pageBreakPreview" topLeftCell="A148" workbookViewId="0">
      <selection activeCell="D182" sqref="D182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345" min="3" max="3"/>
    <col width="49.7109375" customWidth="1" style="345" min="4" max="4"/>
    <col width="10.140625" customWidth="1" style="345" min="5" max="5"/>
    <col width="20.7109375" customWidth="1" style="345" min="6" max="6"/>
    <col width="20" customWidth="1" style="345" min="7" max="7"/>
    <col width="16.7109375" customWidth="1" style="345" min="8" max="8"/>
    <col width="9.140625" customWidth="1" style="345" min="9" max="9"/>
    <col width="10.140625" customWidth="1" style="345" min="10" max="10"/>
    <col width="10.7109375" customWidth="1" style="345" min="11" max="11"/>
    <col width="12.42578125" customWidth="1" style="345" min="12" max="12"/>
    <col width="13.7109375" customWidth="1" style="364" min="13" max="13"/>
  </cols>
  <sheetData>
    <row r="2" s="364">
      <c r="A2" s="345" t="n"/>
      <c r="B2" s="345" t="n"/>
      <c r="C2" s="345" t="n"/>
      <c r="D2" s="345" t="n"/>
      <c r="E2" s="345" t="n"/>
      <c r="F2" s="345" t="n"/>
      <c r="G2" s="345" t="n"/>
      <c r="H2" s="345" t="n"/>
      <c r="I2" s="345" t="n"/>
      <c r="J2" s="345" t="n"/>
      <c r="K2" s="345" t="n"/>
      <c r="L2" s="345" t="n"/>
    </row>
    <row r="3">
      <c r="A3" s="384" t="inlineStr">
        <is>
          <t xml:space="preserve">Приложение № 3 </t>
        </is>
      </c>
    </row>
    <row r="4">
      <c r="A4" s="385" t="inlineStr">
        <is>
          <t>Объектная ресурсная ведомость</t>
        </is>
      </c>
    </row>
    <row r="5" ht="18.75" customHeight="1" s="364">
      <c r="A5" s="284" t="n"/>
      <c r="B5" s="284" t="n"/>
      <c r="C5" s="401" t="n"/>
    </row>
    <row r="6">
      <c r="A6" s="387" t="n"/>
    </row>
    <row r="7">
      <c r="A7" s="400" t="inlineStr">
        <is>
          <t>Наименование разрабатываемого показателя УНЦ -  Переходные пункты ВЛ-КЛ. Открытый без разъединителей 330 кВ</t>
        </is>
      </c>
    </row>
    <row r="8">
      <c r="A8" s="400" t="n"/>
      <c r="B8" s="400" t="n"/>
      <c r="C8" s="400" t="n"/>
      <c r="D8" s="400" t="n"/>
      <c r="E8" s="400" t="n"/>
      <c r="F8" s="400" t="n"/>
      <c r="G8" s="400" t="n"/>
      <c r="H8" s="400" t="n"/>
    </row>
    <row r="9" ht="38.25" customHeight="1" s="364">
      <c r="A9" s="393" t="inlineStr">
        <is>
          <t>п/п</t>
        </is>
      </c>
      <c r="B9" s="393" t="inlineStr">
        <is>
          <t>№ЛСР</t>
        </is>
      </c>
      <c r="C9" s="393" t="inlineStr">
        <is>
          <t>Код ресурса</t>
        </is>
      </c>
      <c r="D9" s="393" t="inlineStr">
        <is>
          <t>Наименование ресурса</t>
        </is>
      </c>
      <c r="E9" s="393" t="inlineStr">
        <is>
          <t>Ед. изм.</t>
        </is>
      </c>
      <c r="F9" s="393" t="inlineStr">
        <is>
          <t>Кол-во единиц по данным объекта-представителя</t>
        </is>
      </c>
      <c r="G9" s="393" t="inlineStr">
        <is>
          <t>Сметная стоимость в ценах на 01.01.2000 (руб.)</t>
        </is>
      </c>
      <c r="H9" s="479" t="n"/>
    </row>
    <row r="10">
      <c r="A10" s="481" t="n"/>
      <c r="B10" s="481" t="n"/>
      <c r="C10" s="481" t="n"/>
      <c r="D10" s="481" t="n"/>
      <c r="E10" s="481" t="n"/>
      <c r="F10" s="481" t="n"/>
      <c r="G10" s="393" t="inlineStr">
        <is>
          <t>на ед.изм.</t>
        </is>
      </c>
      <c r="H10" s="393" t="inlineStr">
        <is>
          <t>общая</t>
        </is>
      </c>
    </row>
    <row r="11">
      <c r="A11" s="394" t="n">
        <v>1</v>
      </c>
      <c r="B11" s="394" t="n"/>
      <c r="C11" s="394" t="n">
        <v>2</v>
      </c>
      <c r="D11" s="394" t="inlineStr">
        <is>
          <t>З</t>
        </is>
      </c>
      <c r="E11" s="394" t="n">
        <v>4</v>
      </c>
      <c r="F11" s="394" t="n">
        <v>5</v>
      </c>
      <c r="G11" s="394" t="n">
        <v>6</v>
      </c>
      <c r="H11" s="394" t="n">
        <v>7</v>
      </c>
      <c r="I11" s="482" t="n"/>
      <c r="J11" s="345" t="n"/>
      <c r="K11" s="345" t="n"/>
      <c r="L11" s="345" t="n"/>
    </row>
    <row r="12" customFormat="1" s="358">
      <c r="A12" s="397" t="inlineStr">
        <is>
          <t>Затраты труда рабочих</t>
        </is>
      </c>
      <c r="B12" s="478" t="n"/>
      <c r="C12" s="478" t="n"/>
      <c r="D12" s="478" t="n"/>
      <c r="E12" s="479" t="n"/>
      <c r="F12" s="276">
        <f>SUM(F13:F27)</f>
        <v/>
      </c>
      <c r="G12" s="277" t="n"/>
      <c r="H12" s="276">
        <f>SUM(H13:H27)</f>
        <v/>
      </c>
      <c r="I12" s="358" t="n"/>
      <c r="J12" s="358" t="n"/>
      <c r="K12" s="482" t="n"/>
      <c r="L12" s="482" t="n"/>
      <c r="M12" s="358" t="n"/>
    </row>
    <row r="13">
      <c r="A13" s="279" t="n">
        <v>1</v>
      </c>
      <c r="B13" s="251" t="n"/>
      <c r="C13" s="279" t="inlineStr">
        <is>
          <t>1-4-3</t>
        </is>
      </c>
      <c r="D13" s="280" t="inlineStr">
        <is>
          <t>Затраты труда рабочих (ср 4,3)</t>
        </is>
      </c>
      <c r="E13" s="433" t="inlineStr">
        <is>
          <t>чел.-ч</t>
        </is>
      </c>
      <c r="F13" s="273" t="n">
        <v>327.56</v>
      </c>
      <c r="G13" s="275" t="n">
        <v>10.06</v>
      </c>
      <c r="H13" s="275">
        <f>ROUND(F13*G13,2)</f>
        <v/>
      </c>
      <c r="I13" s="345" t="n"/>
      <c r="J13" s="345" t="n"/>
      <c r="K13" s="345" t="n"/>
      <c r="L13" s="345" t="n"/>
      <c r="M13" s="345" t="n"/>
    </row>
    <row r="14">
      <c r="A14" s="283" t="n">
        <v>2</v>
      </c>
      <c r="B14" s="251" t="n"/>
      <c r="C14" s="279" t="inlineStr">
        <is>
          <t>1-3-8</t>
        </is>
      </c>
      <c r="D14" s="280" t="inlineStr">
        <is>
          <t>Затраты труда рабочих (ср 3,8)</t>
        </is>
      </c>
      <c r="E14" s="433" t="inlineStr">
        <is>
          <t>чел.-ч</t>
        </is>
      </c>
      <c r="F14" s="273" t="n">
        <v>162.55</v>
      </c>
      <c r="G14" s="275" t="n">
        <v>9.4</v>
      </c>
      <c r="H14" s="275">
        <f>ROUND(F14*G14,2)</f>
        <v/>
      </c>
      <c r="I14" s="345" t="n"/>
      <c r="J14" s="345" t="n"/>
      <c r="K14" s="345" t="n"/>
      <c r="L14" s="345" t="n"/>
      <c r="M14" s="345" t="n"/>
    </row>
    <row r="15">
      <c r="A15" s="433" t="n">
        <v>3</v>
      </c>
      <c r="B15" s="251" t="n"/>
      <c r="C15" s="279" t="inlineStr">
        <is>
          <t>1-2-0</t>
        </is>
      </c>
      <c r="D15" s="280" t="inlineStr">
        <is>
          <t>Затраты труда рабочих (ср 2)</t>
        </is>
      </c>
      <c r="E15" s="433" t="inlineStr">
        <is>
          <t>чел.-ч</t>
        </is>
      </c>
      <c r="F15" s="273" t="n">
        <v>139.24</v>
      </c>
      <c r="G15" s="275" t="n">
        <v>7.8</v>
      </c>
      <c r="H15" s="275">
        <f>ROUND(F15*G15,2)</f>
        <v/>
      </c>
      <c r="I15" s="345" t="n"/>
      <c r="J15" s="345" t="n"/>
      <c r="K15" s="345" t="n"/>
      <c r="L15" s="345" t="n"/>
      <c r="M15" s="345" t="n"/>
    </row>
    <row r="16">
      <c r="A16" s="279" t="inlineStr">
        <is>
          <t>4</t>
        </is>
      </c>
      <c r="B16" s="251" t="n"/>
      <c r="C16" s="279" t="inlineStr">
        <is>
          <t>1-3-9</t>
        </is>
      </c>
      <c r="D16" s="280" t="inlineStr">
        <is>
          <t>Затраты труда рабочих (ср 3,9)</t>
        </is>
      </c>
      <c r="E16" s="433" t="inlineStr">
        <is>
          <t>чел.-ч</t>
        </is>
      </c>
      <c r="F16" s="273" t="n">
        <v>104.75</v>
      </c>
      <c r="G16" s="275" t="n">
        <v>9.51</v>
      </c>
      <c r="H16" s="275">
        <f>ROUND(F16*G16,2)</f>
        <v/>
      </c>
      <c r="I16" s="345" t="n"/>
      <c r="J16" s="345" t="n"/>
      <c r="K16" s="345" t="n"/>
      <c r="L16" s="345" t="n"/>
      <c r="M16" s="345" t="n"/>
    </row>
    <row r="17">
      <c r="A17" s="283" t="n">
        <v>5</v>
      </c>
      <c r="B17" s="251" t="n"/>
      <c r="C17" s="279" t="inlineStr">
        <is>
          <t>1-4-0</t>
        </is>
      </c>
      <c r="D17" s="280" t="inlineStr">
        <is>
          <t>Затраты труда рабочих (ср 4)</t>
        </is>
      </c>
      <c r="E17" s="433" t="inlineStr">
        <is>
          <t>чел.-ч</t>
        </is>
      </c>
      <c r="F17" s="273" t="n">
        <v>87.34</v>
      </c>
      <c r="G17" s="275" t="n">
        <v>9.619999999999999</v>
      </c>
      <c r="H17" s="275">
        <f>ROUND(F17*G17,2)</f>
        <v/>
      </c>
      <c r="I17" s="345" t="n"/>
      <c r="J17" s="345" t="n"/>
      <c r="K17" s="345" t="n"/>
      <c r="L17" s="345" t="n"/>
      <c r="M17" s="345" t="n"/>
    </row>
    <row r="18">
      <c r="A18" s="283" t="n">
        <v>5</v>
      </c>
      <c r="B18" s="251" t="n"/>
      <c r="C18" s="279" t="inlineStr">
        <is>
          <t>1-4-2</t>
        </is>
      </c>
      <c r="D18" s="280" t="inlineStr">
        <is>
          <t>Затраты труда рабочих (ср 4,2)</t>
        </is>
      </c>
      <c r="E18" s="433" t="inlineStr">
        <is>
          <t>чел.-ч</t>
        </is>
      </c>
      <c r="F18" s="273" t="n">
        <v>71.77</v>
      </c>
      <c r="G18" s="275" t="n">
        <v>9.92</v>
      </c>
      <c r="H18" s="275">
        <f>ROUND(F18*G18,2)</f>
        <v/>
      </c>
      <c r="I18" s="345" t="n"/>
      <c r="J18" s="345" t="n"/>
      <c r="K18" s="345" t="n"/>
      <c r="L18" s="345" t="n"/>
      <c r="M18" s="345" t="n"/>
    </row>
    <row r="19">
      <c r="A19" s="433" t="n">
        <v>6</v>
      </c>
      <c r="B19" s="251" t="n"/>
      <c r="C19" s="279" t="inlineStr">
        <is>
          <t>1-4-0</t>
        </is>
      </c>
      <c r="D19" s="280" t="inlineStr">
        <is>
          <t>Затраты труда рабочих (ср 4,9)</t>
        </is>
      </c>
      <c r="E19" s="433" t="inlineStr">
        <is>
          <t>чел.-ч</t>
        </is>
      </c>
      <c r="F19" s="273" t="n">
        <v>62.58</v>
      </c>
      <c r="G19" s="275" t="n">
        <v>10.94</v>
      </c>
      <c r="H19" s="275">
        <f>ROUND(F19*G19,2)</f>
        <v/>
      </c>
      <c r="I19" s="345" t="n"/>
      <c r="J19" s="345" t="n"/>
      <c r="K19" s="345" t="n"/>
      <c r="L19" s="345" t="n"/>
      <c r="M19" s="345" t="n"/>
    </row>
    <row r="20">
      <c r="A20" s="279" t="inlineStr">
        <is>
          <t>7</t>
        </is>
      </c>
      <c r="B20" s="251" t="n"/>
      <c r="C20" s="279" t="inlineStr">
        <is>
          <t>1-1-5</t>
        </is>
      </c>
      <c r="D20" s="280" t="inlineStr">
        <is>
          <t>Затраты труда рабочих (ср 1,5)</t>
        </is>
      </c>
      <c r="E20" s="433" t="inlineStr">
        <is>
          <t>чел.-ч</t>
        </is>
      </c>
      <c r="F20" s="273" t="n">
        <v>77.72</v>
      </c>
      <c r="G20" s="275" t="n">
        <v>7.5</v>
      </c>
      <c r="H20" s="275">
        <f>ROUND(F20*G20,2)</f>
        <v/>
      </c>
      <c r="I20" s="345" t="n"/>
      <c r="J20" s="345" t="n"/>
      <c r="K20" s="345" t="n"/>
      <c r="L20" s="345" t="n"/>
      <c r="M20" s="345" t="n"/>
    </row>
    <row r="21">
      <c r="A21" s="283" t="n">
        <v>8</v>
      </c>
      <c r="B21" s="251" t="n"/>
      <c r="C21" s="279" t="inlineStr">
        <is>
          <t>1-3-0</t>
        </is>
      </c>
      <c r="D21" s="280" t="inlineStr">
        <is>
          <t>Затраты труда рабочих (ср 3)</t>
        </is>
      </c>
      <c r="E21" s="433" t="inlineStr">
        <is>
          <t>чел.-ч</t>
        </is>
      </c>
      <c r="F21" s="273" t="n">
        <v>47.2</v>
      </c>
      <c r="G21" s="275" t="n">
        <v>8.529999999999999</v>
      </c>
      <c r="H21" s="275">
        <f>ROUND(F21*G21,2)</f>
        <v/>
      </c>
      <c r="I21" s="345" t="n"/>
      <c r="J21" s="345" t="n"/>
      <c r="K21" s="345" t="n"/>
      <c r="L21" s="345" t="n"/>
      <c r="M21" s="345" t="n"/>
    </row>
    <row r="22">
      <c r="A22" s="433" t="n">
        <v>9</v>
      </c>
      <c r="B22" s="251" t="n"/>
      <c r="C22" s="279" t="inlineStr">
        <is>
          <t>1-4-5</t>
        </is>
      </c>
      <c r="D22" s="280" t="inlineStr">
        <is>
          <t>Затраты труда рабочих (ср 4,5)</t>
        </is>
      </c>
      <c r="E22" s="433" t="inlineStr">
        <is>
          <t>чел.-ч</t>
        </is>
      </c>
      <c r="F22" s="273" t="n">
        <v>37.51</v>
      </c>
      <c r="G22" s="275" t="n">
        <v>10.35</v>
      </c>
      <c r="H22" s="275">
        <f>ROUND(F22*G22,2)</f>
        <v/>
      </c>
      <c r="I22" s="345" t="n"/>
      <c r="J22" s="345" t="n"/>
      <c r="K22" s="345" t="n"/>
      <c r="L22" s="345" t="n"/>
      <c r="M22" s="345" t="n"/>
    </row>
    <row r="23">
      <c r="A23" s="279" t="inlineStr">
        <is>
          <t>10</t>
        </is>
      </c>
      <c r="B23" s="251" t="n"/>
      <c r="C23" s="279" t="inlineStr">
        <is>
          <t>1-4-1</t>
        </is>
      </c>
      <c r="D23" s="280" t="inlineStr">
        <is>
          <t>Затраты труда рабочих (ср 4,1)</t>
        </is>
      </c>
      <c r="E23" s="433" t="inlineStr">
        <is>
          <t>чел.-ч</t>
        </is>
      </c>
      <c r="F23" s="273" t="n">
        <v>24.9</v>
      </c>
      <c r="G23" s="275" t="n">
        <v>9.76</v>
      </c>
      <c r="H23" s="275">
        <f>ROUND(F23*G23,2)</f>
        <v/>
      </c>
      <c r="I23" s="345" t="n"/>
      <c r="J23" s="345" t="n"/>
      <c r="K23" s="345" t="n"/>
      <c r="L23" s="345" t="n"/>
      <c r="M23" s="345" t="n"/>
    </row>
    <row r="24">
      <c r="A24" s="283" t="n">
        <v>11</v>
      </c>
      <c r="B24" s="251" t="n"/>
      <c r="C24" s="279" t="inlineStr">
        <is>
          <t>1-2-3</t>
        </is>
      </c>
      <c r="D24" s="280" t="inlineStr">
        <is>
          <t>Затраты труда рабочих (ср 2,3)</t>
        </is>
      </c>
      <c r="E24" s="433" t="inlineStr">
        <is>
          <t>чел.-ч</t>
        </is>
      </c>
      <c r="F24" s="273" t="n">
        <v>13.83</v>
      </c>
      <c r="G24" s="275" t="n">
        <v>8.02</v>
      </c>
      <c r="H24" s="275">
        <f>ROUND(F24*G24,2)</f>
        <v/>
      </c>
      <c r="I24" s="345" t="n"/>
      <c r="J24" s="345" t="n"/>
      <c r="K24" s="345" t="n"/>
      <c r="L24" s="345" t="n"/>
      <c r="M24" s="345" t="n"/>
    </row>
    <row r="25">
      <c r="A25" s="433" t="n">
        <v>12</v>
      </c>
      <c r="B25" s="251" t="n"/>
      <c r="C25" s="279" t="inlineStr">
        <is>
          <t>1-2-4</t>
        </is>
      </c>
      <c r="D25" s="280" t="inlineStr">
        <is>
          <t>Затраты труда рабочих (ср 2,4)</t>
        </is>
      </c>
      <c r="E25" s="433" t="inlineStr">
        <is>
          <t>чел.-ч</t>
        </is>
      </c>
      <c r="F25" s="273" t="n">
        <v>11.43</v>
      </c>
      <c r="G25" s="275" t="n">
        <v>8.09</v>
      </c>
      <c r="H25" s="275">
        <f>ROUND(F25*G25,2)</f>
        <v/>
      </c>
      <c r="I25" s="345" t="n"/>
      <c r="J25" s="345" t="n"/>
      <c r="K25" s="345" t="n"/>
      <c r="L25" s="345" t="n"/>
      <c r="M25" s="345" t="n"/>
    </row>
    <row r="26">
      <c r="A26" s="279" t="inlineStr">
        <is>
          <t>13</t>
        </is>
      </c>
      <c r="B26" s="251" t="n"/>
      <c r="C26" s="279" t="inlineStr">
        <is>
          <t>1-2-2</t>
        </is>
      </c>
      <c r="D26" s="280" t="inlineStr">
        <is>
          <t>Затраты труда рабочих (ср 2,2)</t>
        </is>
      </c>
      <c r="E26" s="433" t="inlineStr">
        <is>
          <t>чел.-ч</t>
        </is>
      </c>
      <c r="F26" s="273" t="n">
        <v>9.69</v>
      </c>
      <c r="G26" s="275" t="n">
        <v>7.94</v>
      </c>
      <c r="H26" s="275">
        <f>ROUND(F26*G26,2)</f>
        <v/>
      </c>
      <c r="I26" s="345" t="n"/>
      <c r="J26" s="345" t="n"/>
      <c r="K26" s="345" t="n"/>
      <c r="L26" s="345" t="n"/>
      <c r="M26" s="345" t="n"/>
    </row>
    <row r="27">
      <c r="A27" s="283" t="n">
        <v>14</v>
      </c>
      <c r="B27" s="251" t="n"/>
      <c r="C27" s="279" t="inlineStr">
        <is>
          <t>1-2-5</t>
        </is>
      </c>
      <c r="D27" s="280" t="inlineStr">
        <is>
          <t>Затраты труда рабочих (ср 2,5)</t>
        </is>
      </c>
      <c r="E27" s="433" t="inlineStr">
        <is>
          <t>чел.-ч</t>
        </is>
      </c>
      <c r="F27" s="273" t="n">
        <v>7.42</v>
      </c>
      <c r="G27" s="275" t="n">
        <v>8.17</v>
      </c>
      <c r="H27" s="275">
        <f>ROUND(F27*G27,2)</f>
        <v/>
      </c>
      <c r="I27" s="345" t="n"/>
      <c r="J27" s="345" t="n"/>
      <c r="K27" s="345" t="n"/>
      <c r="L27" s="345" t="n"/>
      <c r="M27" s="345" t="n"/>
    </row>
    <row r="28">
      <c r="A28" s="396" t="inlineStr">
        <is>
          <t>Затраты труда машинистов</t>
        </is>
      </c>
      <c r="B28" s="478" t="n"/>
      <c r="C28" s="478" t="n"/>
      <c r="D28" s="478" t="n"/>
      <c r="E28" s="479" t="n"/>
      <c r="F28" s="397" t="n"/>
      <c r="G28" s="249" t="n"/>
      <c r="H28" s="276">
        <f>H29</f>
        <v/>
      </c>
      <c r="I28" s="358" t="n"/>
      <c r="J28" s="358" t="n"/>
      <c r="M28" s="358" t="n"/>
    </row>
    <row r="29">
      <c r="A29" s="433" t="n">
        <v>15</v>
      </c>
      <c r="B29" s="398" t="n"/>
      <c r="C29" s="279" t="n">
        <v>2</v>
      </c>
      <c r="D29" s="280" t="inlineStr">
        <is>
          <t>Затраты труда машинистов</t>
        </is>
      </c>
      <c r="E29" s="433" t="inlineStr">
        <is>
          <t>чел.-ч</t>
        </is>
      </c>
      <c r="F29" s="363">
        <f>217.63+44.22</f>
        <v/>
      </c>
      <c r="G29" s="275" t="n">
        <v>0</v>
      </c>
      <c r="H29" s="291" t="n">
        <v>4530.08</v>
      </c>
      <c r="I29" s="359" t="n"/>
      <c r="J29" s="360" t="n"/>
      <c r="K29" s="359" t="n"/>
      <c r="L29" s="360" t="n"/>
      <c r="M29" s="345" t="n"/>
    </row>
    <row r="30" customFormat="1" s="358">
      <c r="A30" s="397" t="inlineStr">
        <is>
          <t>Машины и механизмы</t>
        </is>
      </c>
      <c r="B30" s="478" t="n"/>
      <c r="C30" s="478" t="n"/>
      <c r="D30" s="478" t="n"/>
      <c r="E30" s="479" t="n"/>
      <c r="F30" s="397" t="n"/>
      <c r="G30" s="249" t="n"/>
      <c r="H30" s="276">
        <f>SUM(H31:H69)</f>
        <v/>
      </c>
      <c r="I30" s="359" t="n"/>
      <c r="J30" s="358" t="n"/>
      <c r="K30" s="482" t="n"/>
      <c r="L30" s="482" t="n"/>
      <c r="M30" s="358" t="n"/>
    </row>
    <row r="31" ht="25.5" customHeight="1" s="364">
      <c r="A31" s="433" t="n">
        <v>16</v>
      </c>
      <c r="B31" s="398" t="n"/>
      <c r="C31" s="279" t="inlineStr">
        <is>
          <t>91.05.05-014</t>
        </is>
      </c>
      <c r="D31" s="280" t="inlineStr">
        <is>
          <t>Краны на автомобильном ходу, грузоподъемность 10 т</t>
        </is>
      </c>
      <c r="E31" s="433" t="inlineStr">
        <is>
          <t>маш.час</t>
        </is>
      </c>
      <c r="F31" s="433" t="n">
        <v>75.56999999999999</v>
      </c>
      <c r="G31" s="291" t="n">
        <v>111.99</v>
      </c>
      <c r="H31" s="275">
        <f>ROUND(F31*G31,2)</f>
        <v/>
      </c>
      <c r="I31" s="359" t="n"/>
      <c r="J31" s="345" t="n"/>
      <c r="K31" s="359" t="n"/>
      <c r="L31" s="345" t="n"/>
      <c r="M31" s="345" t="n"/>
    </row>
    <row r="32" customFormat="1" s="358">
      <c r="A32" s="433" t="n">
        <v>17</v>
      </c>
      <c r="B32" s="398" t="n"/>
      <c r="C32" s="279" t="inlineStr">
        <is>
          <t>91.14.03-002</t>
        </is>
      </c>
      <c r="D32" s="280" t="inlineStr">
        <is>
          <t>Автомобили-самосвалы, грузоподъемность до 10 т</t>
        </is>
      </c>
      <c r="E32" s="433" t="inlineStr">
        <is>
          <t>маш.час</t>
        </is>
      </c>
      <c r="F32" s="433" t="n">
        <v>92.8</v>
      </c>
      <c r="G32" s="291" t="n">
        <v>87.48999999999999</v>
      </c>
      <c r="H32" s="275">
        <f>ROUND(F32*G32,2)</f>
        <v/>
      </c>
      <c r="I32" s="359" t="n"/>
      <c r="J32" s="345" t="n"/>
      <c r="K32" s="359" t="n"/>
      <c r="L32" s="345" t="n"/>
      <c r="M32" s="345" t="n"/>
    </row>
    <row r="33">
      <c r="A33" s="433" t="n">
        <v>18</v>
      </c>
      <c r="B33" s="398" t="n"/>
      <c r="C33" s="279" t="inlineStr">
        <is>
          <t>91.06.06-014</t>
        </is>
      </c>
      <c r="D33" s="280" t="inlineStr">
        <is>
          <t>Автогидроподъемники высотой подъема: 28 м</t>
        </is>
      </c>
      <c r="E33" s="433" t="inlineStr">
        <is>
          <t>маш.час</t>
        </is>
      </c>
      <c r="F33" s="433" t="n">
        <v>25.25</v>
      </c>
      <c r="G33" s="291" t="n">
        <v>243.49</v>
      </c>
      <c r="H33" s="275">
        <f>ROUND(F33*G33,2)</f>
        <v/>
      </c>
      <c r="I33" s="359" t="n"/>
      <c r="J33" s="345" t="n"/>
      <c r="K33" s="359" t="n"/>
      <c r="L33" s="345" t="n"/>
      <c r="M33" s="345" t="n"/>
    </row>
    <row r="34">
      <c r="A34" s="433" t="n">
        <v>19</v>
      </c>
      <c r="B34" s="398" t="n"/>
      <c r="C34" s="279" t="inlineStr">
        <is>
          <t>91.08.03-030</t>
        </is>
      </c>
      <c r="D34" s="280" t="inlineStr">
        <is>
          <t>Катки на пневмоколесном ходу, масса 30 т</t>
        </is>
      </c>
      <c r="E34" s="433" t="inlineStr">
        <is>
          <t>маш.час</t>
        </is>
      </c>
      <c r="F34" s="433" t="n">
        <v>12</v>
      </c>
      <c r="G34" s="291" t="n">
        <v>364.07</v>
      </c>
      <c r="H34" s="275">
        <f>ROUND(F34*G34,2)</f>
        <v/>
      </c>
      <c r="I34" s="359" t="n"/>
      <c r="J34" s="345" t="n"/>
      <c r="K34" s="359" t="n"/>
      <c r="L34" s="345" t="n"/>
      <c r="M34" s="345" t="n"/>
    </row>
    <row r="35" ht="25.5" customHeight="1" s="364">
      <c r="A35" s="433" t="n">
        <v>20</v>
      </c>
      <c r="B35" s="398" t="n"/>
      <c r="C35" s="279" t="inlineStr">
        <is>
          <t>91.13.03-111</t>
        </is>
      </c>
      <c r="D35" s="280" t="inlineStr">
        <is>
          <t>Спецавтомашины, грузоподъемность до 8 т, вездеходы</t>
        </is>
      </c>
      <c r="E35" s="433" t="inlineStr">
        <is>
          <t>маш.час</t>
        </is>
      </c>
      <c r="F35" s="433" t="n">
        <v>13.88</v>
      </c>
      <c r="G35" s="291" t="n">
        <v>189.95</v>
      </c>
      <c r="H35" s="275">
        <f>ROUND(F35*G35,2)</f>
        <v/>
      </c>
      <c r="I35" s="359" t="n"/>
      <c r="J35" s="345" t="n"/>
      <c r="K35" s="359" t="n"/>
      <c r="L35" s="345" t="n"/>
      <c r="M35" s="345" t="n"/>
    </row>
    <row r="36" ht="25.5" customHeight="1" s="364">
      <c r="A36" s="433" t="n">
        <v>21</v>
      </c>
      <c r="B36" s="398" t="n"/>
      <c r="C36" s="279" t="inlineStr">
        <is>
          <t>91.05.08-007</t>
        </is>
      </c>
      <c r="D36" s="280" t="inlineStr">
        <is>
          <t>Краны на пневмоколесном ходу, грузоподъемность 25 т</t>
        </is>
      </c>
      <c r="E36" s="433" t="inlineStr">
        <is>
          <t>маш.час</t>
        </is>
      </c>
      <c r="F36" s="433" t="n">
        <v>17.41</v>
      </c>
      <c r="G36" s="291" t="n">
        <v>102.51</v>
      </c>
      <c r="H36" s="275">
        <f>ROUND(F36*G36,2)</f>
        <v/>
      </c>
      <c r="I36" s="359" t="n"/>
      <c r="J36" s="345" t="n"/>
      <c r="K36" s="359" t="n"/>
      <c r="L36" s="345" t="n"/>
      <c r="M36" s="345" t="n"/>
    </row>
    <row r="37">
      <c r="A37" s="433" t="n">
        <v>22</v>
      </c>
      <c r="B37" s="398" t="n"/>
      <c r="C37" s="279" t="inlineStr">
        <is>
          <t>91.08.11-011</t>
        </is>
      </c>
      <c r="D37" s="280" t="inlineStr">
        <is>
          <t>Заливщик швов на базе автомобиля</t>
        </is>
      </c>
      <c r="E37" s="433" t="inlineStr">
        <is>
          <t>маш.час</t>
        </is>
      </c>
      <c r="F37" s="433" t="n">
        <v>9.17</v>
      </c>
      <c r="G37" s="291" t="n">
        <v>175.25</v>
      </c>
      <c r="H37" s="275">
        <f>ROUND(F37*G37,2)</f>
        <v/>
      </c>
      <c r="I37" s="345" t="n"/>
      <c r="J37" s="345" t="n"/>
      <c r="K37" s="345" t="n"/>
      <c r="L37" s="345" t="n"/>
      <c r="M37" s="345" t="n"/>
    </row>
    <row r="38">
      <c r="A38" s="433" t="n">
        <v>23</v>
      </c>
      <c r="B38" s="398" t="n"/>
      <c r="C38" s="279" t="inlineStr">
        <is>
          <t>91.21.22-447</t>
        </is>
      </c>
      <c r="D38" s="280" t="inlineStr">
        <is>
          <t>Установки электрометаллизационные</t>
        </is>
      </c>
      <c r="E38" s="433" t="inlineStr">
        <is>
          <t>маш.час</t>
        </is>
      </c>
      <c r="F38" s="433" t="n">
        <v>21.31</v>
      </c>
      <c r="G38" s="291" t="n">
        <v>74.23999999999999</v>
      </c>
      <c r="H38" s="275">
        <f>ROUND(F38*G38,2)</f>
        <v/>
      </c>
      <c r="I38" s="345" t="n"/>
      <c r="J38" s="345" t="n"/>
      <c r="K38" s="345" t="n"/>
      <c r="L38" s="345" t="n"/>
      <c r="M38" s="345" t="n"/>
    </row>
    <row r="39" ht="25.5" customHeight="1" s="364">
      <c r="A39" s="433" t="n">
        <v>24</v>
      </c>
      <c r="B39" s="398" t="n"/>
      <c r="C39" s="279" t="inlineStr">
        <is>
          <t>91.15.02-029</t>
        </is>
      </c>
      <c r="D39" s="280" t="inlineStr">
        <is>
          <t>Тракторы на гусеничном ходу с лебедкой 132 кВт (180 л.с.)</t>
        </is>
      </c>
      <c r="E39" s="433" t="inlineStr">
        <is>
          <t>маш.час</t>
        </is>
      </c>
      <c r="F39" s="433" t="n">
        <v>6.93</v>
      </c>
      <c r="G39" s="291" t="n">
        <v>147.43</v>
      </c>
      <c r="H39" s="275">
        <f>ROUND(F39*G39,2)</f>
        <v/>
      </c>
      <c r="I39" s="345" t="n"/>
      <c r="J39" s="345" t="n"/>
      <c r="K39" s="345" t="n"/>
      <c r="L39" s="345" t="n"/>
      <c r="M39" s="345" t="n"/>
    </row>
    <row r="40" ht="25.5" customHeight="1" s="364">
      <c r="A40" s="433" t="n">
        <v>25</v>
      </c>
      <c r="B40" s="398" t="n"/>
      <c r="C40" s="279" t="inlineStr">
        <is>
          <t>91.01.05-085</t>
        </is>
      </c>
      <c r="D40" s="280" t="inlineStr">
        <is>
          <t>Экскаваторы одноковшовые дизельные на гусеничном ходу, емкость ковша 0,5 м3</t>
        </is>
      </c>
      <c r="E40" s="433" t="inlineStr">
        <is>
          <t>маш.час</t>
        </is>
      </c>
      <c r="F40" s="433" t="n">
        <v>9.98</v>
      </c>
      <c r="G40" s="291" t="n">
        <v>100</v>
      </c>
      <c r="H40" s="275">
        <f>ROUND(F40*G40,2)</f>
        <v/>
      </c>
      <c r="I40" s="345" t="n"/>
      <c r="J40" s="345" t="n"/>
      <c r="K40" s="345" t="n"/>
      <c r="L40" s="345" t="n"/>
      <c r="M40" s="345" t="n"/>
    </row>
    <row r="41">
      <c r="A41" s="433" t="n">
        <v>25</v>
      </c>
      <c r="B41" s="398" t="n"/>
      <c r="C41" s="279" t="inlineStr">
        <is>
          <t>91.14.02-001</t>
        </is>
      </c>
      <c r="D41" s="280" t="inlineStr">
        <is>
          <t>Автомобили бортовые, грузоподъемность: до 5 т</t>
        </is>
      </c>
      <c r="E41" s="433" t="inlineStr">
        <is>
          <t>маш.час</t>
        </is>
      </c>
      <c r="F41" s="433">
        <f>12.67+1.36</f>
        <v/>
      </c>
      <c r="G41" s="291" t="n">
        <v>65.70999999999999</v>
      </c>
      <c r="H41" s="275">
        <f>ROUND(F41*G41,2)</f>
        <v/>
      </c>
      <c r="I41" s="345" t="n"/>
      <c r="J41" s="345" t="n"/>
      <c r="K41" s="345" t="n"/>
      <c r="L41" s="345" t="n"/>
      <c r="M41" s="345" t="n"/>
    </row>
    <row r="42" ht="38.25" customHeight="1" s="364">
      <c r="A42" s="433" t="n">
        <v>26</v>
      </c>
      <c r="B42" s="398" t="n"/>
      <c r="C42" s="279" t="inlineStr">
        <is>
          <t>91.18.01-007</t>
        </is>
      </c>
      <c r="D42" s="2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2" s="433" t="inlineStr">
        <is>
          <t>маш.час</t>
        </is>
      </c>
      <c r="F42" s="433" t="n">
        <v>7.5</v>
      </c>
      <c r="G42" s="291" t="n">
        <v>90</v>
      </c>
      <c r="H42" s="275">
        <f>ROUND(F42*G42,2)</f>
        <v/>
      </c>
      <c r="I42" s="345" t="n"/>
      <c r="J42" s="345" t="n"/>
      <c r="K42" s="345" t="n"/>
      <c r="L42" s="345" t="n"/>
      <c r="M42" s="345" t="n"/>
    </row>
    <row r="43">
      <c r="A43" s="433" t="n">
        <v>27</v>
      </c>
      <c r="B43" s="398" t="n"/>
      <c r="C43" s="279" t="inlineStr">
        <is>
          <t>91.01.01-035</t>
        </is>
      </c>
      <c r="D43" s="280" t="inlineStr">
        <is>
          <t>Бульдозеры, мощность 79 кВт (108 л.с.)</t>
        </is>
      </c>
      <c r="E43" s="433" t="inlineStr">
        <is>
          <t>маш.час</t>
        </is>
      </c>
      <c r="F43" s="433" t="n">
        <v>5.96</v>
      </c>
      <c r="G43" s="291" t="n">
        <v>79.06999999999999</v>
      </c>
      <c r="H43" s="275">
        <f>ROUND(F43*G43,2)</f>
        <v/>
      </c>
      <c r="I43" s="345" t="n"/>
      <c r="J43" s="345" t="n"/>
      <c r="K43" s="345" t="n"/>
      <c r="L43" s="345" t="n"/>
      <c r="M43" s="345" t="n"/>
    </row>
    <row r="44">
      <c r="A44" s="433" t="n">
        <v>28</v>
      </c>
      <c r="B44" s="398" t="n"/>
      <c r="C44" s="279" t="inlineStr">
        <is>
          <t>91.06.05-011</t>
        </is>
      </c>
      <c r="D44" s="280" t="inlineStr">
        <is>
          <t>Погрузчик, грузоподъемность 5 т</t>
        </is>
      </c>
      <c r="E44" s="433" t="inlineStr">
        <is>
          <t>маш.час</t>
        </is>
      </c>
      <c r="F44" s="433">
        <f>4.94+0.23</f>
        <v/>
      </c>
      <c r="G44" s="291" t="n">
        <v>89.98999999999999</v>
      </c>
      <c r="H44" s="275">
        <f>ROUND(F44*G44,2)</f>
        <v/>
      </c>
      <c r="I44" s="345" t="n"/>
      <c r="J44" s="483" t="n"/>
      <c r="K44" s="345" t="n"/>
      <c r="L44" s="483" t="n"/>
      <c r="M44" s="345" t="n"/>
    </row>
    <row r="45" ht="25.5" customHeight="1" s="364">
      <c r="A45" s="433" t="n">
        <v>29</v>
      </c>
      <c r="B45" s="398" t="n"/>
      <c r="C45" s="279" t="inlineStr">
        <is>
          <t>91.17.04-036</t>
        </is>
      </c>
      <c r="D45" s="280" t="inlineStr">
        <is>
          <t>Агрегаты сварочные передвижные номинальным сварочным током 250-400 А: с дизельным двигателем</t>
        </is>
      </c>
      <c r="E45" s="433" t="inlineStr">
        <is>
          <t>маш.час</t>
        </is>
      </c>
      <c r="F45" s="433" t="n">
        <v>32.69</v>
      </c>
      <c r="G45" s="291" t="n">
        <v>14</v>
      </c>
      <c r="H45" s="275">
        <f>ROUND(F45*G45,2)</f>
        <v/>
      </c>
      <c r="I45" s="358" t="n"/>
      <c r="J45" s="358" t="n"/>
      <c r="K45" s="358" t="n"/>
      <c r="L45" s="358" t="n"/>
      <c r="M45" s="358" t="n"/>
    </row>
    <row r="46">
      <c r="A46" s="433" t="n">
        <v>30</v>
      </c>
      <c r="B46" s="398" t="n"/>
      <c r="C46" s="279" t="inlineStr">
        <is>
          <t>91.06.09-001</t>
        </is>
      </c>
      <c r="D46" s="280" t="inlineStr">
        <is>
          <t>Вышка телескопическая 25 м</t>
        </is>
      </c>
      <c r="E46" s="433" t="inlineStr">
        <is>
          <t>маш.час</t>
        </is>
      </c>
      <c r="F46" s="433" t="n">
        <v>2.99</v>
      </c>
      <c r="G46" s="291" t="n">
        <v>142.7</v>
      </c>
      <c r="H46" s="275">
        <f>ROUND(F46*G46,2)</f>
        <v/>
      </c>
      <c r="I46" s="345" t="n"/>
      <c r="J46" s="345" t="n"/>
      <c r="K46" s="345" t="n"/>
      <c r="L46" s="345" t="n"/>
      <c r="M46" s="345" t="n"/>
    </row>
    <row r="47" customFormat="1" s="358">
      <c r="A47" s="433" t="n">
        <v>31</v>
      </c>
      <c r="B47" s="398" t="n"/>
      <c r="C47" s="279" t="inlineStr">
        <is>
          <t>91.14.01-003</t>
        </is>
      </c>
      <c r="D47" s="280" t="inlineStr">
        <is>
          <t>Автобетоносмесители: 6 м3</t>
        </is>
      </c>
      <c r="E47" s="433" t="inlineStr">
        <is>
          <t>маш.час</t>
        </is>
      </c>
      <c r="F47" s="433" t="n">
        <v>2.26</v>
      </c>
      <c r="G47" s="291" t="n">
        <v>177.59</v>
      </c>
      <c r="H47" s="275">
        <f>ROUND(F47*G47,2)</f>
        <v/>
      </c>
      <c r="I47" s="345" t="n"/>
      <c r="J47" s="345" t="n"/>
      <c r="K47" s="345" t="n"/>
      <c r="L47" s="345" t="n"/>
      <c r="M47" s="345" t="n"/>
    </row>
    <row r="48" ht="25.5" customHeight="1" s="364">
      <c r="A48" s="433" t="n">
        <v>32</v>
      </c>
      <c r="B48" s="398" t="n"/>
      <c r="C48" s="279" t="inlineStr">
        <is>
          <t>91.01.02-004</t>
        </is>
      </c>
      <c r="D48" s="280" t="inlineStr">
        <is>
          <t>Автогрейдеры: среднего типа, мощность 99 кВт (135 л.с.)</t>
        </is>
      </c>
      <c r="E48" s="433" t="inlineStr">
        <is>
          <t>маш.час</t>
        </is>
      </c>
      <c r="F48" s="433" t="n">
        <v>2.65</v>
      </c>
      <c r="G48" s="291" t="n">
        <v>123</v>
      </c>
      <c r="H48" s="275">
        <f>ROUND(F48*G48,2)</f>
        <v/>
      </c>
      <c r="I48" s="359" t="n"/>
      <c r="J48" s="345" t="n"/>
      <c r="K48" s="359" t="n"/>
      <c r="L48" s="345" t="n"/>
      <c r="M48" s="345" t="n"/>
    </row>
    <row r="49">
      <c r="A49" s="433" t="n">
        <v>33</v>
      </c>
      <c r="B49" s="398" t="n"/>
      <c r="C49" s="279" t="inlineStr">
        <is>
          <t>91.14.02-002</t>
        </is>
      </c>
      <c r="D49" s="280" t="inlineStr">
        <is>
          <t>Автомобили бортовые, грузоподъемность: до 8 т</t>
        </is>
      </c>
      <c r="E49" s="433" t="inlineStr">
        <is>
          <t>маш.час</t>
        </is>
      </c>
      <c r="F49" s="433" t="n">
        <v>3.21</v>
      </c>
      <c r="G49" s="291" t="n">
        <v>85.84</v>
      </c>
      <c r="H49" s="275">
        <f>ROUND(F49*G49,2)</f>
        <v/>
      </c>
      <c r="I49" s="359" t="n"/>
      <c r="J49" s="345" t="n"/>
      <c r="K49" s="359" t="n"/>
      <c r="L49" s="345" t="n"/>
      <c r="M49" s="345" t="n"/>
    </row>
    <row r="50" ht="38.25" customHeight="1" s="364">
      <c r="A50" s="433" t="n">
        <v>34</v>
      </c>
      <c r="B50" s="398" t="n"/>
      <c r="C50" s="279" t="inlineStr">
        <is>
          <t>91.17.04-035</t>
        </is>
      </c>
      <c r="D50" s="280" t="inlineStr">
        <is>
          <t>Агрегаты сварочные передвижные номинальным сварочным током 250-400 А: с бензиновым двигателем</t>
        </is>
      </c>
      <c r="E50" s="433" t="inlineStr">
        <is>
          <t>маш.час</t>
        </is>
      </c>
      <c r="F50" s="433" t="n">
        <v>9.199999999999999</v>
      </c>
      <c r="G50" s="291" t="n">
        <v>14</v>
      </c>
      <c r="H50" s="275">
        <f>ROUND(F50*G50,2)</f>
        <v/>
      </c>
      <c r="I50" s="359" t="n"/>
      <c r="J50" s="345" t="n"/>
      <c r="K50" s="345" t="n"/>
      <c r="L50" s="345" t="n"/>
      <c r="M50" s="345" t="n"/>
    </row>
    <row r="51">
      <c r="A51" s="433" t="n">
        <v>35</v>
      </c>
      <c r="B51" s="398" t="n"/>
      <c r="C51" s="279" t="inlineStr">
        <is>
          <t>91.13.01-038</t>
        </is>
      </c>
      <c r="D51" s="280" t="inlineStr">
        <is>
          <t>Машины поливомоечные 6000 л</t>
        </is>
      </c>
      <c r="E51" s="433" t="inlineStr">
        <is>
          <t>маш.час</t>
        </is>
      </c>
      <c r="F51" s="433" t="n">
        <v>1.14</v>
      </c>
      <c r="G51" s="291" t="n">
        <v>110</v>
      </c>
      <c r="H51" s="275">
        <f>ROUND(F51*G51,2)</f>
        <v/>
      </c>
      <c r="I51" s="359" t="n"/>
      <c r="J51" s="345" t="n"/>
      <c r="K51" s="345" t="n"/>
      <c r="L51" s="483" t="n"/>
      <c r="M51" s="345" t="n"/>
    </row>
    <row r="52">
      <c r="A52" s="433" t="n">
        <v>36</v>
      </c>
      <c r="B52" s="398" t="n"/>
      <c r="C52" s="279" t="inlineStr">
        <is>
          <t>91.13.03-041</t>
        </is>
      </c>
      <c r="D52" s="280" t="inlineStr">
        <is>
          <t>Автоцистерна</t>
        </is>
      </c>
      <c r="E52" s="433" t="inlineStr">
        <is>
          <t>маш.час</t>
        </is>
      </c>
      <c r="F52" s="433" t="n">
        <v>1.09</v>
      </c>
      <c r="G52" s="291" t="n">
        <v>100.72</v>
      </c>
      <c r="H52" s="275">
        <f>ROUND(F52*G52,2)</f>
        <v/>
      </c>
      <c r="I52" s="359" t="n"/>
      <c r="J52" s="345" t="n"/>
      <c r="K52" s="358" t="n"/>
      <c r="L52" s="358" t="n"/>
      <c r="M52" s="358" t="n"/>
    </row>
    <row r="53" ht="25.5" customHeight="1" s="364">
      <c r="A53" s="433" t="n">
        <v>37</v>
      </c>
      <c r="B53" s="398" t="n"/>
      <c r="C53" s="279" t="inlineStr">
        <is>
          <t>91.17.04-233</t>
        </is>
      </c>
      <c r="D53" s="280" t="inlineStr">
        <is>
          <t>Установки для сварки: ручной дуговой (постоянного тока)</t>
        </is>
      </c>
      <c r="E53" s="433" t="inlineStr">
        <is>
          <t>маш.час</t>
        </is>
      </c>
      <c r="F53" s="433" t="n">
        <v>13.25</v>
      </c>
      <c r="G53" s="291" t="n">
        <v>8.1</v>
      </c>
      <c r="H53" s="275">
        <f>ROUND(F53*G53,2)</f>
        <v/>
      </c>
      <c r="I53" s="345" t="n"/>
      <c r="J53" s="345" t="n"/>
      <c r="K53" s="345" t="n"/>
      <c r="L53" s="345" t="n"/>
      <c r="M53" s="345" t="n"/>
    </row>
    <row r="54">
      <c r="A54" s="433" t="n">
        <v>38</v>
      </c>
      <c r="B54" s="398" t="n"/>
      <c r="C54" s="279" t="inlineStr">
        <is>
          <t>91.08.03-029</t>
        </is>
      </c>
      <c r="D54" s="280" t="inlineStr">
        <is>
          <t>Катки на пневмоколесном ходу, масса 16 т</t>
        </is>
      </c>
      <c r="E54" s="433" t="inlineStr">
        <is>
          <t>маш.час</t>
        </is>
      </c>
      <c r="F54" s="433" t="n">
        <v>0.52</v>
      </c>
      <c r="G54" s="291" t="n">
        <v>156.32</v>
      </c>
      <c r="H54" s="275">
        <f>ROUND(F54*G54,2)</f>
        <v/>
      </c>
      <c r="I54" s="345" t="n"/>
      <c r="J54" s="345" t="n"/>
      <c r="K54" s="345" t="n"/>
      <c r="L54" s="345" t="n"/>
      <c r="M54" s="345" t="n"/>
    </row>
    <row r="55">
      <c r="A55" s="433" t="n">
        <v>39</v>
      </c>
      <c r="B55" s="398" t="n"/>
      <c r="C55" s="279" t="inlineStr">
        <is>
          <t>91.06.06-042</t>
        </is>
      </c>
      <c r="D55" s="280" t="inlineStr">
        <is>
          <t>Подъемники гидравлические высотой подъема: 10 м</t>
        </is>
      </c>
      <c r="E55" s="433" t="inlineStr">
        <is>
          <t>маш.час</t>
        </is>
      </c>
      <c r="F55" s="433" t="n">
        <v>1.84</v>
      </c>
      <c r="G55" s="291" t="n">
        <v>29.6</v>
      </c>
      <c r="H55" s="275">
        <f>ROUND(F55*G55,2)</f>
        <v/>
      </c>
      <c r="I55" s="345" t="n"/>
      <c r="J55" s="483" t="n"/>
      <c r="K55" s="359" t="n"/>
      <c r="L55" s="345" t="n"/>
      <c r="M55" s="345" t="n"/>
    </row>
    <row r="56" ht="25.5" customHeight="1" s="364">
      <c r="A56" s="433" t="n">
        <v>40</v>
      </c>
      <c r="B56" s="398" t="n"/>
      <c r="C56" s="279" t="inlineStr">
        <is>
          <t>91.06.05-057</t>
        </is>
      </c>
      <c r="D56" s="280" t="inlineStr">
        <is>
          <t>Погрузчики одноковшовые универсальные фронтальные пневмоколесные, грузоподъемность 3 т</t>
        </is>
      </c>
      <c r="E56" s="433" t="inlineStr">
        <is>
          <t>маш.час</t>
        </is>
      </c>
      <c r="F56" s="433" t="n">
        <v>0.25</v>
      </c>
      <c r="G56" s="291" t="n">
        <v>90.40000000000001</v>
      </c>
      <c r="H56" s="275">
        <f>ROUND(F56*G56,2)</f>
        <v/>
      </c>
      <c r="I56" s="358" t="n"/>
      <c r="J56" s="358" t="n"/>
      <c r="K56" s="359" t="n"/>
      <c r="L56" s="345" t="n"/>
      <c r="M56" s="345" t="n"/>
    </row>
    <row r="57">
      <c r="A57" s="433" t="n">
        <v>41</v>
      </c>
      <c r="B57" s="398" t="n"/>
      <c r="C57" s="279" t="inlineStr">
        <is>
          <t>91.08.04-021</t>
        </is>
      </c>
      <c r="D57" s="280" t="inlineStr">
        <is>
          <t>Котлы битумные: передвижные 400 л</t>
        </is>
      </c>
      <c r="E57" s="433" t="inlineStr">
        <is>
          <t>маш.час</t>
        </is>
      </c>
      <c r="F57" s="433" t="n">
        <v>0.6899999999999999</v>
      </c>
      <c r="G57" s="291" t="n">
        <v>30</v>
      </c>
      <c r="H57" s="275">
        <f>ROUND(F57*G57,2)</f>
        <v/>
      </c>
      <c r="I57" s="345" t="n"/>
      <c r="J57" s="345" t="n"/>
      <c r="K57" s="359" t="n"/>
      <c r="L57" s="345" t="n"/>
      <c r="M57" s="345" t="n"/>
    </row>
    <row r="58">
      <c r="A58" s="433" t="n">
        <v>42</v>
      </c>
      <c r="B58" s="398" t="n"/>
      <c r="C58" s="279" t="inlineStr">
        <is>
          <t>91.11.02-061</t>
        </is>
      </c>
      <c r="D58" s="280" t="inlineStr">
        <is>
          <t>Тележки раскаточные на гусеничном ходу</t>
        </is>
      </c>
      <c r="E58" s="433" t="inlineStr">
        <is>
          <t>маш.час</t>
        </is>
      </c>
      <c r="F58" s="433" t="n">
        <v>0.82</v>
      </c>
      <c r="G58" s="291" t="n">
        <v>17.14</v>
      </c>
      <c r="H58" s="275">
        <f>ROUND(F58*G58,2)</f>
        <v/>
      </c>
      <c r="I58" s="345" t="n"/>
      <c r="J58" s="345" t="n"/>
      <c r="K58" s="359" t="n"/>
      <c r="L58" s="345" t="n"/>
      <c r="M58" s="345" t="n"/>
    </row>
    <row r="59">
      <c r="A59" s="433" t="n">
        <v>43</v>
      </c>
      <c r="B59" s="398" t="n"/>
      <c r="C59" s="279" t="inlineStr">
        <is>
          <t>91.21.16-012</t>
        </is>
      </c>
      <c r="D59" s="280" t="inlineStr">
        <is>
          <t>Пресс: гидравлический с электроприводом</t>
        </is>
      </c>
      <c r="E59" s="433" t="inlineStr">
        <is>
          <t>маш.час</t>
        </is>
      </c>
      <c r="F59" s="433" t="n">
        <v>11.37</v>
      </c>
      <c r="G59" s="291" t="n">
        <v>1.11</v>
      </c>
      <c r="H59" s="275">
        <f>ROUND(F59*G59,2)</f>
        <v/>
      </c>
      <c r="I59" s="359" t="n"/>
      <c r="J59" s="345" t="n"/>
      <c r="K59" s="359" t="n"/>
      <c r="L59" s="345" t="n"/>
      <c r="M59" s="345" t="n"/>
    </row>
    <row r="60" ht="25.5" customHeight="1" s="364">
      <c r="A60" s="433" t="n">
        <v>44</v>
      </c>
      <c r="B60" s="398" t="n"/>
      <c r="C60" s="279" t="inlineStr">
        <is>
          <t>91.08.09-023</t>
        </is>
      </c>
      <c r="D60" s="280" t="inlineStr">
        <is>
          <t>Трамбовки пневматические при работе от: передвижных компрессорных станций</t>
        </is>
      </c>
      <c r="E60" s="433" t="inlineStr">
        <is>
          <t>маш.час</t>
        </is>
      </c>
      <c r="F60" s="433" t="n">
        <v>22.22</v>
      </c>
      <c r="G60" s="291" t="n">
        <v>0.55</v>
      </c>
      <c r="H60" s="275">
        <f>ROUND(F60*G60,2)</f>
        <v/>
      </c>
      <c r="I60" s="359" t="n"/>
      <c r="J60" s="345" t="n"/>
      <c r="K60" s="345" t="n"/>
      <c r="L60" s="345" t="n"/>
      <c r="M60" s="345" t="n"/>
    </row>
    <row r="61">
      <c r="A61" s="433" t="n">
        <v>45</v>
      </c>
      <c r="B61" s="398" t="n"/>
      <c r="C61" s="279" t="inlineStr">
        <is>
          <t>91.05.01-017</t>
        </is>
      </c>
      <c r="D61" s="280" t="inlineStr">
        <is>
          <t>Краны башенные, грузоподъемность 8 т</t>
        </is>
      </c>
      <c r="E61" s="433" t="inlineStr">
        <is>
          <t>маш.час</t>
        </is>
      </c>
      <c r="F61" s="433" t="n">
        <v>0.12</v>
      </c>
      <c r="G61" s="291" t="n">
        <v>86.40000000000001</v>
      </c>
      <c r="H61" s="275">
        <f>ROUND(F61*G61,2)</f>
        <v/>
      </c>
      <c r="I61" s="359" t="n"/>
      <c r="J61" s="345" t="n"/>
      <c r="K61" s="345" t="n"/>
      <c r="L61" s="345" t="n"/>
      <c r="M61" s="345" t="n"/>
    </row>
    <row r="62">
      <c r="A62" s="433" t="n">
        <v>46</v>
      </c>
      <c r="B62" s="398" t="n"/>
      <c r="C62" s="279" t="inlineStr">
        <is>
          <t>91.01.01-034</t>
        </is>
      </c>
      <c r="D62" s="280" t="inlineStr">
        <is>
          <t>Бульдозеры, мощность 59 кВт (80 л.с.)</t>
        </is>
      </c>
      <c r="E62" s="433" t="inlineStr">
        <is>
          <t>маш.час</t>
        </is>
      </c>
      <c r="F62" s="433" t="n">
        <v>0.12</v>
      </c>
      <c r="G62" s="291" t="n">
        <v>59.47</v>
      </c>
      <c r="H62" s="275">
        <f>ROUND(F62*G62,2)</f>
        <v/>
      </c>
      <c r="I62" s="359" t="n"/>
      <c r="J62" s="345" t="n"/>
      <c r="K62" s="345" t="n"/>
      <c r="L62" s="483" t="n"/>
      <c r="M62" s="345" t="n"/>
    </row>
    <row r="63" ht="25.5" customFormat="1" customHeight="1" s="358">
      <c r="A63" s="433" t="n">
        <v>47</v>
      </c>
      <c r="B63" s="398" t="n"/>
      <c r="C63" s="279" t="inlineStr">
        <is>
          <t>91.06.03-049</t>
        </is>
      </c>
      <c r="D63" s="280" t="inlineStr">
        <is>
          <t>Лебедки ручные и рычажные тяговым усилием: до 9,81 кН (1 т)</t>
        </is>
      </c>
      <c r="E63" s="433" t="inlineStr">
        <is>
          <t>маш.час</t>
        </is>
      </c>
      <c r="F63" s="433" t="n">
        <v>5.37</v>
      </c>
      <c r="G63" s="291" t="n">
        <v>0.58</v>
      </c>
      <c r="H63" s="275">
        <f>ROUND(F63*G63,2)</f>
        <v/>
      </c>
      <c r="I63" s="359" t="n"/>
      <c r="J63" s="345" t="n"/>
      <c r="K63" s="358" t="n"/>
      <c r="L63" s="358" t="n"/>
      <c r="M63" s="358" t="n"/>
    </row>
    <row r="64">
      <c r="A64" s="433" t="n">
        <v>48</v>
      </c>
      <c r="B64" s="398" t="n"/>
      <c r="C64" s="279" t="inlineStr">
        <is>
          <t>91.21.22-491</t>
        </is>
      </c>
      <c r="D64" s="280" t="inlineStr">
        <is>
          <t>Шинотрубогиб</t>
        </is>
      </c>
      <c r="E64" s="433" t="inlineStr">
        <is>
          <t>маш.час</t>
        </is>
      </c>
      <c r="F64" s="433" t="n">
        <v>0.17</v>
      </c>
      <c r="G64" s="291" t="n">
        <v>15.24</v>
      </c>
      <c r="H64" s="275">
        <f>ROUND(F64*G64,2)</f>
        <v/>
      </c>
      <c r="I64" s="345" t="n"/>
      <c r="J64" s="345" t="n"/>
      <c r="K64" s="345" t="n"/>
      <c r="L64" s="345" t="n"/>
      <c r="M64" s="345" t="n"/>
    </row>
    <row r="65">
      <c r="A65" s="433" t="n">
        <v>49</v>
      </c>
      <c r="B65" s="398" t="n"/>
      <c r="C65" s="279" t="inlineStr">
        <is>
          <t>91.07.04-001</t>
        </is>
      </c>
      <c r="D65" s="280" t="inlineStr">
        <is>
          <t>Вибратор глубинный</t>
        </is>
      </c>
      <c r="E65" s="433" t="inlineStr">
        <is>
          <t>маш.час</t>
        </is>
      </c>
      <c r="F65" s="433" t="n">
        <v>1.28</v>
      </c>
      <c r="G65" s="291" t="n">
        <v>1.9</v>
      </c>
      <c r="H65" s="275">
        <f>ROUND(F65*G65,2)</f>
        <v/>
      </c>
      <c r="I65" s="345" t="n"/>
      <c r="J65" s="345" t="n"/>
      <c r="K65" s="345" t="n"/>
      <c r="L65" s="345" t="n"/>
      <c r="M65" s="345" t="n"/>
    </row>
    <row r="66">
      <c r="A66" s="433" t="n">
        <v>50</v>
      </c>
      <c r="B66" s="398" t="n"/>
      <c r="C66" s="279" t="inlineStr">
        <is>
          <t>91.12.08-161</t>
        </is>
      </c>
      <c r="D66" s="280" t="inlineStr">
        <is>
          <t>Ямокопатели</t>
        </is>
      </c>
      <c r="E66" s="433" t="inlineStr">
        <is>
          <t>маш.час</t>
        </is>
      </c>
      <c r="F66" s="433" t="n">
        <v>0.34</v>
      </c>
      <c r="G66" s="291" t="n">
        <v>6.51</v>
      </c>
      <c r="H66" s="275">
        <f>ROUND(F66*G66,2)</f>
        <v/>
      </c>
      <c r="I66" s="345" t="n"/>
      <c r="J66" s="345" t="n"/>
      <c r="K66" s="359" t="n"/>
      <c r="L66" s="345" t="n"/>
      <c r="M66" s="345" t="n"/>
    </row>
    <row r="67" ht="25.5" customHeight="1" s="364">
      <c r="A67" s="433" t="n">
        <v>51</v>
      </c>
      <c r="B67" s="398" t="n"/>
      <c r="C67" s="279" t="inlineStr">
        <is>
          <t>91.05.05-013</t>
        </is>
      </c>
      <c r="D67" s="280" t="inlineStr">
        <is>
          <t>Краны на автомобильном ходу, грузоподъемность 6,3 т</t>
        </is>
      </c>
      <c r="E67" s="433" t="inlineStr">
        <is>
          <t>маш.час</t>
        </is>
      </c>
      <c r="F67" s="433" t="n">
        <v>0.01</v>
      </c>
      <c r="G67" s="291" t="n">
        <v>88.01000000000001</v>
      </c>
      <c r="H67" s="275">
        <f>ROUND(F67*G67,2)</f>
        <v/>
      </c>
      <c r="I67" s="345" t="n"/>
      <c r="J67" s="345" t="n"/>
      <c r="K67" s="345" t="n"/>
      <c r="L67" s="345" t="n"/>
    </row>
    <row r="68">
      <c r="A68" s="433" t="n">
        <v>52</v>
      </c>
      <c r="B68" s="398" t="n"/>
      <c r="C68" s="279" t="inlineStr">
        <is>
          <t>91.07.04-002</t>
        </is>
      </c>
      <c r="D68" s="280" t="inlineStr">
        <is>
          <t>Вибратор поверхностный</t>
        </is>
      </c>
      <c r="E68" s="433" t="inlineStr">
        <is>
          <t>маш.час</t>
        </is>
      </c>
      <c r="F68" s="433" t="n">
        <v>0.31</v>
      </c>
      <c r="G68" s="291" t="n">
        <v>0.5</v>
      </c>
      <c r="H68" s="275">
        <f>ROUND(F68*G68,2)</f>
        <v/>
      </c>
      <c r="I68" s="345" t="n"/>
      <c r="J68" s="345" t="n"/>
    </row>
    <row r="69">
      <c r="A69" s="433" t="n">
        <v>53</v>
      </c>
      <c r="B69" s="398" t="n"/>
      <c r="C69" s="279" t="inlineStr">
        <is>
          <t>91.21.19-031</t>
        </is>
      </c>
      <c r="D69" s="280" t="inlineStr">
        <is>
          <t>Станок: сверлильный</t>
        </is>
      </c>
      <c r="E69" s="433" t="inlineStr">
        <is>
          <t>маш.час</t>
        </is>
      </c>
      <c r="F69" s="433" t="n">
        <v>0.03</v>
      </c>
      <c r="G69" s="291" t="n">
        <v>2.36</v>
      </c>
      <c r="H69" s="275">
        <f>ROUND(F69*G69,2)</f>
        <v/>
      </c>
      <c r="I69" s="287" t="n"/>
    </row>
    <row r="70" ht="15" customHeight="1" s="364">
      <c r="A70" s="396" t="inlineStr">
        <is>
          <t>Оборудование</t>
        </is>
      </c>
      <c r="B70" s="478" t="n"/>
      <c r="C70" s="478" t="n"/>
      <c r="D70" s="478" t="n"/>
      <c r="E70" s="479" t="n"/>
      <c r="F70" s="277" t="n"/>
      <c r="G70" s="277" t="n"/>
      <c r="H70" s="276">
        <f>SUM(H71:H71)</f>
        <v/>
      </c>
      <c r="I70" s="345" t="n"/>
      <c r="J70" s="345" t="n"/>
      <c r="K70" s="482" t="n"/>
      <c r="L70" s="482" t="n"/>
      <c r="M70" s="345" t="n"/>
    </row>
    <row r="71" ht="38.25" customHeight="1" s="364">
      <c r="A71" s="283" t="n">
        <v>54</v>
      </c>
      <c r="B71" s="396" t="n"/>
      <c r="C71" s="279" t="inlineStr">
        <is>
          <t>Прайс из СД ОП</t>
        </is>
      </c>
      <c r="D71" s="280" t="inlineStr">
        <is>
          <t>Ограничитель перенапряжений ОПНп-330/1800/230-20-III УХЛ1-П в комплекте с изолирующим основанием и датчиком измерения тока утечки "ДТУ-03" (ПП)</t>
        </is>
      </c>
      <c r="E71" s="433" t="inlineStr">
        <is>
          <t>1 фаза</t>
        </is>
      </c>
      <c r="F71" s="433" t="n">
        <v>3</v>
      </c>
      <c r="G71" s="275" t="n">
        <v>60575.93</v>
      </c>
      <c r="H71" s="275">
        <f>ROUND(F71*G71,2)</f>
        <v/>
      </c>
      <c r="I71" s="345" t="n"/>
      <c r="J71" s="345" t="n"/>
      <c r="K71" s="287" t="n"/>
      <c r="L71" s="345" t="n"/>
      <c r="M71" s="345" t="n"/>
    </row>
    <row r="72">
      <c r="A72" s="397" t="inlineStr">
        <is>
          <t>Материалы</t>
        </is>
      </c>
      <c r="B72" s="478" t="n"/>
      <c r="C72" s="478" t="n"/>
      <c r="D72" s="478" t="n"/>
      <c r="E72" s="479" t="n"/>
      <c r="F72" s="397" t="n"/>
      <c r="G72" s="249" t="n"/>
      <c r="H72" s="276">
        <f>SUM(H73:H156)</f>
        <v/>
      </c>
      <c r="K72" s="482" t="n"/>
      <c r="L72" s="482" t="n"/>
      <c r="M72" s="345" t="n"/>
    </row>
    <row r="73" ht="51" customHeight="1" s="364">
      <c r="A73" s="283" t="n">
        <v>55</v>
      </c>
      <c r="B73" s="398" t="n"/>
      <c r="C73" s="279" t="inlineStr">
        <is>
          <t>21.2.01.02-0104</t>
        </is>
      </c>
      <c r="D73" s="2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E73" s="433" t="inlineStr">
        <is>
          <t>т</t>
        </is>
      </c>
      <c r="F73" s="433" t="n">
        <v>3.620862</v>
      </c>
      <c r="G73" s="275" t="n">
        <v>32774.53</v>
      </c>
      <c r="H73" s="275">
        <f>ROUND(F73*G73,2)</f>
        <v/>
      </c>
      <c r="I73" s="287" t="n"/>
      <c r="K73" s="482" t="n"/>
      <c r="L73" s="482" t="n"/>
      <c r="M73" s="482" t="n"/>
    </row>
    <row r="74" ht="38.25" customHeight="1" s="364">
      <c r="A74" s="283" t="n">
        <v>56</v>
      </c>
      <c r="B74" s="398" t="n"/>
      <c r="C74" s="279" t="inlineStr">
        <is>
          <t>05.1.08.06-0029</t>
        </is>
      </c>
      <c r="D74" s="280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E74" s="433" t="inlineStr">
        <is>
          <t>шт</t>
        </is>
      </c>
      <c r="F74" s="433" t="n">
        <v>30</v>
      </c>
      <c r="G74" s="275" t="n">
        <v>2602.19</v>
      </c>
      <c r="H74" s="275">
        <f>ROUND(F74*G74,2)</f>
        <v/>
      </c>
      <c r="I74" s="287" t="n"/>
      <c r="K74" s="359" t="n"/>
    </row>
    <row r="75">
      <c r="A75" s="283" t="n">
        <v>57</v>
      </c>
      <c r="B75" s="398" t="n"/>
      <c r="C75" s="279" t="inlineStr">
        <is>
          <t>05.1.05.16-0221</t>
        </is>
      </c>
      <c r="D75" s="280" t="inlineStr">
        <is>
          <t>Фундаменты сборные железобетонные ВЛ и ОРУ</t>
        </is>
      </c>
      <c r="E75" s="433" t="inlineStr">
        <is>
          <t>м3</t>
        </is>
      </c>
      <c r="F75" s="433" t="n">
        <v>14.54</v>
      </c>
      <c r="G75" s="275" t="n">
        <v>1597.37</v>
      </c>
      <c r="H75" s="275">
        <f>ROUND(F75*G75,2)</f>
        <v/>
      </c>
      <c r="I75" s="287" t="n"/>
      <c r="K75" s="359" t="n"/>
    </row>
    <row r="76" ht="25.5" customHeight="1" s="364">
      <c r="A76" s="283" t="n">
        <v>58</v>
      </c>
      <c r="B76" s="398" t="n"/>
      <c r="C76" s="279" t="inlineStr">
        <is>
          <t>08.3.03.06-0021</t>
        </is>
      </c>
      <c r="D76" s="280" t="inlineStr">
        <is>
          <t>Спиральный барьер безопасности АКЛ Егоза-900 с комплектом кронштейнов, крепежей</t>
        </is>
      </c>
      <c r="E76" s="433" t="inlineStr">
        <is>
          <t>м</t>
        </is>
      </c>
      <c r="F76" s="433" t="n">
        <v>64.5</v>
      </c>
      <c r="G76" s="275" t="n">
        <v>321.22</v>
      </c>
      <c r="H76" s="275">
        <f>ROUND(F76*G76,2)</f>
        <v/>
      </c>
      <c r="I76" s="287" t="n"/>
    </row>
    <row r="77" ht="25.5" customHeight="1" s="364">
      <c r="A77" s="283" t="n">
        <v>59</v>
      </c>
      <c r="B77" s="398" t="n"/>
      <c r="C77" s="279" t="inlineStr">
        <is>
          <t>20.5.02.09-0002</t>
        </is>
      </c>
      <c r="D77" s="280" t="inlineStr">
        <is>
          <t>Коробка соединительная СК 10 "Стромир", алюминиевый корпус, IP66</t>
        </is>
      </c>
      <c r="E77" s="433" t="inlineStr">
        <is>
          <t>шт</t>
        </is>
      </c>
      <c r="F77" s="433" t="n">
        <v>6</v>
      </c>
      <c r="G77" s="275" t="n">
        <v>3130.65</v>
      </c>
      <c r="H77" s="275">
        <f>ROUND(F77*G77,2)</f>
        <v/>
      </c>
      <c r="I77" s="287" t="n"/>
    </row>
    <row r="78" ht="25.5" customHeight="1" s="364">
      <c r="A78" s="283" t="n">
        <v>60</v>
      </c>
      <c r="B78" s="398" t="n"/>
      <c r="C78" s="279" t="inlineStr">
        <is>
          <t>07.2.07.04-0003</t>
        </is>
      </c>
      <c r="D78" s="280" t="inlineStr">
        <is>
          <t>Конструкции стальные индивидуальные: решетчатые сварные массой 0,1-0,5 т</t>
        </is>
      </c>
      <c r="E78" s="433" t="inlineStr">
        <is>
          <t>т</t>
        </is>
      </c>
      <c r="F78" s="433" t="n">
        <v>0.998997</v>
      </c>
      <c r="G78" s="275" t="n">
        <v>10990</v>
      </c>
      <c r="H78" s="275">
        <f>ROUND(F78*G78,2)</f>
        <v/>
      </c>
      <c r="I78" s="287" t="n"/>
    </row>
    <row r="79" ht="25.5" customHeight="1" s="364">
      <c r="A79" s="283" t="n">
        <v>61</v>
      </c>
      <c r="B79" s="398" t="n"/>
      <c r="C79" s="279" t="inlineStr">
        <is>
          <t>02.3.01.02-1020</t>
        </is>
      </c>
      <c r="D79" s="280" t="inlineStr">
        <is>
          <t>Песок природный II класс, повышенной крупности, круглые сита</t>
        </is>
      </c>
      <c r="E79" s="433" t="inlineStr">
        <is>
          <t>м3</t>
        </is>
      </c>
      <c r="F79" s="433" t="n">
        <v>161.4865</v>
      </c>
      <c r="G79" s="275" t="n">
        <v>59.99</v>
      </c>
      <c r="H79" s="275">
        <f>ROUND(F79*G79,2)</f>
        <v/>
      </c>
      <c r="I79" s="287" t="n"/>
    </row>
    <row r="80" ht="25.5" customHeight="1" s="364">
      <c r="A80" s="283" t="n">
        <v>62</v>
      </c>
      <c r="B80" s="398" t="n"/>
      <c r="C80" s="279" t="inlineStr">
        <is>
          <t>21.1.06.09-0144</t>
        </is>
      </c>
      <c r="D80" s="280" t="inlineStr">
        <is>
          <t>Кабель силовой с медными жилами ВВГнг-LS 1х240-660</t>
        </is>
      </c>
      <c r="E80" s="433" t="inlineStr">
        <is>
          <t>1000 м</t>
        </is>
      </c>
      <c r="F80" s="433">
        <f>42/1000</f>
        <v/>
      </c>
      <c r="G80" s="275" t="n">
        <v>209948.8</v>
      </c>
      <c r="H80" s="275">
        <f>ROUND(F80*G80,2)</f>
        <v/>
      </c>
      <c r="I80" s="287" t="n"/>
    </row>
    <row r="81" ht="25.5" customHeight="1" s="364">
      <c r="A81" s="283" t="n">
        <v>63</v>
      </c>
      <c r="B81" s="398" t="n"/>
      <c r="C81" s="279" t="inlineStr">
        <is>
          <t>08.1.02.16-0013</t>
        </is>
      </c>
      <c r="D81" s="280" t="inlineStr">
        <is>
          <t>Сваи стальные винтовые, диаметр ствола: 108 мм, с крепежом</t>
        </is>
      </c>
      <c r="E81" s="433" t="inlineStr">
        <is>
          <t>компл.</t>
        </is>
      </c>
      <c r="F81" s="433" t="n">
        <v>25</v>
      </c>
      <c r="G81" s="275" t="n">
        <v>345.87</v>
      </c>
      <c r="H81" s="275">
        <f>ROUND(F81*G81,2)</f>
        <v/>
      </c>
      <c r="I81" s="287" t="n"/>
    </row>
    <row r="82" ht="25.5" customHeight="1" s="364">
      <c r="A82" s="283" t="n">
        <v>64</v>
      </c>
      <c r="B82" s="398" t="n"/>
      <c r="C82" s="279" t="inlineStr">
        <is>
          <t>02.2.05.04-0110</t>
        </is>
      </c>
      <c r="D82" s="280" t="inlineStr">
        <is>
          <t>Щебень из природного камня для строительных работ марка: 1200, фракция 40-70 мм</t>
        </is>
      </c>
      <c r="E82" s="433" t="inlineStr">
        <is>
          <t>м3</t>
        </is>
      </c>
      <c r="F82" s="433" t="n">
        <v>59.535</v>
      </c>
      <c r="G82" s="275" t="n">
        <v>103</v>
      </c>
      <c r="H82" s="275">
        <f>ROUND(F82*G82,2)</f>
        <v/>
      </c>
      <c r="I82" s="287" t="n"/>
    </row>
    <row r="83" ht="25.5" customHeight="1" s="364">
      <c r="A83" s="283" t="n">
        <v>65</v>
      </c>
      <c r="B83" s="398" t="n"/>
      <c r="C83" s="279" t="inlineStr">
        <is>
          <t>08.3.07.01-0075</t>
        </is>
      </c>
      <c r="D83" s="280" t="inlineStr">
        <is>
          <t>Сталь полосовая, марка стали: Ст1сп-Ст6сп, спокойная</t>
        </is>
      </c>
      <c r="E83" s="433" t="inlineStr">
        <is>
          <t>т</t>
        </is>
      </c>
      <c r="F83" s="433" t="n">
        <v>1.00719</v>
      </c>
      <c r="G83" s="275" t="n">
        <v>5630.34</v>
      </c>
      <c r="H83" s="275">
        <f>ROUND(F83*G83,2)</f>
        <v/>
      </c>
      <c r="I83" s="287" t="n"/>
    </row>
    <row r="84" ht="25.5" customHeight="1" s="364">
      <c r="A84" s="283" t="n">
        <v>66</v>
      </c>
      <c r="B84" s="398" t="n"/>
      <c r="C84" s="279" t="inlineStr">
        <is>
          <t>04.1.02.05-0063</t>
        </is>
      </c>
      <c r="D84" s="280" t="inlineStr">
        <is>
          <t>Бетон тяжелый, крупность заполнителя: 40 мм, класс В25 (М350)</t>
        </is>
      </c>
      <c r="E84" s="433" t="inlineStr">
        <is>
          <t>м3</t>
        </is>
      </c>
      <c r="F84" s="433" t="n">
        <v>7.39935</v>
      </c>
      <c r="G84" s="275" t="n">
        <v>700</v>
      </c>
      <c r="H84" s="275">
        <f>ROUND(F84*G84,2)</f>
        <v/>
      </c>
      <c r="I84" s="287" t="n"/>
    </row>
    <row r="85">
      <c r="A85" s="283" t="n">
        <v>67</v>
      </c>
      <c r="B85" s="398" t="n"/>
      <c r="C85" s="279" t="inlineStr">
        <is>
          <t>02.3.01.02-0015</t>
        </is>
      </c>
      <c r="D85" s="280" t="inlineStr">
        <is>
          <t>Песок природный для строительных: работ средний</t>
        </is>
      </c>
      <c r="E85" s="433" t="inlineStr">
        <is>
          <t>м3</t>
        </is>
      </c>
      <c r="F85" s="433" t="n">
        <v>89.31999999999999</v>
      </c>
      <c r="G85" s="275" t="n">
        <v>55.26</v>
      </c>
      <c r="H85" s="275">
        <f>ROUND(F85*G85,2)</f>
        <v/>
      </c>
      <c r="I85" s="287" t="n"/>
    </row>
    <row r="86" ht="25.5" customFormat="1" customHeight="1" s="358">
      <c r="A86" s="283" t="n">
        <v>68</v>
      </c>
      <c r="B86" s="398" t="n"/>
      <c r="C86" s="279" t="inlineStr">
        <is>
          <t>23.3.08.01-0118</t>
        </is>
      </c>
      <c r="D86" s="280" t="inlineStr">
        <is>
          <t>Трубы стальные квадратные из стали марки ст1-3сп/пс размером: 80х80 мм, толщина стенки 5 мм</t>
        </is>
      </c>
      <c r="E86" s="433" t="inlineStr">
        <is>
          <t>т</t>
        </is>
      </c>
      <c r="F86" s="433" t="n">
        <v>0.66493</v>
      </c>
      <c r="G86" s="275" t="n">
        <v>6013.27</v>
      </c>
      <c r="H86" s="275">
        <f>ROUND(F86*G86,2)</f>
        <v/>
      </c>
      <c r="I86" s="287" t="n"/>
    </row>
    <row r="87" ht="25.5" customHeight="1" s="364">
      <c r="A87" s="283" t="n">
        <v>69</v>
      </c>
      <c r="B87" s="398" t="n"/>
      <c r="C87" s="279" t="inlineStr">
        <is>
          <t>20.4.04.01-0024</t>
        </is>
      </c>
      <c r="D87" s="280" t="inlineStr">
        <is>
          <t>Шкаф металлический навесной ШРП-150-2М, для установки в помещениях, емкость 150 пар</t>
        </is>
      </c>
      <c r="E87" s="433" t="inlineStr">
        <is>
          <t>шт</t>
        </is>
      </c>
      <c r="F87" s="433" t="n">
        <v>3</v>
      </c>
      <c r="G87" s="275" t="n">
        <v>1282.12</v>
      </c>
      <c r="H87" s="275">
        <f>ROUND(F87*G87,2)</f>
        <v/>
      </c>
      <c r="I87" s="287" t="n"/>
    </row>
    <row r="88" ht="51" customHeight="1" s="364">
      <c r="A88" s="283" t="n">
        <v>70</v>
      </c>
      <c r="B88" s="398" t="n"/>
      <c r="C88" s="279" t="inlineStr">
        <is>
          <t>24.3.04.04-0007</t>
        </is>
      </c>
      <c r="D88" s="280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E88" s="433" t="inlineStr">
        <is>
          <t>м</t>
        </is>
      </c>
      <c r="F88" s="433" t="n">
        <v>45.9</v>
      </c>
      <c r="G88" s="275" t="n">
        <v>77.51000000000001</v>
      </c>
      <c r="H88" s="275">
        <f>ROUND(F88*G88,2)</f>
        <v/>
      </c>
      <c r="I88" s="287" t="n"/>
      <c r="K88" s="359" t="n"/>
    </row>
    <row r="89">
      <c r="A89" s="283" t="n">
        <v>71</v>
      </c>
      <c r="B89" s="398" t="n"/>
      <c r="C89" s="279" t="inlineStr">
        <is>
          <t>01.7.12.05-0056</t>
        </is>
      </c>
      <c r="D89" s="280" t="inlineStr">
        <is>
          <t>Нетканый геотекстиль: Дорнит 350 г/м2</t>
        </is>
      </c>
      <c r="E89" s="433" t="inlineStr">
        <is>
          <t>м2</t>
        </is>
      </c>
      <c r="F89" s="433" t="n">
        <v>346.5</v>
      </c>
      <c r="G89" s="275" t="n">
        <v>7.91</v>
      </c>
      <c r="H89" s="275">
        <f>ROUND(F89*G89,2)</f>
        <v/>
      </c>
      <c r="I89" s="287" t="n"/>
      <c r="K89" s="359" t="n"/>
    </row>
    <row r="90">
      <c r="A90" s="283" t="n">
        <v>72</v>
      </c>
      <c r="B90" s="398" t="n"/>
      <c r="C90" s="279" t="inlineStr">
        <is>
          <t>01.7.15.03-0041</t>
        </is>
      </c>
      <c r="D90" s="280" t="inlineStr">
        <is>
          <t>Болты с гайками и шайбами строительные</t>
        </is>
      </c>
      <c r="E90" s="433" t="inlineStr">
        <is>
          <t>т</t>
        </is>
      </c>
      <c r="F90" s="433" t="n">
        <v>0.23849</v>
      </c>
      <c r="G90" s="275" t="n">
        <v>9040.01</v>
      </c>
      <c r="H90" s="275">
        <f>ROUND(F90*G90,2)</f>
        <v/>
      </c>
      <c r="I90" s="287" t="n"/>
      <c r="K90" s="359" t="n"/>
    </row>
    <row r="91">
      <c r="A91" s="283" t="n">
        <v>73</v>
      </c>
      <c r="B91" s="398" t="n"/>
      <c r="C91" s="279" t="inlineStr">
        <is>
          <t>14.4.02.09-0301</t>
        </is>
      </c>
      <c r="D91" s="280" t="inlineStr">
        <is>
          <t>Краска "Цинол"</t>
        </is>
      </c>
      <c r="E91" s="433" t="inlineStr">
        <is>
          <t>кг</t>
        </is>
      </c>
      <c r="F91" s="433" t="n">
        <v>7.315</v>
      </c>
      <c r="G91" s="275" t="n">
        <v>238.48</v>
      </c>
      <c r="H91" s="275">
        <f>ROUND(F91*G91,2)</f>
        <v/>
      </c>
      <c r="I91" s="287" t="n"/>
      <c r="K91" s="359" t="n"/>
    </row>
    <row r="92" ht="25.5" customHeight="1" s="364">
      <c r="A92" s="283" t="n">
        <v>74</v>
      </c>
      <c r="B92" s="398" t="n"/>
      <c r="C92" s="279" t="inlineStr">
        <is>
          <t>08.4.03.03-0032</t>
        </is>
      </c>
      <c r="D92" s="280" t="inlineStr">
        <is>
          <t>Горячекатаная арматурная сталь периодического профиля класса: А-III, диаметром 12 мм</t>
        </is>
      </c>
      <c r="E92" s="433" t="inlineStr">
        <is>
          <t>т</t>
        </is>
      </c>
      <c r="F92" s="433" t="n">
        <v>0.171</v>
      </c>
      <c r="G92" s="275" t="n">
        <v>7997.23</v>
      </c>
      <c r="H92" s="275">
        <f>ROUND(F92*G92,2)</f>
        <v/>
      </c>
    </row>
    <row r="93" ht="25.5" customHeight="1" s="364">
      <c r="A93" s="283" t="n">
        <v>75</v>
      </c>
      <c r="B93" s="398" t="n"/>
      <c r="C93" s="279" t="inlineStr">
        <is>
          <t>08.4.03.02-0006</t>
        </is>
      </c>
      <c r="D93" s="280" t="inlineStr">
        <is>
          <t>Горячекатаная арматурная сталь гладкая класса А-I, диаметром: 16-18 мм</t>
        </is>
      </c>
      <c r="E93" s="433" t="inlineStr">
        <is>
          <t>т</t>
        </is>
      </c>
      <c r="F93" s="433" t="n">
        <v>0.2396</v>
      </c>
      <c r="G93" s="275" t="n">
        <v>5650</v>
      </c>
      <c r="H93" s="275">
        <f>ROUND(F93*G93,2)</f>
        <v/>
      </c>
    </row>
    <row r="94">
      <c r="A94" s="283" t="n">
        <v>76</v>
      </c>
      <c r="B94" s="398" t="n"/>
      <c r="C94" s="279" t="inlineStr">
        <is>
          <t>20.1.01.02-0068</t>
        </is>
      </c>
      <c r="D94" s="280" t="inlineStr">
        <is>
          <t>Зажим аппаратный прессуемый: А4А-600-2</t>
        </is>
      </c>
      <c r="E94" s="433" t="inlineStr">
        <is>
          <t>100 шт</t>
        </is>
      </c>
      <c r="F94" s="433" t="n">
        <v>0.18</v>
      </c>
      <c r="G94" s="275" t="n">
        <v>7378</v>
      </c>
      <c r="H94" s="275">
        <f>ROUND(F94*G94,2)</f>
        <v/>
      </c>
    </row>
    <row r="95">
      <c r="A95" s="283" t="n">
        <v>77</v>
      </c>
      <c r="B95" s="398" t="n"/>
      <c r="C95" s="279" t="inlineStr">
        <is>
          <t>20.5.03.03-0002</t>
        </is>
      </c>
      <c r="D95" s="280" t="inlineStr">
        <is>
          <t>Шины и ленты из цветных металлов</t>
        </is>
      </c>
      <c r="E95" s="433" t="inlineStr">
        <is>
          <t>т</t>
        </is>
      </c>
      <c r="F95" s="433" t="n">
        <v>0.00963</v>
      </c>
      <c r="G95" s="275" t="n">
        <v>124900</v>
      </c>
      <c r="H95" s="275">
        <f>ROUND(F95*G95,2)</f>
        <v/>
      </c>
    </row>
    <row r="96" ht="25.5" customHeight="1" s="364">
      <c r="A96" s="283" t="n">
        <v>78</v>
      </c>
      <c r="B96" s="398" t="n"/>
      <c r="C96" s="279" t="inlineStr">
        <is>
          <t>01.7.15.03-0036</t>
        </is>
      </c>
      <c r="D96" s="280" t="inlineStr">
        <is>
          <t>Болты с гайками и шайбами оцинкованные, диаметр: 24 мм</t>
        </is>
      </c>
      <c r="E96" s="433" t="inlineStr">
        <is>
          <t>кг</t>
        </is>
      </c>
      <c r="F96" s="433" t="n">
        <v>47.22</v>
      </c>
      <c r="G96" s="275" t="n">
        <v>24.79</v>
      </c>
      <c r="H96" s="275">
        <f>ROUND(F96*G96,2)</f>
        <v/>
      </c>
    </row>
    <row r="97" ht="25.5" customHeight="1" s="364">
      <c r="A97" s="283" t="n">
        <v>79</v>
      </c>
      <c r="B97" s="398" t="n"/>
      <c r="C97" s="279" t="inlineStr">
        <is>
          <t>10.1.02.03-0001</t>
        </is>
      </c>
      <c r="D97" s="280" t="inlineStr">
        <is>
          <t>Проволока алюминиевая, марка АМЦ, диаметр 1,4-1,8 мм</t>
        </is>
      </c>
      <c r="E97" s="433" t="inlineStr">
        <is>
          <t>т</t>
        </is>
      </c>
      <c r="F97" s="433" t="n">
        <v>0.0342398</v>
      </c>
      <c r="G97" s="275" t="n">
        <v>30090</v>
      </c>
      <c r="H97" s="275">
        <f>ROUND(F97*G97,2)</f>
        <v/>
      </c>
    </row>
    <row r="98">
      <c r="A98" s="283" t="n">
        <v>80</v>
      </c>
      <c r="B98" s="398" t="n"/>
      <c r="C98" s="279" t="inlineStr">
        <is>
          <t>20.5.04.05-0003</t>
        </is>
      </c>
      <c r="D98" s="280" t="inlineStr">
        <is>
          <t>Зажим ответвительный: ОА-600-1</t>
        </is>
      </c>
      <c r="E98" s="433" t="inlineStr">
        <is>
          <t>100 шт</t>
        </is>
      </c>
      <c r="F98" s="433" t="n">
        <v>0.12</v>
      </c>
      <c r="G98" s="275" t="n">
        <v>7974</v>
      </c>
      <c r="H98" s="275">
        <f>ROUND(F98*G98,2)</f>
        <v/>
      </c>
    </row>
    <row r="99" ht="25.5" customHeight="1" s="364">
      <c r="A99" s="283" t="n">
        <v>81</v>
      </c>
      <c r="B99" s="398" t="n"/>
      <c r="C99" s="279" t="inlineStr">
        <is>
          <t>20.2.10.03-0002</t>
        </is>
      </c>
      <c r="D99" s="280" t="inlineStr">
        <is>
          <t>Наконечники кабельные: медные для электротехнических установок</t>
        </is>
      </c>
      <c r="E99" s="433" t="inlineStr">
        <is>
          <t>100 шт</t>
        </is>
      </c>
      <c r="F99" s="433" t="n">
        <v>0.24</v>
      </c>
      <c r="G99" s="275" t="n">
        <v>3986</v>
      </c>
      <c r="H99" s="275">
        <f>ROUND(F99*G99,2)</f>
        <v/>
      </c>
    </row>
    <row r="100" ht="25.5" customHeight="1" s="364">
      <c r="A100" s="283" t="n">
        <v>82</v>
      </c>
      <c r="B100" s="398" t="n"/>
      <c r="C100" s="279" t="inlineStr">
        <is>
          <t>07.2.07.04-0007</t>
        </is>
      </c>
      <c r="D100" s="280" t="inlineStr">
        <is>
          <t>Конструкции стальные индивидуальные: решетчатые сварные массой до 0,1 т</t>
        </is>
      </c>
      <c r="E100" s="433" t="inlineStr">
        <is>
          <t>т</t>
        </is>
      </c>
      <c r="F100" s="433" t="n">
        <v>0.0809</v>
      </c>
      <c r="G100" s="275" t="n">
        <v>11500</v>
      </c>
      <c r="H100" s="275">
        <f>ROUND(F100*G100,2)</f>
        <v/>
      </c>
    </row>
    <row r="101">
      <c r="A101" s="283" t="n">
        <v>83</v>
      </c>
      <c r="B101" s="398" t="n"/>
      <c r="C101" s="279" t="inlineStr">
        <is>
          <t>01.7.11.07-0032</t>
        </is>
      </c>
      <c r="D101" s="280" t="inlineStr">
        <is>
          <t>Электроды диаметром: 4 мм Э42</t>
        </is>
      </c>
      <c r="E101" s="433" t="inlineStr">
        <is>
          <t>т</t>
        </is>
      </c>
      <c r="F101" s="433" t="n">
        <v>0.0803</v>
      </c>
      <c r="G101" s="275" t="n">
        <v>10315.01</v>
      </c>
      <c r="H101" s="275">
        <f>ROUND(F101*G101,2)</f>
        <v/>
      </c>
    </row>
    <row r="102" ht="25.5" customHeight="1" s="364">
      <c r="A102" s="283" t="n">
        <v>84</v>
      </c>
      <c r="B102" s="398" t="n"/>
      <c r="C102" s="279" t="inlineStr">
        <is>
          <t>02.2.05.04-0050</t>
        </is>
      </c>
      <c r="D102" s="280" t="inlineStr">
        <is>
          <t>Щебень из гравия для строительных работ марка 800, фракция 10-20 мм</t>
        </is>
      </c>
      <c r="E102" s="433" t="inlineStr">
        <is>
          <t>м3</t>
        </is>
      </c>
      <c r="F102" s="433" t="n">
        <v>4.017</v>
      </c>
      <c r="G102" s="275" t="n">
        <v>185.49</v>
      </c>
      <c r="H102" s="275">
        <f>ROUND(F102*G102,2)</f>
        <v/>
      </c>
      <c r="I102" s="287" t="n"/>
    </row>
    <row r="103" ht="38.25" customHeight="1" s="364">
      <c r="A103" s="283" t="n">
        <v>85</v>
      </c>
      <c r="B103" s="398" t="n"/>
      <c r="C103" s="279" t="inlineStr">
        <is>
          <t>01.7.16.04-0014</t>
        </is>
      </c>
      <c r="D103" s="28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103" s="433" t="inlineStr">
        <is>
          <t>м2</t>
        </is>
      </c>
      <c r="F103" s="433" t="n">
        <v>3.645</v>
      </c>
      <c r="G103" s="275" t="n">
        <v>180</v>
      </c>
      <c r="H103" s="275">
        <f>ROUND(F103*G103,2)</f>
        <v/>
      </c>
      <c r="I103" s="287" t="n"/>
    </row>
    <row r="104">
      <c r="A104" s="283" t="n">
        <v>86</v>
      </c>
      <c r="B104" s="398" t="n"/>
      <c r="C104" s="279" t="inlineStr">
        <is>
          <t>62.5.02.01-0004</t>
        </is>
      </c>
      <c r="D104" s="280" t="inlineStr">
        <is>
          <t>Трансформатор тока: Т-0,66</t>
        </is>
      </c>
      <c r="E104" s="433" t="inlineStr">
        <is>
          <t>шт</t>
        </is>
      </c>
      <c r="F104" s="433" t="n">
        <v>6</v>
      </c>
      <c r="G104" s="275" t="n">
        <v>108.81</v>
      </c>
      <c r="H104" s="275">
        <f>ROUND(F104*G104,2)</f>
        <v/>
      </c>
      <c r="I104" s="287" t="n"/>
    </row>
    <row r="105" ht="25.5" customHeight="1" s="364">
      <c r="A105" s="283" t="n">
        <v>87</v>
      </c>
      <c r="B105" s="398" t="n"/>
      <c r="C105" s="279" t="inlineStr">
        <is>
          <t>08.1.06.05-0024</t>
        </is>
      </c>
      <c r="D105" s="280" t="inlineStr">
        <is>
          <t>Полотна калиток сетчатые из плетеной сетки: S=1,25х2,07=2,59 м2, КМ 5В (серия 3.017-1)</t>
        </is>
      </c>
      <c r="E105" s="433" t="inlineStr">
        <is>
          <t>шт</t>
        </is>
      </c>
      <c r="F105" s="433" t="n">
        <v>1</v>
      </c>
      <c r="G105" s="275" t="n">
        <v>623.21</v>
      </c>
      <c r="H105" s="275">
        <f>ROUND(F105*G105,2)</f>
        <v/>
      </c>
      <c r="I105" s="287" t="n"/>
    </row>
    <row r="106">
      <c r="A106" s="283" t="n">
        <v>88</v>
      </c>
      <c r="B106" s="398" t="n"/>
      <c r="C106" s="279" t="inlineStr">
        <is>
          <t>20.2.11.01-0010</t>
        </is>
      </c>
      <c r="D106" s="280" t="inlineStr">
        <is>
          <t>Распорка дистанционная: глухая РГ-4-400</t>
        </is>
      </c>
      <c r="E106" s="433" t="inlineStr">
        <is>
          <t>шт</t>
        </is>
      </c>
      <c r="F106" s="433" t="n">
        <v>18</v>
      </c>
      <c r="G106" s="275" t="n">
        <v>33.41</v>
      </c>
      <c r="H106" s="275">
        <f>ROUND(F106*G106,2)</f>
        <v/>
      </c>
      <c r="I106" s="287" t="n"/>
    </row>
    <row r="107" ht="25.5" customHeight="1" s="364">
      <c r="A107" s="283" t="n">
        <v>89</v>
      </c>
      <c r="B107" s="398" t="n"/>
      <c r="C107" s="279" t="inlineStr">
        <is>
          <t>04.1.02.05-0026</t>
        </is>
      </c>
      <c r="D107" s="280" t="inlineStr">
        <is>
          <t>Бетон тяжелый, крупность заполнителя: 10 мм, класс В15 (М200)</t>
        </is>
      </c>
      <c r="E107" s="433" t="inlineStr">
        <is>
          <t>м3</t>
        </is>
      </c>
      <c r="F107" s="433" t="n">
        <v>0.663</v>
      </c>
      <c r="G107" s="275" t="n">
        <v>665</v>
      </c>
      <c r="H107" s="275">
        <f>ROUND(F107*G107,2)</f>
        <v/>
      </c>
      <c r="I107" s="287" t="n"/>
    </row>
    <row r="108" ht="25.5" customHeight="1" s="364">
      <c r="A108" s="283" t="n">
        <v>90</v>
      </c>
      <c r="B108" s="398" t="n"/>
      <c r="C108" s="279" t="inlineStr">
        <is>
          <t>01.7.15.03-0035</t>
        </is>
      </c>
      <c r="D108" s="280" t="inlineStr">
        <is>
          <t>Болты с гайками и шайбами оцинкованные, диаметр: 20 мм</t>
        </is>
      </c>
      <c r="E108" s="433" t="inlineStr">
        <is>
          <t>кг</t>
        </is>
      </c>
      <c r="F108" s="433" t="n">
        <v>15.985</v>
      </c>
      <c r="G108" s="275" t="n">
        <v>24.97</v>
      </c>
      <c r="H108" s="275">
        <f>ROUND(F108*G108,2)</f>
        <v/>
      </c>
      <c r="I108" s="287" t="n"/>
    </row>
    <row r="109">
      <c r="A109" s="283" t="n">
        <v>91</v>
      </c>
      <c r="B109" s="398" t="n"/>
      <c r="C109" s="279" t="inlineStr">
        <is>
          <t>01.2.03.03-0045</t>
        </is>
      </c>
      <c r="D109" s="280" t="inlineStr">
        <is>
          <t>Мастика битумно-полимерная</t>
        </is>
      </c>
      <c r="E109" s="433" t="inlineStr">
        <is>
          <t>т</t>
        </is>
      </c>
      <c r="F109" s="433" t="n">
        <v>0.1971</v>
      </c>
      <c r="G109" s="275" t="n">
        <v>1500</v>
      </c>
      <c r="H109" s="275">
        <f>ROUND(F109*G109,2)</f>
        <v/>
      </c>
      <c r="I109" s="287" t="n"/>
    </row>
    <row r="110" ht="25.5" customHeight="1" s="364">
      <c r="A110" s="283" t="n">
        <v>92</v>
      </c>
      <c r="B110" s="398" t="n"/>
      <c r="C110" s="279" t="inlineStr">
        <is>
          <t>08.3.08.01-0026</t>
        </is>
      </c>
      <c r="D110" s="280" t="inlineStr">
        <is>
          <t>Сталь угловая неравнополочная, марка стали: 18сп, ширина большей полки 63-160 мм</t>
        </is>
      </c>
      <c r="E110" s="433" t="inlineStr">
        <is>
          <t>т</t>
        </is>
      </c>
      <c r="F110" s="433" t="n">
        <v>0.054</v>
      </c>
      <c r="G110" s="275" t="n">
        <v>5443.44</v>
      </c>
      <c r="H110" s="275">
        <f>ROUND(F110*G110,2)</f>
        <v/>
      </c>
      <c r="I110" s="287" t="n"/>
    </row>
    <row r="111" ht="25.5" customFormat="1" customHeight="1" s="358">
      <c r="A111" s="283" t="n">
        <v>93</v>
      </c>
      <c r="B111" s="398" t="n"/>
      <c r="C111" s="279" t="inlineStr">
        <is>
          <t>08.4.03.03-0030</t>
        </is>
      </c>
      <c r="D111" s="280" t="inlineStr">
        <is>
          <t>Горячекатаная арматурная сталь периодического профиля класса: А-III, диаметром 8 мм</t>
        </is>
      </c>
      <c r="E111" s="433" t="inlineStr">
        <is>
          <t>т</t>
        </is>
      </c>
      <c r="F111" s="433" t="n">
        <v>0.033</v>
      </c>
      <c r="G111" s="275" t="n">
        <v>8102.64</v>
      </c>
      <c r="H111" s="275">
        <f>ROUND(F111*G111,2)</f>
        <v/>
      </c>
      <c r="I111" s="287" t="n"/>
    </row>
    <row r="112" ht="25.5" customHeight="1" s="364">
      <c r="A112" s="283" t="n">
        <v>94</v>
      </c>
      <c r="B112" s="398" t="n"/>
      <c r="C112" s="279" t="inlineStr">
        <is>
          <t>08.3.08.02-0044</t>
        </is>
      </c>
      <c r="D112" s="280" t="inlineStr">
        <is>
          <t>Сталь угловая равнополочная, марка стали: 18пс, шириной полок 35-56 мм</t>
        </is>
      </c>
      <c r="E112" s="433" t="inlineStr">
        <is>
          <t>т</t>
        </is>
      </c>
      <c r="F112" s="433" t="n">
        <v>0.0529</v>
      </c>
      <c r="G112" s="275" t="n">
        <v>4984.74</v>
      </c>
      <c r="H112" s="275">
        <f>ROUND(F112*G112,2)</f>
        <v/>
      </c>
      <c r="I112" s="287" t="n"/>
    </row>
    <row r="113" ht="25.5" customHeight="1" s="364">
      <c r="A113" s="283" t="n">
        <v>95</v>
      </c>
      <c r="B113" s="398" t="n"/>
      <c r="C113" s="279" t="inlineStr">
        <is>
          <t>20.2.10.03-0002</t>
        </is>
      </c>
      <c r="D113" s="280" t="inlineStr">
        <is>
          <t>Наконечники кабельные: медные для электротехнических установок</t>
        </is>
      </c>
      <c r="E113" s="433" t="inlineStr">
        <is>
          <t>100 шт</t>
        </is>
      </c>
      <c r="F113" s="433" t="n">
        <v>0.0612</v>
      </c>
      <c r="G113" s="275" t="n">
        <v>3986</v>
      </c>
      <c r="H113" s="275">
        <f>ROUND(F113*G113,2)</f>
        <v/>
      </c>
      <c r="I113" s="287" t="n"/>
      <c r="K113" s="359" t="n"/>
    </row>
    <row r="114" ht="25.5" customHeight="1" s="364">
      <c r="A114" s="283" t="n">
        <v>96</v>
      </c>
      <c r="B114" s="398" t="n"/>
      <c r="C114" s="279" t="inlineStr">
        <is>
          <t>08.3.07.01-0076</t>
        </is>
      </c>
      <c r="D114" s="280" t="inlineStr">
        <is>
          <t>Сталь полосовая, марка стали: Ст3сп шириной 50-200 мм толщиной 4-5 мм</t>
        </is>
      </c>
      <c r="E114" s="433" t="inlineStr">
        <is>
          <t>т</t>
        </is>
      </c>
      <c r="F114" s="433" t="n">
        <v>0.045</v>
      </c>
      <c r="G114" s="275" t="n">
        <v>5000</v>
      </c>
      <c r="H114" s="275">
        <f>ROUND(F114*G114,2)</f>
        <v/>
      </c>
      <c r="I114" s="287" t="n"/>
      <c r="K114" s="359" t="n"/>
    </row>
    <row r="115" ht="25.5" customHeight="1" s="364">
      <c r="A115" s="283" t="n">
        <v>97</v>
      </c>
      <c r="B115" s="398" t="n"/>
      <c r="C115" s="279" t="inlineStr">
        <is>
          <t>04.3.01.09-0023</t>
        </is>
      </c>
      <c r="D115" s="280" t="inlineStr">
        <is>
          <t>Раствор готовый отделочный тяжелый,: цементный 1:3</t>
        </is>
      </c>
      <c r="E115" s="433" t="inlineStr">
        <is>
          <t>м3</t>
        </is>
      </c>
      <c r="F115" s="433" t="n">
        <v>0.3154</v>
      </c>
      <c r="G115" s="275" t="n">
        <v>497</v>
      </c>
      <c r="H115" s="275">
        <f>ROUND(F115*G115,2)</f>
        <v/>
      </c>
      <c r="I115" s="287" t="n"/>
      <c r="K115" s="359" t="n"/>
    </row>
    <row r="116">
      <c r="A116" s="283" t="n">
        <v>98</v>
      </c>
      <c r="B116" s="398" t="n"/>
      <c r="C116" s="279" t="inlineStr">
        <is>
          <t>01.7.15.03-0042</t>
        </is>
      </c>
      <c r="D116" s="280" t="inlineStr">
        <is>
          <t>Болты с гайками и шайбами строительные</t>
        </is>
      </c>
      <c r="E116" s="433" t="inlineStr">
        <is>
          <t>кг</t>
        </is>
      </c>
      <c r="F116" s="433" t="n">
        <v>17.3005</v>
      </c>
      <c r="G116" s="275" t="n">
        <v>9.039999999999999</v>
      </c>
      <c r="H116" s="275">
        <f>ROUND(F116*G116,2)</f>
        <v/>
      </c>
    </row>
    <row r="117">
      <c r="A117" s="283" t="n">
        <v>99</v>
      </c>
      <c r="B117" s="398" t="n"/>
      <c r="C117" s="279" t="inlineStr">
        <is>
          <t>04.1.02.05-0010</t>
        </is>
      </c>
      <c r="D117" s="280" t="inlineStr">
        <is>
          <t>Бетон тяжелый, класс: В27,5 (М350)</t>
        </is>
      </c>
      <c r="E117" s="433" t="inlineStr">
        <is>
          <t>м3</t>
        </is>
      </c>
      <c r="F117" s="433" t="n">
        <v>0.184</v>
      </c>
      <c r="G117" s="275" t="n">
        <v>730</v>
      </c>
      <c r="H117" s="275">
        <f>ROUND(F117*G117,2)</f>
        <v/>
      </c>
    </row>
    <row r="118" ht="38.25" customHeight="1" s="364">
      <c r="A118" s="283" t="n">
        <v>100</v>
      </c>
      <c r="B118" s="398" t="n"/>
      <c r="C118" s="279" t="inlineStr">
        <is>
          <t>21.2.03.05-0074</t>
        </is>
      </c>
      <c r="D118" s="280" t="inlineStr">
        <is>
          <t>Провода силовые для электрических установок на напряжение до 450 В с медной жилой марки: ПВ3, сечением 25 мм2</t>
        </is>
      </c>
      <c r="E118" s="433" t="inlineStr">
        <is>
          <t>1000 м</t>
        </is>
      </c>
      <c r="F118" s="433" t="n">
        <v>0.00612</v>
      </c>
      <c r="G118" s="275" t="n">
        <v>19362.19</v>
      </c>
      <c r="H118" s="275">
        <f>ROUND(F118*G118,2)</f>
        <v/>
      </c>
    </row>
    <row r="119" ht="25.5" customHeight="1" s="364">
      <c r="A119" s="283" t="n">
        <v>101</v>
      </c>
      <c r="B119" s="398" t="n"/>
      <c r="C119" s="279" t="inlineStr">
        <is>
          <t>08.4.03.02-0001</t>
        </is>
      </c>
      <c r="D119" s="280" t="inlineStr">
        <is>
          <t>Горячекатаная арматурная сталь гладкая класса А-I, диаметром: 6 мм</t>
        </is>
      </c>
      <c r="E119" s="433" t="inlineStr">
        <is>
          <t>т</t>
        </is>
      </c>
      <c r="F119" s="433" t="n">
        <v>0.013</v>
      </c>
      <c r="G119" s="275" t="n">
        <v>7418.82</v>
      </c>
      <c r="H119" s="275">
        <f>ROUND(F119*G119,2)</f>
        <v/>
      </c>
    </row>
    <row r="120" ht="25.5" customHeight="1" s="364">
      <c r="A120" s="283" t="n">
        <v>102</v>
      </c>
      <c r="B120" s="398" t="n"/>
      <c r="C120" s="279" t="inlineStr">
        <is>
          <t>11.1.03.06-0091</t>
        </is>
      </c>
      <c r="D120" s="280" t="inlineStr">
        <is>
          <t>Доски обрезные хвойных пород длиной: 4-6,5 м, шириной 75-150 мм, толщиной 32-40 мм, III сорта</t>
        </is>
      </c>
      <c r="E120" s="433" t="inlineStr">
        <is>
          <t>м3</t>
        </is>
      </c>
      <c r="F120" s="433" t="n">
        <v>0.08019999999999999</v>
      </c>
      <c r="G120" s="275" t="n">
        <v>1155</v>
      </c>
      <c r="H120" s="275">
        <f>ROUND(F120*G120,2)</f>
        <v/>
      </c>
    </row>
    <row r="121">
      <c r="A121" s="283" t="n">
        <v>103</v>
      </c>
      <c r="B121" s="398" t="n"/>
      <c r="C121" s="279" t="inlineStr">
        <is>
          <t>01.7.15.07-0014</t>
        </is>
      </c>
      <c r="D121" s="280" t="inlineStr">
        <is>
          <t>Дюбели распорные полипропиленовые</t>
        </is>
      </c>
      <c r="E121" s="433" t="inlineStr">
        <is>
          <t>100 шт</t>
        </is>
      </c>
      <c r="F121" s="433" t="n">
        <v>1.0632</v>
      </c>
      <c r="G121" s="275" t="n">
        <v>86</v>
      </c>
      <c r="H121" s="275">
        <f>ROUND(F121*G121,2)</f>
        <v/>
      </c>
    </row>
    <row r="122">
      <c r="A122" s="283" t="n">
        <v>104</v>
      </c>
      <c r="B122" s="398" t="n"/>
      <c r="C122" s="279" t="inlineStr">
        <is>
          <t>14.5.09.11-0102</t>
        </is>
      </c>
      <c r="D122" s="280" t="inlineStr">
        <is>
          <t>Уайт-спирит</t>
        </is>
      </c>
      <c r="E122" s="433" t="inlineStr">
        <is>
          <t>кг</t>
        </is>
      </c>
      <c r="F122" s="433" t="n">
        <v>11.3376775</v>
      </c>
      <c r="G122" s="275" t="n">
        <v>6.67</v>
      </c>
      <c r="H122" s="275">
        <f>ROUND(F122*G122,2)</f>
        <v/>
      </c>
    </row>
    <row r="123">
      <c r="A123" s="283" t="n">
        <v>105</v>
      </c>
      <c r="B123" s="398" t="n"/>
      <c r="C123" s="279" t="inlineStr">
        <is>
          <t>01.7.11.07-0054</t>
        </is>
      </c>
      <c r="D123" s="280" t="inlineStr">
        <is>
          <t>Электроды диаметром: 6 мм Э42</t>
        </is>
      </c>
      <c r="E123" s="433" t="inlineStr">
        <is>
          <t>т</t>
        </is>
      </c>
      <c r="F123" s="433" t="n">
        <v>0.007900000000000001</v>
      </c>
      <c r="G123" s="275" t="n">
        <v>9424</v>
      </c>
      <c r="H123" s="275">
        <f>ROUND(F123*G123,2)</f>
        <v/>
      </c>
    </row>
    <row r="124">
      <c r="A124" s="283" t="n">
        <v>106</v>
      </c>
      <c r="B124" s="398" t="n"/>
      <c r="C124" s="279" t="inlineStr">
        <is>
          <t>01.7.11.07-0034</t>
        </is>
      </c>
      <c r="D124" s="280" t="inlineStr">
        <is>
          <t>Электроды диаметром: 4 мм Э42А</t>
        </is>
      </c>
      <c r="E124" s="433" t="inlineStr">
        <is>
          <t>кг</t>
        </is>
      </c>
      <c r="F124" s="433" t="n">
        <v>4.8499</v>
      </c>
      <c r="G124" s="275" t="n">
        <v>10.57</v>
      </c>
      <c r="H124" s="275">
        <f>ROUND(F124*G124,2)</f>
        <v/>
      </c>
    </row>
    <row r="125">
      <c r="A125" s="283" t="n">
        <v>107</v>
      </c>
      <c r="B125" s="398" t="n"/>
      <c r="C125" s="279" t="inlineStr">
        <is>
          <t>20.2.10.04-0005</t>
        </is>
      </c>
      <c r="D125" s="280" t="inlineStr">
        <is>
          <t>Наконечники кабельные: медные луженные ТМЛ-25</t>
        </is>
      </c>
      <c r="E125" s="433" t="inlineStr">
        <is>
          <t>100 шт</t>
        </is>
      </c>
      <c r="F125" s="433" t="n">
        <v>0.12</v>
      </c>
      <c r="G125" s="275" t="n">
        <v>368</v>
      </c>
      <c r="H125" s="275">
        <f>ROUND(F125*G125,2)</f>
        <v/>
      </c>
    </row>
    <row r="126">
      <c r="A126" s="283" t="n">
        <v>108</v>
      </c>
      <c r="B126" s="398" t="n"/>
      <c r="C126" s="279" t="inlineStr">
        <is>
          <t>08.3.03.04-0012</t>
        </is>
      </c>
      <c r="D126" s="280" t="inlineStr">
        <is>
          <t>Проволока светлая диаметром: 1,1 мм</t>
        </is>
      </c>
      <c r="E126" s="433" t="inlineStr">
        <is>
          <t>т</t>
        </is>
      </c>
      <c r="F126" s="433" t="n">
        <v>0.0035</v>
      </c>
      <c r="G126" s="275" t="n">
        <v>10200</v>
      </c>
      <c r="H126" s="275">
        <f>ROUND(F126*G126,2)</f>
        <v/>
      </c>
      <c r="I126" s="287" t="n"/>
    </row>
    <row r="127">
      <c r="A127" s="283" t="n">
        <v>109</v>
      </c>
      <c r="B127" s="398" t="n"/>
      <c r="C127" s="279" t="inlineStr">
        <is>
          <t>20.1.02.23-0082</t>
        </is>
      </c>
      <c r="D127" s="280" t="inlineStr">
        <is>
          <t>Перемычки гибкие, тип ПГС-50</t>
        </is>
      </c>
      <c r="E127" s="433" t="inlineStr">
        <is>
          <t>10 шт</t>
        </is>
      </c>
      <c r="F127" s="433" t="n">
        <v>0.9</v>
      </c>
      <c r="G127" s="275" t="n">
        <v>39</v>
      </c>
      <c r="H127" s="275">
        <f>ROUND(F127*G127,2)</f>
        <v/>
      </c>
      <c r="I127" s="287" t="n"/>
    </row>
    <row r="128">
      <c r="A128" s="283" t="n">
        <v>110</v>
      </c>
      <c r="B128" s="398" t="n"/>
      <c r="C128" s="279" t="inlineStr">
        <is>
          <t>01.7.15.06-0111</t>
        </is>
      </c>
      <c r="D128" s="280" t="inlineStr">
        <is>
          <t>Гвозди строительные</t>
        </is>
      </c>
      <c r="E128" s="433" t="inlineStr">
        <is>
          <t>т</t>
        </is>
      </c>
      <c r="F128" s="433" t="n">
        <v>0.0029</v>
      </c>
      <c r="G128" s="275" t="n">
        <v>11978</v>
      </c>
      <c r="H128" s="275">
        <f>ROUND(F128*G128,2)</f>
        <v/>
      </c>
      <c r="I128" s="287" t="n"/>
    </row>
    <row r="129" ht="25.5" customHeight="1" s="364">
      <c r="A129" s="283" t="n">
        <v>111</v>
      </c>
      <c r="B129" s="398" t="n"/>
      <c r="C129" s="279" t="inlineStr">
        <is>
          <t>999-9950</t>
        </is>
      </c>
      <c r="D129" s="280" t="inlineStr">
        <is>
          <t>Вспомогательные ненормируемые ресурсы (2% от Оплаты труда рабочих)</t>
        </is>
      </c>
      <c r="E129" s="433" t="inlineStr">
        <is>
          <t>руб.</t>
        </is>
      </c>
      <c r="F129" s="433" t="n">
        <v>34.6685</v>
      </c>
      <c r="G129" s="275" t="n">
        <v>1</v>
      </c>
      <c r="H129" s="275">
        <f>ROUND(F129*G129,2)</f>
        <v/>
      </c>
      <c r="I129" s="287" t="n"/>
    </row>
    <row r="130" ht="25.5" customHeight="1" s="364">
      <c r="A130" s="283" t="n">
        <v>112</v>
      </c>
      <c r="B130" s="398" t="n"/>
      <c r="C130" s="279" t="inlineStr">
        <is>
          <t>01.7.06.05-0041</t>
        </is>
      </c>
      <c r="D130" s="280" t="inlineStr">
        <is>
          <t>Лента изоляционная прорезиненная односторонняя ширина 20 мм, толщина 0,25-0,35 мм</t>
        </is>
      </c>
      <c r="E130" s="433" t="inlineStr">
        <is>
          <t>кг</t>
        </is>
      </c>
      <c r="F130" s="433" t="n">
        <v>1.008</v>
      </c>
      <c r="G130" s="275" t="n">
        <v>30.4</v>
      </c>
      <c r="H130" s="275">
        <f>ROUND(F130*G130,2)</f>
        <v/>
      </c>
      <c r="I130" s="287" t="n"/>
    </row>
    <row r="131" ht="25.5" customHeight="1" s="364">
      <c r="A131" s="283" t="n">
        <v>113</v>
      </c>
      <c r="B131" s="398" t="n"/>
      <c r="C131" s="279" t="inlineStr">
        <is>
          <t>06.1.01.05-0035</t>
        </is>
      </c>
      <c r="D131" s="280" t="inlineStr">
        <is>
          <t>Кирпич керамический одинарный, размером 250х120х65 мм, марка: 100</t>
        </is>
      </c>
      <c r="E131" s="433" t="inlineStr">
        <is>
          <t>1000 шт</t>
        </is>
      </c>
      <c r="F131" s="433" t="n">
        <v>0.0135</v>
      </c>
      <c r="G131" s="275" t="n">
        <v>1752.6</v>
      </c>
      <c r="H131" s="275">
        <f>ROUND(F131*G131,2)</f>
        <v/>
      </c>
      <c r="I131" s="287" t="n"/>
    </row>
    <row r="132">
      <c r="A132" s="283" t="n">
        <v>114</v>
      </c>
      <c r="B132" s="398" t="n"/>
      <c r="C132" s="279" t="inlineStr">
        <is>
          <t>01.7.03.01-0001</t>
        </is>
      </c>
      <c r="D132" s="280" t="inlineStr">
        <is>
          <t>Вода</t>
        </is>
      </c>
      <c r="E132" s="433" t="inlineStr">
        <is>
          <t>м3</t>
        </is>
      </c>
      <c r="F132" s="433" t="n">
        <v>8.9018</v>
      </c>
      <c r="G132" s="275" t="n">
        <v>2.44</v>
      </c>
      <c r="H132" s="275">
        <f>ROUND(F132*G132,2)</f>
        <v/>
      </c>
      <c r="I132" s="287" t="n"/>
    </row>
    <row r="133">
      <c r="A133" s="283" t="n">
        <v>115</v>
      </c>
      <c r="B133" s="398" t="n"/>
      <c r="C133" s="279" t="inlineStr">
        <is>
          <t>01.7.17.11-0003</t>
        </is>
      </c>
      <c r="D133" s="280" t="inlineStr">
        <is>
          <t>Бумага шлифовальная</t>
        </is>
      </c>
      <c r="E133" s="433" t="inlineStr">
        <is>
          <t>10 листов</t>
        </is>
      </c>
      <c r="F133" s="433" t="n">
        <v>0.5</v>
      </c>
      <c r="G133" s="275" t="n">
        <v>37.5</v>
      </c>
      <c r="H133" s="275">
        <f>ROUND(F133*G133,2)</f>
        <v/>
      </c>
      <c r="I133" s="287" t="n"/>
    </row>
    <row r="134">
      <c r="A134" s="283" t="n">
        <v>116</v>
      </c>
      <c r="B134" s="398" t="n"/>
      <c r="C134" s="279" t="inlineStr">
        <is>
          <t>14.4.02.09-0001</t>
        </is>
      </c>
      <c r="D134" s="280" t="inlineStr">
        <is>
          <t>Краска</t>
        </is>
      </c>
      <c r="E134" s="433" t="inlineStr">
        <is>
          <t>кг</t>
        </is>
      </c>
      <c r="F134" s="433" t="n">
        <v>0.5921999999999999</v>
      </c>
      <c r="G134" s="275" t="n">
        <v>28.6</v>
      </c>
      <c r="H134" s="275">
        <f>ROUND(F134*G134,2)</f>
        <v/>
      </c>
      <c r="I134" s="287" t="n"/>
    </row>
    <row r="135" customFormat="1" s="358">
      <c r="A135" s="283" t="n">
        <v>117</v>
      </c>
      <c r="B135" s="398" t="n"/>
      <c r="C135" s="279" t="inlineStr">
        <is>
          <t>01.3.01.02-0002</t>
        </is>
      </c>
      <c r="D135" s="280" t="inlineStr">
        <is>
          <t>Вазелин технический</t>
        </is>
      </c>
      <c r="E135" s="433" t="inlineStr">
        <is>
          <t>кг</t>
        </is>
      </c>
      <c r="F135" s="433" t="n">
        <v>0.36</v>
      </c>
      <c r="G135" s="275" t="n">
        <v>44.97</v>
      </c>
      <c r="H135" s="275">
        <f>ROUND(F135*G135,2)</f>
        <v/>
      </c>
      <c r="I135" s="287" t="n"/>
    </row>
    <row r="136" ht="25.5" customHeight="1" s="364">
      <c r="A136" s="283" t="n">
        <v>118</v>
      </c>
      <c r="B136" s="398" t="n"/>
      <c r="C136" s="279" t="inlineStr">
        <is>
          <t>08.3.03.05-0020</t>
        </is>
      </c>
      <c r="D136" s="280" t="inlineStr">
        <is>
          <t>Проволока стальная низкоуглеродистая разного назначения оцинкованная диаметром: 6,0-6,3 мм</t>
        </is>
      </c>
      <c r="E136" s="433" t="inlineStr">
        <is>
          <t>т</t>
        </is>
      </c>
      <c r="F136" s="433" t="n">
        <v>0.0013</v>
      </c>
      <c r="G136" s="275" t="n">
        <v>12110</v>
      </c>
      <c r="H136" s="275">
        <f>ROUND(F136*G136,2)</f>
        <v/>
      </c>
      <c r="I136" s="287" t="n"/>
    </row>
    <row r="137">
      <c r="A137" s="283" t="n">
        <v>119</v>
      </c>
      <c r="B137" s="398" t="n"/>
      <c r="C137" s="279" t="inlineStr">
        <is>
          <t>14.4.03.17-0011</t>
        </is>
      </c>
      <c r="D137" s="280" t="inlineStr">
        <is>
          <t>Лак электроизоляционный 318</t>
        </is>
      </c>
      <c r="E137" s="433" t="inlineStr">
        <is>
          <t>кг</t>
        </is>
      </c>
      <c r="F137" s="433" t="n">
        <v>0.402</v>
      </c>
      <c r="G137" s="275" t="n">
        <v>35.63</v>
      </c>
      <c r="H137" s="275">
        <f>ROUND(F137*G137,2)</f>
        <v/>
      </c>
      <c r="I137" s="287" t="n"/>
      <c r="K137" s="359" t="n"/>
    </row>
    <row r="138" ht="51" customHeight="1" s="364">
      <c r="A138" s="283" t="n">
        <v>120</v>
      </c>
      <c r="B138" s="398" t="n"/>
      <c r="C138" s="279" t="inlineStr">
        <is>
          <t>07.2.07.12-0006</t>
        </is>
      </c>
      <c r="D138" s="28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38" s="433" t="inlineStr">
        <is>
          <t>т</t>
        </is>
      </c>
      <c r="F138" s="433" t="n">
        <v>0.0013</v>
      </c>
      <c r="G138" s="275" t="n">
        <v>10045</v>
      </c>
      <c r="H138" s="275">
        <f>ROUND(F138*G138,2)</f>
        <v/>
      </c>
      <c r="I138" s="287" t="n"/>
      <c r="K138" s="359" t="n"/>
    </row>
    <row r="139">
      <c r="A139" s="283" t="n">
        <v>121</v>
      </c>
      <c r="B139" s="398" t="n"/>
      <c r="C139" s="279" t="inlineStr">
        <is>
          <t>01.7.20.08-0031</t>
        </is>
      </c>
      <c r="D139" s="280" t="inlineStr">
        <is>
          <t>Бязь суровая арт. 6804</t>
        </is>
      </c>
      <c r="E139" s="433" t="inlineStr">
        <is>
          <t>10 м2</t>
        </is>
      </c>
      <c r="F139" s="433" t="n">
        <v>0.153</v>
      </c>
      <c r="G139" s="275" t="n">
        <v>79.09999999999999</v>
      </c>
      <c r="H139" s="275">
        <f>ROUND(F139*G139,2)</f>
        <v/>
      </c>
      <c r="I139" s="287" t="n"/>
      <c r="K139" s="359" t="n"/>
    </row>
    <row r="140" ht="38.25" customHeight="1" s="364">
      <c r="A140" s="283" t="n">
        <v>122</v>
      </c>
      <c r="B140" s="398" t="n"/>
      <c r="C140" s="279" t="inlineStr">
        <is>
          <t>07.2.07.11-0021</t>
        </is>
      </c>
      <c r="D140" s="280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40" s="433" t="inlineStr">
        <is>
          <t>кг</t>
        </is>
      </c>
      <c r="F140" s="433" t="n">
        <v>0.983856</v>
      </c>
      <c r="G140" s="275" t="n">
        <v>11.83</v>
      </c>
      <c r="H140" s="275">
        <f>ROUND(F140*G140,2)</f>
        <v/>
      </c>
    </row>
    <row r="141">
      <c r="A141" s="283" t="n">
        <v>123</v>
      </c>
      <c r="B141" s="398" t="n"/>
      <c r="C141" s="279" t="inlineStr">
        <is>
          <t>01.7.20.04-0005</t>
        </is>
      </c>
      <c r="D141" s="280" t="inlineStr">
        <is>
          <t>Нитки швейные</t>
        </is>
      </c>
      <c r="E141" s="433" t="inlineStr">
        <is>
          <t>кг</t>
        </is>
      </c>
      <c r="F141" s="433" t="n">
        <v>0.066</v>
      </c>
      <c r="G141" s="275" t="n">
        <v>133.05</v>
      </c>
      <c r="H141" s="275">
        <f>ROUND(F141*G141,2)</f>
        <v/>
      </c>
    </row>
    <row r="142" ht="25.5" customHeight="1" s="364">
      <c r="A142" s="283" t="n">
        <v>124</v>
      </c>
      <c r="B142" s="398" t="n"/>
      <c r="C142" s="279" t="inlineStr">
        <is>
          <t>08.3.05.02-0101</t>
        </is>
      </c>
      <c r="D142" s="280" t="inlineStr">
        <is>
          <t>Сталь листовая углеродистая обыкновенного качества марки ВСт3пс5 толщиной: 4-6 мм</t>
        </is>
      </c>
      <c r="E142" s="433" t="inlineStr">
        <is>
          <t>т</t>
        </is>
      </c>
      <c r="F142" s="433" t="n">
        <v>0.0014</v>
      </c>
      <c r="G142" s="275" t="n">
        <v>5763</v>
      </c>
      <c r="H142" s="275">
        <f>ROUND(F142*G142,2)</f>
        <v/>
      </c>
    </row>
    <row r="143">
      <c r="A143" s="283" t="n">
        <v>125</v>
      </c>
      <c r="B143" s="398" t="n"/>
      <c r="C143" s="279" t="inlineStr">
        <is>
          <t>01.7.07.12-0024</t>
        </is>
      </c>
      <c r="D143" s="280" t="inlineStr">
        <is>
          <t>Пленка полиэтиленовая толщиной: 0,15 мм</t>
        </is>
      </c>
      <c r="E143" s="433" t="inlineStr">
        <is>
          <t>м2</t>
        </is>
      </c>
      <c r="F143" s="433" t="n">
        <v>1.625</v>
      </c>
      <c r="G143" s="275" t="n">
        <v>3.62</v>
      </c>
      <c r="H143" s="275">
        <f>ROUND(F143*G143,2)</f>
        <v/>
      </c>
    </row>
    <row r="144">
      <c r="A144" s="283" t="n">
        <v>126</v>
      </c>
      <c r="B144" s="398" t="n"/>
      <c r="C144" s="279" t="inlineStr">
        <is>
          <t>01.7.15.07-0031</t>
        </is>
      </c>
      <c r="D144" s="280" t="inlineStr">
        <is>
          <t>Дюбели распорные с гайкой</t>
        </is>
      </c>
      <c r="E144" s="433" t="inlineStr">
        <is>
          <t>100 шт</t>
        </is>
      </c>
      <c r="F144" s="433" t="n">
        <v>0.0359</v>
      </c>
      <c r="G144" s="275" t="n">
        <v>110</v>
      </c>
      <c r="H144" s="275">
        <f>ROUND(F144*G144,2)</f>
        <v/>
      </c>
    </row>
    <row r="145" ht="25.5" customHeight="1" s="364">
      <c r="A145" s="283" t="n">
        <v>127</v>
      </c>
      <c r="B145" s="398" t="n"/>
      <c r="C145" s="279" t="inlineStr">
        <is>
          <t>03.2.01.01-0003</t>
        </is>
      </c>
      <c r="D145" s="280" t="inlineStr">
        <is>
          <t>Портландцемент общестроительного назначения бездобавочный, марки: 500</t>
        </is>
      </c>
      <c r="E145" s="433" t="inlineStr">
        <is>
          <t>т</t>
        </is>
      </c>
      <c r="F145" s="433" t="n">
        <v>0.0081</v>
      </c>
      <c r="G145" s="275" t="n">
        <v>480</v>
      </c>
      <c r="H145" s="275">
        <f>ROUND(F145*G145,2)</f>
        <v/>
      </c>
    </row>
    <row r="146">
      <c r="A146" s="283" t="n">
        <v>128</v>
      </c>
      <c r="B146" s="398" t="n"/>
      <c r="C146" s="279" t="inlineStr">
        <is>
          <t>04.3.01.09-0012</t>
        </is>
      </c>
      <c r="D146" s="280" t="inlineStr">
        <is>
          <t>Раствор готовый кладочный цементный марки: 50</t>
        </is>
      </c>
      <c r="E146" s="433" t="inlineStr">
        <is>
          <t>м3</t>
        </is>
      </c>
      <c r="F146" s="433" t="n">
        <v>0.0058</v>
      </c>
      <c r="G146" s="275" t="n">
        <v>485.9</v>
      </c>
      <c r="H146" s="275">
        <f>ROUND(F146*G146,2)</f>
        <v/>
      </c>
    </row>
    <row r="147">
      <c r="A147" s="283" t="n">
        <v>129</v>
      </c>
      <c r="B147" s="398" t="n"/>
      <c r="C147" s="279" t="inlineStr">
        <is>
          <t>24.3.01.01-0001</t>
        </is>
      </c>
      <c r="D147" s="280" t="inlineStr">
        <is>
          <t>Трубка поливинилхлоридная ХВТ</t>
        </is>
      </c>
      <c r="E147" s="433" t="inlineStr">
        <is>
          <t>кг</t>
        </is>
      </c>
      <c r="F147" s="433" t="n">
        <v>0.048</v>
      </c>
      <c r="G147" s="275" t="n">
        <v>41.7</v>
      </c>
      <c r="H147" s="275">
        <f>ROUND(F147*G147,2)</f>
        <v/>
      </c>
    </row>
    <row r="148">
      <c r="A148" s="283" t="n">
        <v>130</v>
      </c>
      <c r="B148" s="398" t="n"/>
      <c r="C148" s="279" t="inlineStr">
        <is>
          <t>01.7.15.14-0043</t>
        </is>
      </c>
      <c r="D148" s="280" t="inlineStr">
        <is>
          <t>Шуруп самонарезающий: (LN) 3,5/11 мм</t>
        </is>
      </c>
      <c r="E148" s="433" t="inlineStr">
        <is>
          <t>100 шт</t>
        </is>
      </c>
      <c r="F148" s="433" t="n">
        <v>0.9792</v>
      </c>
      <c r="G148" s="275" t="n">
        <v>2</v>
      </c>
      <c r="H148" s="275">
        <f>ROUND(F148*G148,2)</f>
        <v/>
      </c>
    </row>
    <row r="149">
      <c r="A149" s="283" t="n">
        <v>131</v>
      </c>
      <c r="B149" s="398" t="n"/>
      <c r="C149" s="279" t="inlineStr">
        <is>
          <t>01.7.06.07-0001</t>
        </is>
      </c>
      <c r="D149" s="280" t="inlineStr">
        <is>
          <t>Лента К226</t>
        </is>
      </c>
      <c r="E149" s="433" t="inlineStr">
        <is>
          <t>100 м</t>
        </is>
      </c>
      <c r="F149" s="433" t="n">
        <v>0.0144</v>
      </c>
      <c r="G149" s="275" t="n">
        <v>120</v>
      </c>
      <c r="H149" s="275">
        <f>ROUND(F149*G149,2)</f>
        <v/>
      </c>
    </row>
    <row r="150" ht="25.5" customFormat="1" customHeight="1" s="358">
      <c r="A150" s="283" t="n">
        <v>132</v>
      </c>
      <c r="B150" s="398" t="n"/>
      <c r="C150" s="279" t="inlineStr">
        <is>
          <t>02.2.05.04-0093</t>
        </is>
      </c>
      <c r="D150" s="280" t="inlineStr">
        <is>
          <t>Щебень из природного камня для строительных работ марка: 800, фракция 20-40 мм</t>
        </is>
      </c>
      <c r="E150" s="433" t="inlineStr">
        <is>
          <t>м3</t>
        </is>
      </c>
      <c r="F150" s="433" t="n">
        <v>0.0119</v>
      </c>
      <c r="G150" s="275" t="n">
        <v>108.4</v>
      </c>
      <c r="H150" s="275">
        <f>ROUND(F150*G150,2)</f>
        <v/>
      </c>
    </row>
    <row r="151">
      <c r="A151" s="283" t="n">
        <v>133</v>
      </c>
      <c r="B151" s="398" t="n"/>
      <c r="C151" s="279" t="inlineStr">
        <is>
          <t>01.7.02.09-0002</t>
        </is>
      </c>
      <c r="D151" s="280" t="inlineStr">
        <is>
          <t>Шпагат бумажный</t>
        </is>
      </c>
      <c r="E151" s="433" t="inlineStr">
        <is>
          <t>кг</t>
        </is>
      </c>
      <c r="F151" s="433" t="n">
        <v>0.108</v>
      </c>
      <c r="G151" s="275" t="n">
        <v>11.5</v>
      </c>
      <c r="H151" s="275">
        <f>ROUND(F151*G151,2)</f>
        <v/>
      </c>
    </row>
    <row r="152" ht="25.5" customHeight="1" s="364">
      <c r="A152" s="283" t="n">
        <v>134</v>
      </c>
      <c r="B152" s="398" t="n"/>
      <c r="C152" s="279" t="inlineStr">
        <is>
          <t>02.3.01.02-0020</t>
        </is>
      </c>
      <c r="D152" s="280" t="inlineStr">
        <is>
          <t>Песок природный для строительных: растворов средний</t>
        </is>
      </c>
      <c r="E152" s="433" t="inlineStr">
        <is>
          <t>м3</t>
        </is>
      </c>
      <c r="F152" s="433" t="n">
        <v>0.0067</v>
      </c>
      <c r="G152" s="275" t="n">
        <v>59.99</v>
      </c>
      <c r="H152" s="275">
        <f>ROUND(F152*G152,2)</f>
        <v/>
      </c>
      <c r="K152" s="359" t="n"/>
    </row>
    <row r="153">
      <c r="A153" s="283" t="n">
        <v>135</v>
      </c>
      <c r="B153" s="398" t="n"/>
      <c r="C153" s="279" t="inlineStr">
        <is>
          <t>20.5.04.03-0011</t>
        </is>
      </c>
      <c r="D153" s="280" t="inlineStr">
        <is>
          <t>Зажимы наборные</t>
        </is>
      </c>
      <c r="E153" s="433" t="inlineStr">
        <is>
          <t>шт</t>
        </is>
      </c>
      <c r="F153" s="433" t="n">
        <v>0.0612</v>
      </c>
      <c r="G153" s="275" t="n">
        <v>3.5</v>
      </c>
      <c r="H153" s="275">
        <f>ROUND(F153*G153,2)</f>
        <v/>
      </c>
      <c r="K153" s="359" t="n"/>
    </row>
    <row r="154">
      <c r="A154" s="283" t="n">
        <v>136</v>
      </c>
      <c r="B154" s="398" t="n"/>
      <c r="C154" s="279" t="inlineStr">
        <is>
          <t>01.3.02.02-0001</t>
        </is>
      </c>
      <c r="D154" s="280" t="inlineStr">
        <is>
          <t>Аргон газообразный, сорт: I</t>
        </is>
      </c>
      <c r="E154" s="433" t="inlineStr">
        <is>
          <t>м3</t>
        </is>
      </c>
      <c r="F154" s="433" t="n">
        <v>0.0092</v>
      </c>
      <c r="G154" s="275" t="n">
        <v>17.86</v>
      </c>
      <c r="H154" s="275">
        <f>ROUND(F154*G154,2)</f>
        <v/>
      </c>
      <c r="K154" s="359" t="n"/>
    </row>
    <row r="155">
      <c r="A155" s="283" t="n">
        <v>137</v>
      </c>
      <c r="B155" s="398" t="n"/>
      <c r="C155" s="279" t="inlineStr">
        <is>
          <t>04.3.01.09-0011</t>
        </is>
      </c>
      <c r="D155" s="280" t="inlineStr">
        <is>
          <t>Раствор готовый кладочный цементный марки: 25</t>
        </is>
      </c>
      <c r="E155" s="433" t="inlineStr">
        <is>
          <t>м3</t>
        </is>
      </c>
      <c r="F155" s="433" t="n">
        <v>0.0002</v>
      </c>
      <c r="G155" s="275" t="n">
        <v>463.3</v>
      </c>
      <c r="H155" s="275">
        <f>ROUND(F155*G155,2)</f>
        <v/>
      </c>
    </row>
    <row r="156">
      <c r="A156" s="283" t="n">
        <v>138</v>
      </c>
      <c r="B156" s="398" t="n"/>
      <c r="C156" s="279" t="inlineStr">
        <is>
          <t>14.1.02.01-0002</t>
        </is>
      </c>
      <c r="D156" s="280" t="inlineStr">
        <is>
          <t>Клей БМК-5к</t>
        </is>
      </c>
      <c r="E156" s="433" t="inlineStr">
        <is>
          <t>кг</t>
        </is>
      </c>
      <c r="F156" s="433" t="n">
        <v>0.0025</v>
      </c>
      <c r="G156" s="275" t="n">
        <v>25.8</v>
      </c>
      <c r="H156" s="275">
        <f>ROUND(F156*G156,2)</f>
        <v/>
      </c>
    </row>
    <row r="159">
      <c r="B159" s="345" t="inlineStr">
        <is>
          <t>Составил ______________________     Е. М. Добровольская</t>
        </is>
      </c>
    </row>
    <row r="160">
      <c r="B160" s="354" t="inlineStr">
        <is>
          <t xml:space="preserve">                         (подпись, инициалы, фамилия)</t>
        </is>
      </c>
    </row>
    <row r="162">
      <c r="B162" s="345" t="inlineStr">
        <is>
          <t>Проверил ______________________        А.В. Костянецкая</t>
        </is>
      </c>
    </row>
    <row r="163">
      <c r="B163" s="354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72:E72"/>
    <mergeCell ref="A9:A10"/>
    <mergeCell ref="F9:F10"/>
    <mergeCell ref="A28:E28"/>
    <mergeCell ref="C5:H5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A30" sqref="C30"/>
    </sheetView>
  </sheetViews>
  <sheetFormatPr baseColWidth="8" defaultRowHeight="15"/>
  <cols>
    <col width="4.140625" customWidth="1" style="364" min="1" max="1"/>
    <col width="36.28515625" customWidth="1" style="364" min="2" max="2"/>
    <col width="18.85546875" customWidth="1" style="364" min="3" max="3"/>
    <col width="18.28515625" customWidth="1" style="364" min="4" max="4"/>
    <col width="18.85546875" customWidth="1" style="364" min="5" max="5"/>
    <col width="9.140625" customWidth="1" style="364" min="6" max="6"/>
    <col width="13.42578125" customWidth="1" style="364" min="7" max="7"/>
    <col width="9.140625" customWidth="1" style="364" min="8" max="11"/>
    <col width="13.5703125" customWidth="1" style="364" min="12" max="12"/>
    <col width="9.140625" customWidth="1" style="364" min="13" max="13"/>
  </cols>
  <sheetData>
    <row r="1">
      <c r="B1" s="365" t="n"/>
      <c r="C1" s="365" t="n"/>
      <c r="D1" s="365" t="n"/>
      <c r="E1" s="365" t="n"/>
    </row>
    <row r="2">
      <c r="B2" s="365" t="n"/>
      <c r="C2" s="365" t="n"/>
      <c r="D2" s="365" t="n"/>
      <c r="E2" s="428" t="inlineStr">
        <is>
          <t>Приложение № 4</t>
        </is>
      </c>
    </row>
    <row r="3">
      <c r="B3" s="365" t="n"/>
      <c r="C3" s="365" t="n"/>
      <c r="D3" s="365" t="n"/>
      <c r="E3" s="365" t="n"/>
    </row>
    <row r="4">
      <c r="B4" s="365" t="n"/>
      <c r="C4" s="365" t="n"/>
      <c r="D4" s="365" t="n"/>
      <c r="E4" s="365" t="n"/>
    </row>
    <row r="5">
      <c r="B5" s="377" t="inlineStr">
        <is>
          <t>Ресурсная модель</t>
        </is>
      </c>
    </row>
    <row r="6">
      <c r="B6" s="265" t="n"/>
      <c r="C6" s="365" t="n"/>
      <c r="D6" s="365" t="n"/>
      <c r="E6" s="365" t="n"/>
    </row>
    <row r="7" ht="25.5" customHeight="1" s="364">
      <c r="B7" s="391" t="inlineStr">
        <is>
          <t>Наименование разрабатываемого показателя УНЦ — Переходные пункты ВЛ-КЛ. Открытый без разъединителей 330 кВ</t>
        </is>
      </c>
    </row>
    <row r="8">
      <c r="B8" s="402" t="inlineStr">
        <is>
          <t>Единица измерения  — 1 ВЛ</t>
        </is>
      </c>
    </row>
    <row r="9">
      <c r="B9" s="265" t="n"/>
      <c r="C9" s="365" t="n"/>
      <c r="D9" s="365" t="n"/>
      <c r="E9" s="365" t="n"/>
    </row>
    <row r="10" ht="51" customHeight="1" s="364">
      <c r="B10" s="406" t="inlineStr">
        <is>
          <t>Наименование</t>
        </is>
      </c>
      <c r="C10" s="406" t="inlineStr">
        <is>
          <t>Сметная стоимость в ценах на 01.01.2023
 (руб.)</t>
        </is>
      </c>
      <c r="D10" s="406" t="inlineStr">
        <is>
          <t>Удельный вес, 
(в СМР)</t>
        </is>
      </c>
      <c r="E10" s="406" t="inlineStr">
        <is>
          <t>Удельный вес, % 
(от всего по РМ)</t>
        </is>
      </c>
    </row>
    <row r="11">
      <c r="B11" s="295" t="inlineStr">
        <is>
          <t>Оплата труда рабочих</t>
        </is>
      </c>
      <c r="C11" s="370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5" t="inlineStr">
        <is>
          <t>Эксплуатация машин основных</t>
        </is>
      </c>
      <c r="C12" s="370">
        <f>'Прил.5 Расчет СМР и ОБ'!J27</f>
        <v/>
      </c>
      <c r="D12" s="297">
        <f>C12/$C$24</f>
        <v/>
      </c>
      <c r="E12" s="297">
        <f>C12/$C$40</f>
        <v/>
      </c>
    </row>
    <row r="13">
      <c r="B13" s="295" t="inlineStr">
        <is>
          <t>Эксплуатация машин прочих</t>
        </is>
      </c>
      <c r="C13" s="370">
        <f>'Прил.5 Расчет СМР и ОБ'!J58</f>
        <v/>
      </c>
      <c r="D13" s="297">
        <f>C13/$C$24</f>
        <v/>
      </c>
      <c r="E13" s="297">
        <f>C13/$C$40</f>
        <v/>
      </c>
    </row>
    <row r="14">
      <c r="B14" s="295" t="inlineStr">
        <is>
          <t>ЭКСПЛУАТАЦИЯ МАШИН, ВСЕГО:</t>
        </is>
      </c>
      <c r="C14" s="370">
        <f>C13+C12</f>
        <v/>
      </c>
      <c r="D14" s="297">
        <f>C14/$C$24</f>
        <v/>
      </c>
      <c r="E14" s="297">
        <f>C14/$C$40</f>
        <v/>
      </c>
    </row>
    <row r="15">
      <c r="B15" s="295" t="inlineStr">
        <is>
          <t>в том числе зарплата машинистов</t>
        </is>
      </c>
      <c r="C15" s="370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5" t="inlineStr">
        <is>
          <t>Материалы основные</t>
        </is>
      </c>
      <c r="C16" s="370">
        <f>'Прил.5 Расчет СМР и ОБ'!J79</f>
        <v/>
      </c>
      <c r="D16" s="297">
        <f>C16/$C$24</f>
        <v/>
      </c>
      <c r="E16" s="297">
        <f>C16/$C$40</f>
        <v/>
      </c>
    </row>
    <row r="17">
      <c r="B17" s="295" t="inlineStr">
        <is>
          <t>Материалы прочие</t>
        </is>
      </c>
      <c r="C17" s="370">
        <f>'Прил.5 Расчет СМР и ОБ'!J154</f>
        <v/>
      </c>
      <c r="D17" s="297">
        <f>C17/$C$24</f>
        <v/>
      </c>
      <c r="E17" s="297">
        <f>C17/$C$40</f>
        <v/>
      </c>
      <c r="G17" s="263" t="n"/>
    </row>
    <row r="18">
      <c r="B18" s="295" t="inlineStr">
        <is>
          <t>МАТЕРИАЛЫ, ВСЕГО:</t>
        </is>
      </c>
      <c r="C18" s="370">
        <f>C17+C16</f>
        <v/>
      </c>
      <c r="D18" s="297">
        <f>C18/$C$24</f>
        <v/>
      </c>
      <c r="E18" s="297">
        <f>C18/$C$40</f>
        <v/>
      </c>
    </row>
    <row r="19">
      <c r="B19" s="295" t="inlineStr">
        <is>
          <t>ИТОГО</t>
        </is>
      </c>
      <c r="C19" s="370">
        <f>C18+C14+C11</f>
        <v/>
      </c>
      <c r="D19" s="297" t="n"/>
      <c r="E19" s="295" t="n"/>
    </row>
    <row r="20">
      <c r="B20" s="295" t="inlineStr">
        <is>
          <t>Сметная прибыль, руб.</t>
        </is>
      </c>
      <c r="C20" s="370">
        <f>ROUND(C21*(C11+C15),2)</f>
        <v/>
      </c>
      <c r="D20" s="297">
        <f>C20/$C$24</f>
        <v/>
      </c>
      <c r="E20" s="297">
        <f>C20/$C$40</f>
        <v/>
      </c>
    </row>
    <row r="21">
      <c r="B21" s="295" t="inlineStr">
        <is>
          <t>Сметная прибыль, %</t>
        </is>
      </c>
      <c r="C21" s="262">
        <f>'Прил.5 Расчет СМР и ОБ'!D158</f>
        <v/>
      </c>
      <c r="D21" s="297" t="n"/>
      <c r="E21" s="295" t="n"/>
    </row>
    <row r="22">
      <c r="B22" s="295" t="inlineStr">
        <is>
          <t>Накладные расходы, руб.</t>
        </is>
      </c>
      <c r="C22" s="370">
        <f>ROUND(C23*(C11+C15),2)</f>
        <v/>
      </c>
      <c r="D22" s="297">
        <f>C22/$C$24</f>
        <v/>
      </c>
      <c r="E22" s="297">
        <f>C22/$C$40</f>
        <v/>
      </c>
    </row>
    <row r="23">
      <c r="B23" s="295" t="inlineStr">
        <is>
          <t>Накладные расходы, %</t>
        </is>
      </c>
      <c r="C23" s="262">
        <f>'Прил.5 Расчет СМР и ОБ'!D157</f>
        <v/>
      </c>
      <c r="D23" s="297" t="n"/>
      <c r="E23" s="295" t="n"/>
    </row>
    <row r="24">
      <c r="B24" s="295" t="inlineStr">
        <is>
          <t>ВСЕГО СМР с НР и СП</t>
        </is>
      </c>
      <c r="C24" s="370">
        <f>C19+C20+C22</f>
        <v/>
      </c>
      <c r="D24" s="297">
        <f>C24/$C$24</f>
        <v/>
      </c>
      <c r="E24" s="297">
        <f>C24/$C$40</f>
        <v/>
      </c>
    </row>
    <row r="25" ht="25.5" customHeight="1" s="364">
      <c r="B25" s="295" t="inlineStr">
        <is>
          <t>ВСЕГО стоимость оборудования, в том числе</t>
        </is>
      </c>
      <c r="C25" s="370">
        <f>'Прил.5 Расчет СМР и ОБ'!J65</f>
        <v/>
      </c>
      <c r="D25" s="297" t="n"/>
      <c r="E25" s="297">
        <f>C25/$C$40</f>
        <v/>
      </c>
    </row>
    <row r="26" ht="25.5" customHeight="1" s="364">
      <c r="B26" s="295" t="inlineStr">
        <is>
          <t>стоимость оборудования технологического</t>
        </is>
      </c>
      <c r="C26" s="370">
        <f>'Прил.5 Расчет СМР и ОБ'!J66</f>
        <v/>
      </c>
      <c r="D26" s="297" t="n"/>
      <c r="E26" s="297">
        <f>C26/$C$40</f>
        <v/>
      </c>
    </row>
    <row r="27">
      <c r="B27" s="295" t="inlineStr">
        <is>
          <t>ИТОГО (СМР + ОБОРУДОВАНИЕ)</t>
        </is>
      </c>
      <c r="C27" s="296">
        <f>C24+C25</f>
        <v/>
      </c>
      <c r="D27" s="297" t="n"/>
      <c r="E27" s="297">
        <f>C27/$C$40</f>
        <v/>
      </c>
      <c r="G27" s="260" t="n"/>
    </row>
    <row r="28" ht="33" customHeight="1" s="364">
      <c r="B28" s="295" t="inlineStr">
        <is>
          <t>ПРОЧ. ЗАТР., УЧТЕННЫЕ ПОКАЗАТЕЛЕМ,  в том числе</t>
        </is>
      </c>
      <c r="C28" s="295" t="n"/>
      <c r="D28" s="295" t="n"/>
      <c r="E28" s="295" t="n"/>
    </row>
    <row r="29" ht="25.5" customHeight="1" s="364">
      <c r="B29" s="295" t="inlineStr">
        <is>
          <t>Временные здания и сооружения - 3,3%</t>
        </is>
      </c>
      <c r="C29" s="296">
        <f>ROUND(C24*3.3%,2)</f>
        <v/>
      </c>
      <c r="D29" s="295" t="n"/>
      <c r="E29" s="297" t="n">
        <v>0.033</v>
      </c>
    </row>
    <row r="30" ht="38.25" customHeight="1" s="364">
      <c r="B30" s="295" t="inlineStr">
        <is>
          <t>Дополнительные затраты при производстве строительно-монтажных работ в зимнее время - 1%</t>
        </is>
      </c>
      <c r="C30" s="296">
        <f>ROUND((C24+C29)*1%,2)</f>
        <v/>
      </c>
      <c r="D30" s="295" t="n"/>
      <c r="E30" s="297" t="n">
        <v>0.01</v>
      </c>
    </row>
    <row r="31">
      <c r="B31" s="295" t="inlineStr">
        <is>
          <t>Пусконаладочные работы</t>
        </is>
      </c>
      <c r="C31" s="296" t="n">
        <v>41948.88</v>
      </c>
      <c r="D31" s="295" t="n"/>
      <c r="E31" s="297">
        <f>C31/$C$40</f>
        <v/>
      </c>
    </row>
    <row r="32" ht="25.5" customHeight="1" s="364">
      <c r="B32" s="295" t="inlineStr">
        <is>
          <t>Затраты по перевозке работников к месту работы и обратно</t>
        </is>
      </c>
      <c r="C32" s="296" t="n">
        <v>0</v>
      </c>
      <c r="D32" s="295" t="n"/>
      <c r="E32" s="297">
        <f>C32/$C$40</f>
        <v/>
      </c>
    </row>
    <row r="33" ht="25.5" customHeight="1" s="364">
      <c r="B33" s="295" t="inlineStr">
        <is>
          <t>Затраты, связанные с осуществлением работ вахтовым методом</t>
        </is>
      </c>
      <c r="C33" s="296">
        <f>ROUND(C27*0%,2)</f>
        <v/>
      </c>
      <c r="D33" s="295" t="n"/>
      <c r="E33" s="297">
        <f>C33/$C$40</f>
        <v/>
      </c>
    </row>
    <row r="34" ht="51" customHeight="1" s="364">
      <c r="B34" s="2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6" t="n">
        <v>0</v>
      </c>
      <c r="D34" s="295" t="n"/>
      <c r="E34" s="297">
        <f>C34/$C$40</f>
        <v/>
      </c>
    </row>
    <row r="35" ht="76.5" customHeight="1" s="364">
      <c r="B35" s="2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6">
        <f>ROUND(C27*0%,2)</f>
        <v/>
      </c>
      <c r="D35" s="295" t="n"/>
      <c r="E35" s="297">
        <f>C35/$C$40</f>
        <v/>
      </c>
    </row>
    <row r="36" ht="25.5" customHeight="1" s="364">
      <c r="B36" s="295" t="inlineStr">
        <is>
          <t>Строительный контроль и содержание службы заказчика - 2,14%</t>
        </is>
      </c>
      <c r="C36" s="296">
        <f>ROUND((C27+C32+C33+C34+C35+C29+C31+C30)*2.14%,2)</f>
        <v/>
      </c>
      <c r="D36" s="295" t="n"/>
      <c r="E36" s="297">
        <f>C36/$C$40</f>
        <v/>
      </c>
      <c r="L36" s="260" t="n"/>
    </row>
    <row r="37">
      <c r="B37" s="295" t="inlineStr">
        <is>
          <t>Авторский надзор - 0,2%</t>
        </is>
      </c>
      <c r="C37" s="296">
        <f>ROUND((C27+C32+C33+C34+C35+C29+C31+C30)*0.2%,2)</f>
        <v/>
      </c>
      <c r="D37" s="295" t="n"/>
      <c r="E37" s="297">
        <f>C37/$C$40</f>
        <v/>
      </c>
      <c r="L37" s="260" t="n"/>
    </row>
    <row r="38" ht="38.25" customHeight="1" s="364">
      <c r="B38" s="295" t="inlineStr">
        <is>
          <t>ИТОГО (СМР+ОБОРУДОВАНИЕ+ПРОЧ. ЗАТР., УЧТЕННЫЕ ПОКАЗАТЕЛЕМ)</t>
        </is>
      </c>
      <c r="C38" s="370">
        <f>C27+C32+C33+C34+C35+C29+C31+C30+C36+C37</f>
        <v/>
      </c>
      <c r="D38" s="295" t="n"/>
      <c r="E38" s="297">
        <f>C38/$C$40</f>
        <v/>
      </c>
    </row>
    <row r="39" ht="13.5" customHeight="1" s="364">
      <c r="B39" s="295" t="inlineStr">
        <is>
          <t>Непредвиденные расходы</t>
        </is>
      </c>
      <c r="C39" s="370">
        <f>ROUND(C38*3%,2)</f>
        <v/>
      </c>
      <c r="D39" s="295" t="n"/>
      <c r="E39" s="297">
        <f>C39/$C$38</f>
        <v/>
      </c>
    </row>
    <row r="40">
      <c r="B40" s="295" t="inlineStr">
        <is>
          <t>ВСЕГО:</t>
        </is>
      </c>
      <c r="C40" s="370">
        <f>C39+C38</f>
        <v/>
      </c>
      <c r="D40" s="295" t="n"/>
      <c r="E40" s="297">
        <f>C40/$C$40</f>
        <v/>
      </c>
    </row>
    <row r="41">
      <c r="B41" s="295" t="inlineStr">
        <is>
          <t>ИТОГО ПОКАЗАТЕЛЬ НА ЕД. ИЗМ.</t>
        </is>
      </c>
      <c r="C41" s="370">
        <f>C40/'Прил.5 Расчет СМР и ОБ'!E161</f>
        <v/>
      </c>
      <c r="D41" s="295" t="n"/>
      <c r="E41" s="295" t="n"/>
      <c r="G41" s="260" t="n"/>
    </row>
    <row r="42">
      <c r="B42" s="372" t="n"/>
      <c r="C42" s="365" t="n"/>
      <c r="D42" s="365" t="n"/>
      <c r="E42" s="365" t="n"/>
      <c r="G42" s="260" t="n"/>
    </row>
    <row r="43">
      <c r="B43" s="372" t="inlineStr">
        <is>
          <t>Составил ____________________________  Е. М. Добровольская</t>
        </is>
      </c>
      <c r="C43" s="365" t="n"/>
      <c r="D43" s="365" t="n"/>
      <c r="E43" s="365" t="n"/>
      <c r="G43" s="287" t="n"/>
    </row>
    <row r="44">
      <c r="B44" s="372" t="inlineStr">
        <is>
          <t xml:space="preserve">(должность, подпись, инициалы, фамилия) </t>
        </is>
      </c>
      <c r="C44" s="365" t="n"/>
      <c r="D44" s="365" t="n"/>
      <c r="E44" s="365" t="n"/>
    </row>
    <row r="45">
      <c r="B45" s="372" t="n"/>
      <c r="C45" s="365" t="n"/>
      <c r="D45" s="365" t="n"/>
      <c r="E45" s="365" t="n"/>
    </row>
    <row r="46">
      <c r="B46" s="372" t="inlineStr">
        <is>
          <t>Проверил ____________________________ А.В. Костянецкая</t>
        </is>
      </c>
      <c r="C46" s="365" t="n"/>
      <c r="D46" s="365" t="n"/>
      <c r="E46" s="365" t="n"/>
    </row>
    <row r="47">
      <c r="B47" s="402" t="inlineStr">
        <is>
          <t>(должность, подпись, инициалы, фамилия)</t>
        </is>
      </c>
      <c r="D47" s="365" t="n"/>
      <c r="E47" s="365" t="n"/>
    </row>
    <row r="49">
      <c r="B49" s="365" t="n"/>
      <c r="C49" s="365" t="n"/>
      <c r="D49" s="365" t="n"/>
      <c r="E49" s="365" t="n"/>
    </row>
    <row r="50">
      <c r="B50" s="365" t="n"/>
      <c r="C50" s="365" t="n"/>
      <c r="D50" s="365" t="n"/>
      <c r="E50" s="36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7"/>
  <sheetViews>
    <sheetView tabSelected="1" view="pageBreakPreview" workbookViewId="0">
      <selection activeCell="O13" sqref="O13:O14"/>
    </sheetView>
  </sheetViews>
  <sheetFormatPr baseColWidth="8" defaultColWidth="9.140625" defaultRowHeight="15" outlineLevelRow="1"/>
  <cols>
    <col width="5.7109375" customWidth="1" style="375" min="1" max="1"/>
    <col width="22.5703125" customWidth="1" style="375" min="2" max="2"/>
    <col width="39.140625" customWidth="1" style="375" min="3" max="3"/>
    <col width="13.5703125" customWidth="1" style="375" min="4" max="4"/>
    <col width="12.7109375" customWidth="1" style="375" min="5" max="5"/>
    <col width="14.5703125" customWidth="1" style="375" min="6" max="6"/>
    <col width="13.42578125" customWidth="1" style="375" min="7" max="7"/>
    <col width="12.7109375" customWidth="1" style="375" min="8" max="8"/>
    <col width="13.85546875" customWidth="1" style="375" min="9" max="9"/>
    <col width="17.5703125" customWidth="1" style="375" min="10" max="10"/>
    <col width="12.7109375" customWidth="1" style="375" min="11" max="11"/>
    <col width="13.85546875" customWidth="1" style="375" min="12" max="12"/>
    <col width="9.140625" customWidth="1" style="364" min="13" max="13"/>
  </cols>
  <sheetData>
    <row r="1" s="364">
      <c r="A1" s="375" t="n"/>
      <c r="B1" s="375" t="n"/>
      <c r="C1" s="375" t="n"/>
      <c r="D1" s="375" t="n"/>
      <c r="E1" s="375" t="n"/>
      <c r="F1" s="375" t="n"/>
      <c r="G1" s="375" t="n"/>
      <c r="H1" s="375" t="n"/>
      <c r="I1" s="375" t="n"/>
      <c r="J1" s="375" t="n"/>
      <c r="K1" s="375" t="n"/>
      <c r="L1" s="375" t="n"/>
      <c r="M1" s="375" t="n"/>
      <c r="N1" s="375" t="n"/>
    </row>
    <row r="2" ht="15.75" customHeight="1" s="364">
      <c r="A2" s="375" t="n"/>
      <c r="B2" s="375" t="n"/>
      <c r="C2" s="375" t="n"/>
      <c r="D2" s="375" t="n"/>
      <c r="E2" s="375" t="n"/>
      <c r="F2" s="375" t="n"/>
      <c r="G2" s="375" t="n"/>
      <c r="H2" s="403" t="inlineStr">
        <is>
          <t>Приложение №5</t>
        </is>
      </c>
      <c r="K2" s="375" t="n"/>
      <c r="L2" s="375" t="n"/>
      <c r="M2" s="375" t="n"/>
      <c r="N2" s="375" t="n"/>
    </row>
    <row r="3" s="364">
      <c r="A3" s="375" t="n"/>
      <c r="B3" s="375" t="n"/>
      <c r="C3" s="375" t="n"/>
      <c r="D3" s="375" t="n"/>
      <c r="E3" s="375" t="n"/>
      <c r="F3" s="375" t="n"/>
      <c r="G3" s="375" t="n"/>
      <c r="H3" s="375" t="n"/>
      <c r="I3" s="375" t="n"/>
      <c r="J3" s="375" t="n"/>
      <c r="K3" s="375" t="n"/>
      <c r="L3" s="375" t="n"/>
      <c r="M3" s="375" t="n"/>
      <c r="N3" s="375" t="n"/>
    </row>
    <row r="4" ht="12.75" customFormat="1" customHeight="1" s="365">
      <c r="A4" s="377" t="inlineStr">
        <is>
          <t>Расчет стоимости СМР и оборудования</t>
        </is>
      </c>
    </row>
    <row r="5" ht="12.75" customFormat="1" customHeight="1" s="365">
      <c r="A5" s="377" t="n"/>
      <c r="B5" s="377" t="n"/>
      <c r="C5" s="435" t="n"/>
      <c r="D5" s="377" t="n"/>
      <c r="E5" s="377" t="n"/>
      <c r="F5" s="377" t="n"/>
      <c r="G5" s="377" t="n"/>
      <c r="H5" s="377" t="n"/>
      <c r="I5" s="377" t="n"/>
      <c r="J5" s="377" t="n"/>
    </row>
    <row r="6" ht="12.75" customFormat="1" customHeight="1" s="365">
      <c r="A6" s="222" t="inlineStr">
        <is>
          <t>Наименование разрабатываемого показателя УНЦ</t>
        </is>
      </c>
      <c r="B6" s="221" t="n"/>
      <c r="C6" s="221" t="n"/>
      <c r="D6" s="380" t="inlineStr">
        <is>
          <t>Переходные пункты ВЛ-КЛ. Открытый без разъединителей 330 кВ</t>
        </is>
      </c>
    </row>
    <row r="7" ht="12.75" customFormat="1" customHeight="1" s="365">
      <c r="A7" s="380" t="inlineStr">
        <is>
          <t>Единица измерения  — 1 ВЛ</t>
        </is>
      </c>
      <c r="I7" s="391" t="n"/>
      <c r="J7" s="391" t="n"/>
    </row>
    <row r="8" ht="13.5" customFormat="1" customHeight="1" s="365">
      <c r="A8" s="380" t="n"/>
    </row>
    <row r="9" ht="27" customHeight="1" s="364">
      <c r="A9" s="406" t="inlineStr">
        <is>
          <t>№ пп.</t>
        </is>
      </c>
      <c r="B9" s="406" t="inlineStr">
        <is>
          <t>Код ресурса</t>
        </is>
      </c>
      <c r="C9" s="406" t="inlineStr">
        <is>
          <t>Наименование</t>
        </is>
      </c>
      <c r="D9" s="406" t="inlineStr">
        <is>
          <t>Ед. изм.</t>
        </is>
      </c>
      <c r="E9" s="406" t="inlineStr">
        <is>
          <t>Кол-во единиц по проектным данным</t>
        </is>
      </c>
      <c r="F9" s="406" t="inlineStr">
        <is>
          <t>Сметная стоимость в ценах на 01.01.2000 (руб.)</t>
        </is>
      </c>
      <c r="G9" s="479" t="n"/>
      <c r="H9" s="406" t="inlineStr">
        <is>
          <t>Удельный вес, %</t>
        </is>
      </c>
      <c r="I9" s="406" t="inlineStr">
        <is>
          <t>Сметная стоимость в ценах на 01.01.2023 (руб.)</t>
        </is>
      </c>
      <c r="J9" s="479" t="n"/>
      <c r="K9" s="375" t="n"/>
      <c r="L9" s="375" t="n"/>
      <c r="M9" s="375" t="n"/>
      <c r="N9" s="375" t="n"/>
    </row>
    <row r="10" ht="28.5" customHeight="1" s="364">
      <c r="A10" s="481" t="n"/>
      <c r="B10" s="481" t="n"/>
      <c r="C10" s="481" t="n"/>
      <c r="D10" s="481" t="n"/>
      <c r="E10" s="481" t="n"/>
      <c r="F10" s="406" t="inlineStr">
        <is>
          <t>на ед. изм.</t>
        </is>
      </c>
      <c r="G10" s="406" t="inlineStr">
        <is>
          <t>общая</t>
        </is>
      </c>
      <c r="H10" s="481" t="n"/>
      <c r="I10" s="406" t="inlineStr">
        <is>
          <t>на ед. изм.</t>
        </is>
      </c>
      <c r="J10" s="406" t="inlineStr">
        <is>
          <t>общая</t>
        </is>
      </c>
      <c r="K10" s="375" t="n"/>
      <c r="L10" s="375" t="n"/>
      <c r="M10" s="375" t="n"/>
      <c r="N10" s="375" t="n"/>
    </row>
    <row r="11" s="364">
      <c r="A11" s="406" t="n">
        <v>1</v>
      </c>
      <c r="B11" s="406" t="n">
        <v>2</v>
      </c>
      <c r="C11" s="406" t="n">
        <v>3</v>
      </c>
      <c r="D11" s="406" t="n">
        <v>4</v>
      </c>
      <c r="E11" s="406" t="n">
        <v>5</v>
      </c>
      <c r="F11" s="406" t="n">
        <v>6</v>
      </c>
      <c r="G11" s="406" t="n">
        <v>7</v>
      </c>
      <c r="H11" s="406" t="n">
        <v>8</v>
      </c>
      <c r="I11" s="407" t="n">
        <v>9</v>
      </c>
      <c r="J11" s="407" t="n">
        <v>10</v>
      </c>
      <c r="K11" s="375" t="n"/>
      <c r="L11" s="375" t="n"/>
      <c r="M11" s="375" t="n"/>
      <c r="N11" s="375" t="n"/>
    </row>
    <row r="12">
      <c r="A12" s="406" t="n"/>
      <c r="B12" s="396" t="inlineStr">
        <is>
          <t>Затраты труда рабочих-строителей</t>
        </is>
      </c>
      <c r="C12" s="478" t="n"/>
      <c r="D12" s="478" t="n"/>
      <c r="E12" s="478" t="n"/>
      <c r="F12" s="478" t="n"/>
      <c r="G12" s="478" t="n"/>
      <c r="H12" s="479" t="n"/>
      <c r="I12" s="205" t="n"/>
      <c r="J12" s="205" t="n"/>
    </row>
    <row r="13" ht="25.5" customHeight="1" s="364">
      <c r="A13" s="406" t="n">
        <v>1</v>
      </c>
      <c r="B13" s="292" t="inlineStr">
        <is>
          <t>1-3-6</t>
        </is>
      </c>
      <c r="C13" s="414" t="inlineStr">
        <is>
          <t>Затраты труда рабочих-строителей среднего разряда (3,6)</t>
        </is>
      </c>
      <c r="D13" s="406" t="inlineStr">
        <is>
          <t>чел.-ч.</t>
        </is>
      </c>
      <c r="E13" s="219">
        <f>G13/F13</f>
        <v/>
      </c>
      <c r="F13" s="217" t="n">
        <v>9.18</v>
      </c>
      <c r="G13" s="217" t="n">
        <v>10415.35</v>
      </c>
      <c r="H13" s="220">
        <f>G13/G14</f>
        <v/>
      </c>
      <c r="I13" s="217">
        <f>ФОТр.тек.!E13</f>
        <v/>
      </c>
      <c r="J13" s="217">
        <f>ROUND(I13*E13,2)</f>
        <v/>
      </c>
    </row>
    <row r="14" ht="25.5" customFormat="1" customHeight="1" s="375">
      <c r="A14" s="406" t="n"/>
      <c r="B14" s="406" t="n"/>
      <c r="C14" s="396" t="inlineStr">
        <is>
          <t>Итого по разделу "Затраты труда рабочих-строителей"</t>
        </is>
      </c>
      <c r="D14" s="406" t="inlineStr">
        <is>
          <t>чел.-ч.</t>
        </is>
      </c>
      <c r="E14" s="219">
        <f>SUM(E13:E13)</f>
        <v/>
      </c>
      <c r="F14" s="217" t="n"/>
      <c r="G14" s="217">
        <f>SUM(G13:G13)</f>
        <v/>
      </c>
      <c r="H14" s="417" t="n">
        <v>1</v>
      </c>
      <c r="I14" s="205" t="n"/>
      <c r="J14" s="217">
        <f>SUM(J13:J13)</f>
        <v/>
      </c>
      <c r="K14" s="344" t="n"/>
    </row>
    <row r="15" ht="14.25" customFormat="1" customHeight="1" s="375">
      <c r="A15" s="406" t="n"/>
      <c r="B15" s="414" t="inlineStr">
        <is>
          <t>Затраты труда машинистов</t>
        </is>
      </c>
      <c r="C15" s="478" t="n"/>
      <c r="D15" s="478" t="n"/>
      <c r="E15" s="478" t="n"/>
      <c r="F15" s="478" t="n"/>
      <c r="G15" s="478" t="n"/>
      <c r="H15" s="479" t="n"/>
      <c r="I15" s="205" t="n"/>
      <c r="J15" s="205" t="n"/>
    </row>
    <row r="16" ht="14.25" customFormat="1" customHeight="1" s="375">
      <c r="A16" s="406" t="n">
        <v>2</v>
      </c>
      <c r="B16" s="406" t="n">
        <v>2</v>
      </c>
      <c r="C16" s="414" t="inlineStr">
        <is>
          <t>Затраты труда машинистов</t>
        </is>
      </c>
      <c r="D16" s="406" t="inlineStr">
        <is>
          <t>чел.-ч.</t>
        </is>
      </c>
      <c r="E16" s="219">
        <f>Прил.3!F29</f>
        <v/>
      </c>
      <c r="F16" s="217">
        <f>G16/E16</f>
        <v/>
      </c>
      <c r="G16" s="217" t="n">
        <v>4655.3</v>
      </c>
      <c r="H16" s="417" t="n">
        <v>1</v>
      </c>
      <c r="I16" s="217">
        <f>ROUND(F16*Прил.10!D11,2)</f>
        <v/>
      </c>
      <c r="J16" s="217">
        <f>ROUND(I16*E16,2)</f>
        <v/>
      </c>
      <c r="K16" s="343" t="n"/>
    </row>
    <row r="17" ht="14.25" customFormat="1" customHeight="1" s="375">
      <c r="A17" s="406" t="n"/>
      <c r="B17" s="396" t="inlineStr">
        <is>
          <t>Машины и механизмы</t>
        </is>
      </c>
      <c r="C17" s="478" t="n"/>
      <c r="D17" s="478" t="n"/>
      <c r="E17" s="478" t="n"/>
      <c r="F17" s="478" t="n"/>
      <c r="G17" s="478" t="n"/>
      <c r="H17" s="479" t="n"/>
      <c r="I17" s="205" t="n"/>
      <c r="J17" s="205" t="n"/>
    </row>
    <row r="18" ht="14.25" customFormat="1" customHeight="1" s="375">
      <c r="A18" s="406" t="n"/>
      <c r="B18" s="414" t="inlineStr">
        <is>
          <t>Основные машины и механизмы</t>
        </is>
      </c>
      <c r="C18" s="478" t="n"/>
      <c r="D18" s="478" t="n"/>
      <c r="E18" s="478" t="n"/>
      <c r="F18" s="478" t="n"/>
      <c r="G18" s="478" t="n"/>
      <c r="H18" s="479" t="n"/>
      <c r="I18" s="205" t="n"/>
      <c r="J18" s="205" t="n"/>
    </row>
    <row r="19" ht="25.5" customFormat="1" customHeight="1" s="375">
      <c r="A19" s="406" t="n">
        <v>3</v>
      </c>
      <c r="B19" s="292" t="inlineStr">
        <is>
          <t>91.05.05-014</t>
        </is>
      </c>
      <c r="C19" s="414" t="inlineStr">
        <is>
          <t>Краны на автомобильном ходу, грузоподъемность 10 т</t>
        </is>
      </c>
      <c r="D19" s="406" t="inlineStr">
        <is>
          <t>маш.час</t>
        </is>
      </c>
      <c r="E19" s="219" t="n">
        <v>75.56999999999999</v>
      </c>
      <c r="F19" s="416" t="n">
        <v>111.99</v>
      </c>
      <c r="G19" s="217">
        <f>ROUND(E19*F19,2)</f>
        <v/>
      </c>
      <c r="H19" s="220">
        <f>G19/$G$59</f>
        <v/>
      </c>
      <c r="I19" s="217">
        <f>ROUND(F19*Прил.10!$D$12,2)</f>
        <v/>
      </c>
      <c r="J19" s="217">
        <f>ROUND(I19*E19,2)</f>
        <v/>
      </c>
    </row>
    <row r="20" ht="25.5" customFormat="1" customHeight="1" s="375">
      <c r="A20" s="406" t="n">
        <v>4</v>
      </c>
      <c r="B20" s="292" t="inlineStr">
        <is>
          <t>91.14.03-002</t>
        </is>
      </c>
      <c r="C20" s="414" t="inlineStr">
        <is>
          <t>Автомобили-самосвалы, грузоподъемность до 10 т</t>
        </is>
      </c>
      <c r="D20" s="406" t="inlineStr">
        <is>
          <t>маш.час</t>
        </is>
      </c>
      <c r="E20" s="219" t="n">
        <v>92.8</v>
      </c>
      <c r="F20" s="416" t="n">
        <v>87.48999999999999</v>
      </c>
      <c r="G20" s="217">
        <f>ROUND(E20*F20,2)</f>
        <v/>
      </c>
      <c r="H20" s="220">
        <f>G20/$G$59</f>
        <v/>
      </c>
      <c r="I20" s="217">
        <f>ROUND(F20*Прил.10!$D$12,2)</f>
        <v/>
      </c>
      <c r="J20" s="217">
        <f>ROUND(I20*E20,2)</f>
        <v/>
      </c>
    </row>
    <row r="21" ht="30" customFormat="1" customHeight="1" s="375">
      <c r="A21" s="406" t="n">
        <v>5</v>
      </c>
      <c r="B21" s="292" t="inlineStr">
        <is>
          <t>91.06.06-014</t>
        </is>
      </c>
      <c r="C21" s="414" t="inlineStr">
        <is>
          <t>Автогидроподъемники высотой подъема: 28 м</t>
        </is>
      </c>
      <c r="D21" s="406" t="inlineStr">
        <is>
          <t>маш.час</t>
        </is>
      </c>
      <c r="E21" s="219" t="n">
        <v>25.25</v>
      </c>
      <c r="F21" s="416" t="n">
        <v>243.49</v>
      </c>
      <c r="G21" s="217">
        <f>ROUND(E21*F21,2)</f>
        <v/>
      </c>
      <c r="H21" s="220">
        <f>G21/$G$59</f>
        <v/>
      </c>
      <c r="I21" s="217">
        <f>ROUND(F21*Прил.10!$D$12,2)</f>
        <v/>
      </c>
      <c r="J21" s="217">
        <f>ROUND(I21*E21,2)</f>
        <v/>
      </c>
    </row>
    <row r="22" ht="25.5" customFormat="1" customHeight="1" s="375">
      <c r="A22" s="406" t="n">
        <v>6</v>
      </c>
      <c r="B22" s="292" t="inlineStr">
        <is>
          <t>91.08.03-030</t>
        </is>
      </c>
      <c r="C22" s="414" t="inlineStr">
        <is>
          <t>Катки на пневмоколесном ходу, масса 30 т</t>
        </is>
      </c>
      <c r="D22" s="406" t="inlineStr">
        <is>
          <t>маш.час</t>
        </is>
      </c>
      <c r="E22" s="219" t="n">
        <v>12</v>
      </c>
      <c r="F22" s="416" t="n">
        <v>364.07</v>
      </c>
      <c r="G22" s="217">
        <f>ROUND(E22*F22,2)</f>
        <v/>
      </c>
      <c r="H22" s="220">
        <f>G22/$G$59</f>
        <v/>
      </c>
      <c r="I22" s="217">
        <f>ROUND(F22*Прил.10!$D$12,2)</f>
        <v/>
      </c>
      <c r="J22" s="217">
        <f>ROUND(I22*E22,2)</f>
        <v/>
      </c>
    </row>
    <row r="23" ht="26.25" customFormat="1" customHeight="1" s="375">
      <c r="A23" s="406" t="n">
        <v>7</v>
      </c>
      <c r="B23" s="292" t="inlineStr">
        <is>
          <t>91.13.03-111</t>
        </is>
      </c>
      <c r="C23" s="414" t="inlineStr">
        <is>
          <t>Спецавтомашины, грузоподъемность до 8 т, вездеходы</t>
        </is>
      </c>
      <c r="D23" s="406" t="inlineStr">
        <is>
          <t>маш.час</t>
        </is>
      </c>
      <c r="E23" s="219" t="n">
        <v>13.88</v>
      </c>
      <c r="F23" s="416" t="n">
        <v>189.95</v>
      </c>
      <c r="G23" s="217">
        <f>ROUND(E23*F23,2)</f>
        <v/>
      </c>
      <c r="H23" s="220">
        <f>G23/$G$59</f>
        <v/>
      </c>
      <c r="I23" s="217">
        <f>ROUND(F23*Прил.10!$D$12,2)</f>
        <v/>
      </c>
      <c r="J23" s="217">
        <f>ROUND(I23*E23,2)</f>
        <v/>
      </c>
    </row>
    <row r="24" ht="26.25" customFormat="1" customHeight="1" s="375">
      <c r="A24" s="406" t="n">
        <v>8</v>
      </c>
      <c r="B24" s="292" t="inlineStr">
        <is>
          <t>91.05.08-007</t>
        </is>
      </c>
      <c r="C24" s="414" t="inlineStr">
        <is>
          <t>Краны на пневмоколесном ходу, грузоподъемность 25 т</t>
        </is>
      </c>
      <c r="D24" s="406" t="inlineStr">
        <is>
          <t>маш.час</t>
        </is>
      </c>
      <c r="E24" s="219" t="n">
        <v>17.41</v>
      </c>
      <c r="F24" s="416" t="n">
        <v>102.51</v>
      </c>
      <c r="G24" s="217">
        <f>ROUND(E24*F24,2)</f>
        <v/>
      </c>
      <c r="H24" s="220">
        <f>G24/$G$59</f>
        <v/>
      </c>
      <c r="I24" s="217">
        <f>ROUND(F24*Прил.10!$D$12,2)</f>
        <v/>
      </c>
      <c r="J24" s="217">
        <f>ROUND(I24*E24,2)</f>
        <v/>
      </c>
    </row>
    <row r="25" ht="14.25" customFormat="1" customHeight="1" s="375">
      <c r="A25" s="406" t="n">
        <v>9</v>
      </c>
      <c r="B25" s="292" t="inlineStr">
        <is>
          <t>91.08.11-011</t>
        </is>
      </c>
      <c r="C25" s="414" t="inlineStr">
        <is>
          <t>Заливщик швов на базе автомобиля</t>
        </is>
      </c>
      <c r="D25" s="406" t="inlineStr">
        <is>
          <t>маш.час</t>
        </is>
      </c>
      <c r="E25" s="219" t="n">
        <v>9.17</v>
      </c>
      <c r="F25" s="416" t="n">
        <v>175.25</v>
      </c>
      <c r="G25" s="217">
        <f>ROUND(E25*F25,2)</f>
        <v/>
      </c>
      <c r="H25" s="220">
        <f>G25/$G$59</f>
        <v/>
      </c>
      <c r="I25" s="217">
        <f>ROUND(F25*Прил.10!$D$12,2)</f>
        <v/>
      </c>
      <c r="J25" s="217">
        <f>ROUND(I25*E25,2)</f>
        <v/>
      </c>
    </row>
    <row r="26" ht="25.5" customFormat="1" customHeight="1" s="375">
      <c r="A26" s="406" t="n">
        <v>10</v>
      </c>
      <c r="B26" s="292" t="inlineStr">
        <is>
          <t>91.15.02-029</t>
        </is>
      </c>
      <c r="C26" s="414" t="inlineStr">
        <is>
          <t>Тракторы на гусеничном ходу с лебедкой 132 кВт (180 л.с.)</t>
        </is>
      </c>
      <c r="D26" s="406" t="inlineStr">
        <is>
          <t>маш.час</t>
        </is>
      </c>
      <c r="E26" s="219" t="n">
        <v>6.93</v>
      </c>
      <c r="F26" s="416" t="n">
        <v>147.43</v>
      </c>
      <c r="G26" s="217">
        <f>ROUND(E26*F26,2)</f>
        <v/>
      </c>
      <c r="H26" s="220">
        <f>G26/$G$59</f>
        <v/>
      </c>
      <c r="I26" s="217">
        <f>ROUND(F26*Прил.10!$D$12,2)</f>
        <v/>
      </c>
      <c r="J26" s="217">
        <f>ROUND(I26*E26,2)</f>
        <v/>
      </c>
    </row>
    <row r="27" ht="14.25" customFormat="1" customHeight="1" s="375">
      <c r="A27" s="406" t="n"/>
      <c r="B27" s="406" t="n"/>
      <c r="C27" s="414" t="inlineStr">
        <is>
          <t>Итого основные машины и механизмы</t>
        </is>
      </c>
      <c r="D27" s="406" t="n"/>
      <c r="E27" s="219" t="n"/>
      <c r="F27" s="217" t="n"/>
      <c r="G27" s="217">
        <f>SUM(G19:G26)</f>
        <v/>
      </c>
      <c r="H27" s="417">
        <f>G27/G59</f>
        <v/>
      </c>
      <c r="I27" s="209" t="n"/>
      <c r="J27" s="217">
        <f>SUM(J19:J26)</f>
        <v/>
      </c>
    </row>
    <row r="28" hidden="1" outlineLevel="1" ht="38.25" customFormat="1" customHeight="1" s="375">
      <c r="A28" s="406" t="n">
        <v>11</v>
      </c>
      <c r="B28" s="292" t="inlineStr">
        <is>
          <t>91.01.05-085</t>
        </is>
      </c>
      <c r="C28" s="414" t="inlineStr">
        <is>
          <t>Экскаваторы одноковшовые дизельные на гусеничном ходу, емкость ковша 0,5 м3</t>
        </is>
      </c>
      <c r="D28" s="406" t="inlineStr">
        <is>
          <t>маш.час</t>
        </is>
      </c>
      <c r="E28" s="219" t="n">
        <v>9.98</v>
      </c>
      <c r="F28" s="416" t="n">
        <v>100</v>
      </c>
      <c r="G28" s="217">
        <f>ROUND(E28*F28,2)</f>
        <v/>
      </c>
      <c r="H28" s="220">
        <f>G28/$G$59</f>
        <v/>
      </c>
      <c r="I28" s="217">
        <f>ROUND(F28*Прил.10!$D$12,2)</f>
        <v/>
      </c>
      <c r="J28" s="217">
        <f>ROUND(I28*E28,2)</f>
        <v/>
      </c>
    </row>
    <row r="29" hidden="1" outlineLevel="1" ht="25.5" customFormat="1" customHeight="1" s="375">
      <c r="A29" s="406" t="n">
        <v>12</v>
      </c>
      <c r="B29" s="292" t="inlineStr">
        <is>
          <t>91.14.02-001</t>
        </is>
      </c>
      <c r="C29" s="414" t="inlineStr">
        <is>
          <t>Автомобили бортовые, грузоподъемность: до 5 т</t>
        </is>
      </c>
      <c r="D29" s="406" t="inlineStr">
        <is>
          <t>маш.час</t>
        </is>
      </c>
      <c r="E29" s="219" t="n">
        <v>12.67</v>
      </c>
      <c r="F29" s="416" t="n">
        <v>65.70999999999999</v>
      </c>
      <c r="G29" s="217">
        <f>ROUND(E29*F29,2)</f>
        <v/>
      </c>
      <c r="H29" s="220">
        <f>G29/$G$59</f>
        <v/>
      </c>
      <c r="I29" s="217">
        <f>ROUND(F29*Прил.10!$D$12,2)</f>
        <v/>
      </c>
      <c r="J29" s="217">
        <f>ROUND(I29*E29,2)</f>
        <v/>
      </c>
    </row>
    <row r="30" hidden="1" outlineLevel="1" ht="51" customFormat="1" customHeight="1" s="375">
      <c r="A30" s="406" t="n">
        <v>13</v>
      </c>
      <c r="B30" s="292" t="inlineStr">
        <is>
          <t>91.18.01-007</t>
        </is>
      </c>
      <c r="C30" s="41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406" t="inlineStr">
        <is>
          <t>маш.час</t>
        </is>
      </c>
      <c r="E30" s="219" t="n">
        <v>7.5</v>
      </c>
      <c r="F30" s="416" t="n">
        <v>90</v>
      </c>
      <c r="G30" s="217">
        <f>ROUND(E30*F30,2)</f>
        <v/>
      </c>
      <c r="H30" s="220">
        <f>G30/$G$59</f>
        <v/>
      </c>
      <c r="I30" s="217">
        <f>ROUND(F30*Прил.10!$D$12,2)</f>
        <v/>
      </c>
      <c r="J30" s="217">
        <f>ROUND(I30*E30,2)</f>
        <v/>
      </c>
    </row>
    <row r="31" hidden="1" outlineLevel="1" ht="14.25" customFormat="1" customHeight="1" s="375">
      <c r="A31" s="406" t="n">
        <v>14</v>
      </c>
      <c r="B31" s="292" t="inlineStr">
        <is>
          <t>91.01.01-035</t>
        </is>
      </c>
      <c r="C31" s="414" t="inlineStr">
        <is>
          <t>Бульдозеры, мощность 79 кВт (108 л.с.)</t>
        </is>
      </c>
      <c r="D31" s="406" t="inlineStr">
        <is>
          <t>маш.час</t>
        </is>
      </c>
      <c r="E31" s="219" t="n">
        <v>5.96</v>
      </c>
      <c r="F31" s="416" t="n">
        <v>79.06999999999999</v>
      </c>
      <c r="G31" s="217">
        <f>ROUND(E31*F31,2)</f>
        <v/>
      </c>
      <c r="H31" s="220">
        <f>G31/$G$59</f>
        <v/>
      </c>
      <c r="I31" s="217">
        <f>ROUND(F31*Прил.10!$D$12,2)</f>
        <v/>
      </c>
      <c r="J31" s="217">
        <f>ROUND(I31*E31,2)</f>
        <v/>
      </c>
    </row>
    <row r="32" hidden="1" outlineLevel="1" ht="38.25" customFormat="1" customHeight="1" s="375">
      <c r="A32" s="406" t="n">
        <v>15</v>
      </c>
      <c r="B32" s="292" t="inlineStr">
        <is>
          <t>91.17.04-036</t>
        </is>
      </c>
      <c r="C32" s="414" t="inlineStr">
        <is>
          <t>Агрегаты сварочные передвижные номинальным сварочным током 250-400 А: с дизельным двигателем</t>
        </is>
      </c>
      <c r="D32" s="406" t="inlineStr">
        <is>
          <t>маш.час</t>
        </is>
      </c>
      <c r="E32" s="219" t="n">
        <v>32.69</v>
      </c>
      <c r="F32" s="416" t="n">
        <v>14</v>
      </c>
      <c r="G32" s="217">
        <f>ROUND(E32*F32,2)</f>
        <v/>
      </c>
      <c r="H32" s="220">
        <f>G32/$G$59</f>
        <v/>
      </c>
      <c r="I32" s="217">
        <f>ROUND(F32*Прил.10!$D$12,2)</f>
        <v/>
      </c>
      <c r="J32" s="217">
        <f>ROUND(I32*E32,2)</f>
        <v/>
      </c>
    </row>
    <row r="33" hidden="1" outlineLevel="1" ht="14.25" customFormat="1" customHeight="1" s="375">
      <c r="A33" s="406" t="n">
        <v>16</v>
      </c>
      <c r="B33" s="292" t="inlineStr">
        <is>
          <t>91.06.05-011</t>
        </is>
      </c>
      <c r="C33" s="414" t="inlineStr">
        <is>
          <t>Погрузчик, грузоподъемность 5 т</t>
        </is>
      </c>
      <c r="D33" s="406" t="inlineStr">
        <is>
          <t>маш.час</t>
        </is>
      </c>
      <c r="E33" s="219" t="n">
        <v>4.94</v>
      </c>
      <c r="F33" s="416" t="n">
        <v>89.98999999999999</v>
      </c>
      <c r="G33" s="217">
        <f>ROUND(E33*F33,2)</f>
        <v/>
      </c>
      <c r="H33" s="220">
        <f>G33/$G$59</f>
        <v/>
      </c>
      <c r="I33" s="217">
        <f>ROUND(F33*Прил.10!$D$12,2)</f>
        <v/>
      </c>
      <c r="J33" s="217">
        <f>ROUND(I33*E33,2)</f>
        <v/>
      </c>
    </row>
    <row r="34" hidden="1" outlineLevel="1" ht="14.25" customFormat="1" customHeight="1" s="375">
      <c r="A34" s="406" t="n">
        <v>17</v>
      </c>
      <c r="B34" s="292" t="inlineStr">
        <is>
          <t>91.06.09-001</t>
        </is>
      </c>
      <c r="C34" s="414" t="inlineStr">
        <is>
          <t>Вышка телескопическая 25 м</t>
        </is>
      </c>
      <c r="D34" s="406" t="inlineStr">
        <is>
          <t>маш.час</t>
        </is>
      </c>
      <c r="E34" s="219" t="n">
        <v>2.99</v>
      </c>
      <c r="F34" s="416" t="n">
        <v>142.7</v>
      </c>
      <c r="G34" s="217">
        <f>ROUND(E34*F34,2)</f>
        <v/>
      </c>
      <c r="H34" s="220">
        <f>G34/$G$59</f>
        <v/>
      </c>
      <c r="I34" s="217">
        <f>ROUND(F34*Прил.10!$D$12,2)</f>
        <v/>
      </c>
      <c r="J34" s="217">
        <f>ROUND(I34*E34,2)</f>
        <v/>
      </c>
    </row>
    <row r="35" hidden="1" outlineLevel="1" ht="14.25" customFormat="1" customHeight="1" s="375">
      <c r="A35" s="406" t="n">
        <v>18</v>
      </c>
      <c r="B35" s="292" t="inlineStr">
        <is>
          <t>91.14.01-003</t>
        </is>
      </c>
      <c r="C35" s="414" t="inlineStr">
        <is>
          <t>Автобетоносмесители: 6 м3</t>
        </is>
      </c>
      <c r="D35" s="406" t="inlineStr">
        <is>
          <t>маш.час</t>
        </is>
      </c>
      <c r="E35" s="219" t="n">
        <v>2.26</v>
      </c>
      <c r="F35" s="416" t="n">
        <v>177.59</v>
      </c>
      <c r="G35" s="217">
        <f>ROUND(E35*F35,2)</f>
        <v/>
      </c>
      <c r="H35" s="220">
        <f>G35/$G$59</f>
        <v/>
      </c>
      <c r="I35" s="217">
        <f>ROUND(F35*Прил.10!$D$12,2)</f>
        <v/>
      </c>
      <c r="J35" s="217">
        <f>ROUND(I35*E35,2)</f>
        <v/>
      </c>
    </row>
    <row r="36" hidden="1" outlineLevel="1" ht="25.5" customFormat="1" customHeight="1" s="375">
      <c r="A36" s="406" t="n">
        <v>19</v>
      </c>
      <c r="B36" s="292" t="inlineStr">
        <is>
          <t>91.01.02-004</t>
        </is>
      </c>
      <c r="C36" s="414" t="inlineStr">
        <is>
          <t>Автогрейдеры: среднего типа, мощность 99 кВт (135 л.с.)</t>
        </is>
      </c>
      <c r="D36" s="406" t="inlineStr">
        <is>
          <t>маш.час</t>
        </is>
      </c>
      <c r="E36" s="219" t="n">
        <v>2.65</v>
      </c>
      <c r="F36" s="416" t="n">
        <v>123</v>
      </c>
      <c r="G36" s="217">
        <f>ROUND(E36*F36,2)</f>
        <v/>
      </c>
      <c r="H36" s="220">
        <f>G36/$G$59</f>
        <v/>
      </c>
      <c r="I36" s="217">
        <f>ROUND(F36*Прил.10!$D$12,2)</f>
        <v/>
      </c>
      <c r="J36" s="217">
        <f>ROUND(I36*E36,2)</f>
        <v/>
      </c>
    </row>
    <row r="37" hidden="1" outlineLevel="1" ht="25.5" customFormat="1" customHeight="1" s="375">
      <c r="A37" s="406" t="n">
        <v>20</v>
      </c>
      <c r="B37" s="292" t="inlineStr">
        <is>
          <t>91.14.02-002</t>
        </is>
      </c>
      <c r="C37" s="414" t="inlineStr">
        <is>
          <t>Автомобили бортовые, грузоподъемность: до 8 т</t>
        </is>
      </c>
      <c r="D37" s="406" t="inlineStr">
        <is>
          <t>маш.час</t>
        </is>
      </c>
      <c r="E37" s="219" t="n">
        <v>3.21</v>
      </c>
      <c r="F37" s="416" t="n">
        <v>85.84</v>
      </c>
      <c r="G37" s="217">
        <f>ROUND(E37*F37,2)</f>
        <v/>
      </c>
      <c r="H37" s="220">
        <f>G37/$G$59</f>
        <v/>
      </c>
      <c r="I37" s="217">
        <f>ROUND(F37*Прил.10!$D$12,2)</f>
        <v/>
      </c>
      <c r="J37" s="217">
        <f>ROUND(I37*E37,2)</f>
        <v/>
      </c>
    </row>
    <row r="38" hidden="1" outlineLevel="1" ht="38.25" customFormat="1" customHeight="1" s="375">
      <c r="A38" s="406" t="n">
        <v>21</v>
      </c>
      <c r="B38" s="292" t="inlineStr">
        <is>
          <t>91.17.04-035</t>
        </is>
      </c>
      <c r="C38" s="414" t="inlineStr">
        <is>
          <t>Агрегаты сварочные передвижные номинальным сварочным током 250-400 А: с бензиновым двигателем</t>
        </is>
      </c>
      <c r="D38" s="406" t="inlineStr">
        <is>
          <t>маш.час</t>
        </is>
      </c>
      <c r="E38" s="219" t="n">
        <v>9.199999999999999</v>
      </c>
      <c r="F38" s="416" t="n">
        <v>14</v>
      </c>
      <c r="G38" s="217">
        <f>ROUND(E38*F38,2)</f>
        <v/>
      </c>
      <c r="H38" s="220">
        <f>G38/$G$59</f>
        <v/>
      </c>
      <c r="I38" s="217">
        <f>ROUND(F38*Прил.10!$D$12,2)</f>
        <v/>
      </c>
      <c r="J38" s="217">
        <f>ROUND(I38*E38,2)</f>
        <v/>
      </c>
    </row>
    <row r="39" hidden="1" outlineLevel="1" ht="14.25" customFormat="1" customHeight="1" s="375">
      <c r="A39" s="406" t="n">
        <v>22</v>
      </c>
      <c r="B39" s="292" t="inlineStr">
        <is>
          <t>91.13.01-038</t>
        </is>
      </c>
      <c r="C39" s="414" t="inlineStr">
        <is>
          <t>Машины поливомоечные 6000 л</t>
        </is>
      </c>
      <c r="D39" s="406" t="inlineStr">
        <is>
          <t>маш.час</t>
        </is>
      </c>
      <c r="E39" s="219" t="n">
        <v>1.14</v>
      </c>
      <c r="F39" s="416" t="n">
        <v>110</v>
      </c>
      <c r="G39" s="217">
        <f>ROUND(E39*F39,2)</f>
        <v/>
      </c>
      <c r="H39" s="220">
        <f>G39/$G$59</f>
        <v/>
      </c>
      <c r="I39" s="217">
        <f>ROUND(F39*Прил.10!$D$12,2)</f>
        <v/>
      </c>
      <c r="J39" s="217">
        <f>ROUND(I39*E39,2)</f>
        <v/>
      </c>
    </row>
    <row r="40" hidden="1" outlineLevel="1" ht="14.25" customFormat="1" customHeight="1" s="375">
      <c r="A40" s="406" t="n">
        <v>23</v>
      </c>
      <c r="B40" s="292" t="inlineStr">
        <is>
          <t>91.13.03-041</t>
        </is>
      </c>
      <c r="C40" s="414" t="inlineStr">
        <is>
          <t>Автоцистерна</t>
        </is>
      </c>
      <c r="D40" s="406" t="inlineStr">
        <is>
          <t>маш.час</t>
        </is>
      </c>
      <c r="E40" s="219" t="n">
        <v>1.09</v>
      </c>
      <c r="F40" s="416" t="n">
        <v>100.72</v>
      </c>
      <c r="G40" s="217">
        <f>ROUND(E40*F40,2)</f>
        <v/>
      </c>
      <c r="H40" s="220">
        <f>G40/$G$59</f>
        <v/>
      </c>
      <c r="I40" s="217">
        <f>ROUND(F40*Прил.10!$D$12,2)</f>
        <v/>
      </c>
      <c r="J40" s="217">
        <f>ROUND(I40*E40,2)</f>
        <v/>
      </c>
    </row>
    <row r="41" hidden="1" outlineLevel="1" ht="25.5" customFormat="1" customHeight="1" s="375">
      <c r="A41" s="406" t="n">
        <v>24</v>
      </c>
      <c r="B41" s="292" t="inlineStr">
        <is>
          <t>91.17.04-233</t>
        </is>
      </c>
      <c r="C41" s="414" t="inlineStr">
        <is>
          <t>Установки для сварки: ручной дуговой (постоянного тока)</t>
        </is>
      </c>
      <c r="D41" s="406" t="inlineStr">
        <is>
          <t>маш.час</t>
        </is>
      </c>
      <c r="E41" s="219" t="n">
        <v>13.25</v>
      </c>
      <c r="F41" s="416" t="n">
        <v>8.1</v>
      </c>
      <c r="G41" s="217">
        <f>ROUND(E41*F41,2)</f>
        <v/>
      </c>
      <c r="H41" s="220">
        <f>G41/$G$59</f>
        <v/>
      </c>
      <c r="I41" s="217">
        <f>ROUND(F41*Прил.10!$D$12,2)</f>
        <v/>
      </c>
      <c r="J41" s="217">
        <f>ROUND(I41*E41,2)</f>
        <v/>
      </c>
    </row>
    <row r="42" hidden="1" outlineLevel="1" ht="25.5" customFormat="1" customHeight="1" s="375">
      <c r="A42" s="406" t="n">
        <v>25</v>
      </c>
      <c r="B42" s="292" t="inlineStr">
        <is>
          <t>91.08.03-029</t>
        </is>
      </c>
      <c r="C42" s="414" t="inlineStr">
        <is>
          <t>Катки на пневмоколесном ходу, масса 16 т</t>
        </is>
      </c>
      <c r="D42" s="406" t="inlineStr">
        <is>
          <t>маш.час</t>
        </is>
      </c>
      <c r="E42" s="219" t="n">
        <v>0.52</v>
      </c>
      <c r="F42" s="416" t="n">
        <v>156.32</v>
      </c>
      <c r="G42" s="217">
        <f>ROUND(E42*F42,2)</f>
        <v/>
      </c>
      <c r="H42" s="220">
        <f>G42/$G$59</f>
        <v/>
      </c>
      <c r="I42" s="217">
        <f>ROUND(F42*Прил.10!$D$12,2)</f>
        <v/>
      </c>
      <c r="J42" s="217">
        <f>ROUND(I42*E42,2)</f>
        <v/>
      </c>
    </row>
    <row r="43" hidden="1" outlineLevel="1" ht="25.5" customFormat="1" customHeight="1" s="375">
      <c r="A43" s="406" t="n">
        <v>26</v>
      </c>
      <c r="B43" s="292" t="inlineStr">
        <is>
          <t>91.06.06-042</t>
        </is>
      </c>
      <c r="C43" s="414" t="inlineStr">
        <is>
          <t>Подъемники гидравлические высотой подъема: 10 м</t>
        </is>
      </c>
      <c r="D43" s="406" t="inlineStr">
        <is>
          <t>маш.час</t>
        </is>
      </c>
      <c r="E43" s="219" t="n">
        <v>1.84</v>
      </c>
      <c r="F43" s="416" t="n">
        <v>29.6</v>
      </c>
      <c r="G43" s="217">
        <f>ROUND(E43*F43,2)</f>
        <v/>
      </c>
      <c r="H43" s="220">
        <f>G43/$G$59</f>
        <v/>
      </c>
      <c r="I43" s="217">
        <f>ROUND(F43*Прил.10!$D$12,2)</f>
        <v/>
      </c>
      <c r="J43" s="217">
        <f>ROUND(I43*E43,2)</f>
        <v/>
      </c>
    </row>
    <row r="44" hidden="1" outlineLevel="1" ht="38.25" customFormat="1" customHeight="1" s="375">
      <c r="A44" s="406" t="n">
        <v>27</v>
      </c>
      <c r="B44" s="292" t="inlineStr">
        <is>
          <t>91.06.05-057</t>
        </is>
      </c>
      <c r="C44" s="414" t="inlineStr">
        <is>
          <t>Погрузчики одноковшовые универсальные фронтальные пневмоколесные, грузоподъемность 3 т</t>
        </is>
      </c>
      <c r="D44" s="406" t="inlineStr">
        <is>
          <t>маш.час</t>
        </is>
      </c>
      <c r="E44" s="219" t="n">
        <v>0.25</v>
      </c>
      <c r="F44" s="416" t="n">
        <v>90.40000000000001</v>
      </c>
      <c r="G44" s="217">
        <f>ROUND(E44*F44,2)</f>
        <v/>
      </c>
      <c r="H44" s="220">
        <f>G44/$G$59</f>
        <v/>
      </c>
      <c r="I44" s="217">
        <f>ROUND(F44*Прил.10!$D$12,2)</f>
        <v/>
      </c>
      <c r="J44" s="217">
        <f>ROUND(I44*E44,2)</f>
        <v/>
      </c>
    </row>
    <row r="45" hidden="1" outlineLevel="1" ht="14.25" customFormat="1" customHeight="1" s="375">
      <c r="A45" s="406" t="n">
        <v>28</v>
      </c>
      <c r="B45" s="292" t="inlineStr">
        <is>
          <t>91.08.04-021</t>
        </is>
      </c>
      <c r="C45" s="414" t="inlineStr">
        <is>
          <t>Котлы битумные: передвижные 400 л</t>
        </is>
      </c>
      <c r="D45" s="406" t="inlineStr">
        <is>
          <t>маш.час</t>
        </is>
      </c>
      <c r="E45" s="219" t="n">
        <v>0.6899999999999999</v>
      </c>
      <c r="F45" s="416" t="n">
        <v>30</v>
      </c>
      <c r="G45" s="217">
        <f>ROUND(E45*F45,2)</f>
        <v/>
      </c>
      <c r="H45" s="220">
        <f>G45/$G$59</f>
        <v/>
      </c>
      <c r="I45" s="217">
        <f>ROUND(F45*Прил.10!$D$12,2)</f>
        <v/>
      </c>
      <c r="J45" s="217">
        <f>ROUND(I45*E45,2)</f>
        <v/>
      </c>
    </row>
    <row r="46" hidden="1" outlineLevel="1" ht="25.5" customFormat="1" customHeight="1" s="375">
      <c r="A46" s="406" t="n">
        <v>29</v>
      </c>
      <c r="B46" s="292" t="inlineStr">
        <is>
          <t>91.11.02-061</t>
        </is>
      </c>
      <c r="C46" s="414" t="inlineStr">
        <is>
          <t>Тележки раскаточные на гусеничном ходу</t>
        </is>
      </c>
      <c r="D46" s="406" t="inlineStr">
        <is>
          <t>маш.час</t>
        </is>
      </c>
      <c r="E46" s="219" t="n">
        <v>0.82</v>
      </c>
      <c r="F46" s="416" t="n">
        <v>17.14</v>
      </c>
      <c r="G46" s="217">
        <f>ROUND(E46*F46,2)</f>
        <v/>
      </c>
      <c r="H46" s="220">
        <f>G46/$G$59</f>
        <v/>
      </c>
      <c r="I46" s="217">
        <f>ROUND(F46*Прил.10!$D$12,2)</f>
        <v/>
      </c>
      <c r="J46" s="217">
        <f>ROUND(I46*E46,2)</f>
        <v/>
      </c>
    </row>
    <row r="47" hidden="1" outlineLevel="1" ht="25.5" customFormat="1" customHeight="1" s="375">
      <c r="A47" s="406" t="n">
        <v>30</v>
      </c>
      <c r="B47" s="292" t="inlineStr">
        <is>
          <t>91.21.16-012</t>
        </is>
      </c>
      <c r="C47" s="414" t="inlineStr">
        <is>
          <t>Пресс: гидравлический с электроприводом</t>
        </is>
      </c>
      <c r="D47" s="406" t="inlineStr">
        <is>
          <t>маш.час</t>
        </is>
      </c>
      <c r="E47" s="219" t="n">
        <v>11.37</v>
      </c>
      <c r="F47" s="416" t="n">
        <v>1.11</v>
      </c>
      <c r="G47" s="217">
        <f>ROUND(E47*F47,2)</f>
        <v/>
      </c>
      <c r="H47" s="220">
        <f>G47/$G$59</f>
        <v/>
      </c>
      <c r="I47" s="217">
        <f>ROUND(F47*Прил.10!$D$12,2)</f>
        <v/>
      </c>
      <c r="J47" s="217">
        <f>ROUND(I47*E47,2)</f>
        <v/>
      </c>
    </row>
    <row r="48" hidden="1" outlineLevel="1" ht="25.5" customFormat="1" customHeight="1" s="375">
      <c r="A48" s="406" t="n">
        <v>31</v>
      </c>
      <c r="B48" s="292" t="inlineStr">
        <is>
          <t>91.08.09-023</t>
        </is>
      </c>
      <c r="C48" s="414" t="inlineStr">
        <is>
          <t>Трамбовки пневматические при работе от: передвижных компрессорных станций</t>
        </is>
      </c>
      <c r="D48" s="406" t="inlineStr">
        <is>
          <t>маш.час</t>
        </is>
      </c>
      <c r="E48" s="219" t="n">
        <v>22.22</v>
      </c>
      <c r="F48" s="416" t="n">
        <v>0.55</v>
      </c>
      <c r="G48" s="217">
        <f>ROUND(E48*F48,2)</f>
        <v/>
      </c>
      <c r="H48" s="220">
        <f>G48/$G$59</f>
        <v/>
      </c>
      <c r="I48" s="217">
        <f>ROUND(F48*Прил.10!$D$12,2)</f>
        <v/>
      </c>
      <c r="J48" s="217">
        <f>ROUND(I48*E48,2)</f>
        <v/>
      </c>
    </row>
    <row r="49" hidden="1" outlineLevel="1" ht="14.25" customFormat="1" customHeight="1" s="375">
      <c r="A49" s="406" t="n">
        <v>32</v>
      </c>
      <c r="B49" s="292" t="inlineStr">
        <is>
          <t>91.05.01-017</t>
        </is>
      </c>
      <c r="C49" s="414" t="inlineStr">
        <is>
          <t>Краны башенные, грузоподъемность 8 т</t>
        </is>
      </c>
      <c r="D49" s="406" t="inlineStr">
        <is>
          <t>маш.час</t>
        </is>
      </c>
      <c r="E49" s="219" t="n">
        <v>0.12</v>
      </c>
      <c r="F49" s="416" t="n">
        <v>86.40000000000001</v>
      </c>
      <c r="G49" s="217">
        <f>ROUND(E49*F49,2)</f>
        <v/>
      </c>
      <c r="H49" s="220">
        <f>G49/$G$59</f>
        <v/>
      </c>
      <c r="I49" s="217">
        <f>ROUND(F49*Прил.10!$D$12,2)</f>
        <v/>
      </c>
      <c r="J49" s="217">
        <f>ROUND(I49*E49,2)</f>
        <v/>
      </c>
    </row>
    <row r="50" hidden="1" outlineLevel="1" ht="14.25" customFormat="1" customHeight="1" s="375">
      <c r="A50" s="406" t="n">
        <v>33</v>
      </c>
      <c r="B50" s="292" t="inlineStr">
        <is>
          <t>91.01.01-034</t>
        </is>
      </c>
      <c r="C50" s="414" t="inlineStr">
        <is>
          <t>Бульдозеры, мощность 59 кВт (80 л.с.)</t>
        </is>
      </c>
      <c r="D50" s="406" t="inlineStr">
        <is>
          <t>маш.час</t>
        </is>
      </c>
      <c r="E50" s="219" t="n">
        <v>0.12</v>
      </c>
      <c r="F50" s="416" t="n">
        <v>59.47</v>
      </c>
      <c r="G50" s="217">
        <f>ROUND(E50*F50,2)</f>
        <v/>
      </c>
      <c r="H50" s="220">
        <f>G50/$G$59</f>
        <v/>
      </c>
      <c r="I50" s="217">
        <f>ROUND(F50*Прил.10!$D$12,2)</f>
        <v/>
      </c>
      <c r="J50" s="217">
        <f>ROUND(I50*E50,2)</f>
        <v/>
      </c>
    </row>
    <row r="51" hidden="1" outlineLevel="1" ht="25.5" customFormat="1" customHeight="1" s="375">
      <c r="A51" s="406" t="n">
        <v>34</v>
      </c>
      <c r="B51" s="292" t="inlineStr">
        <is>
          <t>91.06.03-049</t>
        </is>
      </c>
      <c r="C51" s="414" t="inlineStr">
        <is>
          <t>Лебедки ручные и рычажные тяговым усилием: до 9,81 кН (1 т)</t>
        </is>
      </c>
      <c r="D51" s="406" t="inlineStr">
        <is>
          <t>маш.час</t>
        </is>
      </c>
      <c r="E51" s="219" t="n">
        <v>5.37</v>
      </c>
      <c r="F51" s="416" t="n">
        <v>0.58</v>
      </c>
      <c r="G51" s="217">
        <f>ROUND(E51*F51,2)</f>
        <v/>
      </c>
      <c r="H51" s="220">
        <f>G51/$G$59</f>
        <v/>
      </c>
      <c r="I51" s="217">
        <f>ROUND(F51*Прил.10!$D$12,2)</f>
        <v/>
      </c>
      <c r="J51" s="217">
        <f>ROUND(I51*E51,2)</f>
        <v/>
      </c>
    </row>
    <row r="52" hidden="1" outlineLevel="1" ht="14.25" customFormat="1" customHeight="1" s="375">
      <c r="A52" s="406" t="n">
        <v>35</v>
      </c>
      <c r="B52" s="292" t="inlineStr">
        <is>
          <t>91.21.22-491</t>
        </is>
      </c>
      <c r="C52" s="414" t="inlineStr">
        <is>
          <t>Шинотрубогиб</t>
        </is>
      </c>
      <c r="D52" s="406" t="inlineStr">
        <is>
          <t>маш.час</t>
        </is>
      </c>
      <c r="E52" s="219" t="n">
        <v>0.17</v>
      </c>
      <c r="F52" s="416" t="n">
        <v>15.24</v>
      </c>
      <c r="G52" s="217">
        <f>ROUND(E52*F52,2)</f>
        <v/>
      </c>
      <c r="H52" s="220">
        <f>G52/$G$59</f>
        <v/>
      </c>
      <c r="I52" s="217">
        <f>ROUND(F52*Прил.10!$D$12,2)</f>
        <v/>
      </c>
      <c r="J52" s="217">
        <f>ROUND(I52*E52,2)</f>
        <v/>
      </c>
    </row>
    <row r="53" hidden="1" outlineLevel="1" ht="14.25" customFormat="1" customHeight="1" s="375">
      <c r="A53" s="406" t="n">
        <v>36</v>
      </c>
      <c r="B53" s="292" t="inlineStr">
        <is>
          <t>91.07.04-001</t>
        </is>
      </c>
      <c r="C53" s="414" t="inlineStr">
        <is>
          <t>Вибратор глубинный</t>
        </is>
      </c>
      <c r="D53" s="406" t="inlineStr">
        <is>
          <t>маш.час</t>
        </is>
      </c>
      <c r="E53" s="219" t="n">
        <v>1.28</v>
      </c>
      <c r="F53" s="416" t="n">
        <v>1.9</v>
      </c>
      <c r="G53" s="217">
        <f>ROUND(E53*F53,2)</f>
        <v/>
      </c>
      <c r="H53" s="220">
        <f>G53/$G$59</f>
        <v/>
      </c>
      <c r="I53" s="217">
        <f>ROUND(F53*Прил.10!$D$12,2)</f>
        <v/>
      </c>
      <c r="J53" s="217">
        <f>ROUND(I53*E53,2)</f>
        <v/>
      </c>
    </row>
    <row r="54" hidden="1" outlineLevel="1" ht="14.25" customFormat="1" customHeight="1" s="375">
      <c r="A54" s="406" t="n">
        <v>37</v>
      </c>
      <c r="B54" s="292" t="inlineStr">
        <is>
          <t>91.12.08-161</t>
        </is>
      </c>
      <c r="C54" s="414" t="inlineStr">
        <is>
          <t>Ямокопатели</t>
        </is>
      </c>
      <c r="D54" s="406" t="inlineStr">
        <is>
          <t>маш.час</t>
        </is>
      </c>
      <c r="E54" s="219" t="n">
        <v>0.34</v>
      </c>
      <c r="F54" s="416" t="n">
        <v>6.51</v>
      </c>
      <c r="G54" s="217">
        <f>ROUND(E54*F54,2)</f>
        <v/>
      </c>
      <c r="H54" s="220">
        <f>G54/$G$59</f>
        <v/>
      </c>
      <c r="I54" s="217">
        <f>ROUND(F54*Прил.10!$D$12,2)</f>
        <v/>
      </c>
      <c r="J54" s="217">
        <f>ROUND(I54*E54,2)</f>
        <v/>
      </c>
    </row>
    <row r="55" hidden="1" outlineLevel="1" ht="25.5" customFormat="1" customHeight="1" s="375">
      <c r="A55" s="406" t="n">
        <v>38</v>
      </c>
      <c r="B55" s="292" t="inlineStr">
        <is>
          <t>91.05.05-013</t>
        </is>
      </c>
      <c r="C55" s="414" t="inlineStr">
        <is>
          <t>Краны на автомобильном ходу, грузоподъемность 6,3 т</t>
        </is>
      </c>
      <c r="D55" s="406" t="inlineStr">
        <is>
          <t>маш.час</t>
        </is>
      </c>
      <c r="E55" s="219" t="n">
        <v>0.01</v>
      </c>
      <c r="F55" s="416" t="n">
        <v>88.01000000000001</v>
      </c>
      <c r="G55" s="217">
        <f>ROUND(E55*F55,2)</f>
        <v/>
      </c>
      <c r="H55" s="220">
        <f>G55/$G$59</f>
        <v/>
      </c>
      <c r="I55" s="217">
        <f>ROUND(F55*Прил.10!$D$12,2)</f>
        <v/>
      </c>
      <c r="J55" s="217">
        <f>ROUND(I55*E55,2)</f>
        <v/>
      </c>
    </row>
    <row r="56" hidden="1" outlineLevel="1" ht="14.25" customFormat="1" customHeight="1" s="375">
      <c r="A56" s="406" t="n">
        <v>39</v>
      </c>
      <c r="B56" s="319" t="inlineStr">
        <is>
          <t>91.07.04-002</t>
        </is>
      </c>
      <c r="C56" s="418" t="inlineStr">
        <is>
          <t>Вибратор поверхностный</t>
        </is>
      </c>
      <c r="D56" s="419" t="inlineStr">
        <is>
          <t>маш.час</t>
        </is>
      </c>
      <c r="E56" s="322" t="n">
        <v>0.31</v>
      </c>
      <c r="F56" s="421" t="n">
        <v>0.5</v>
      </c>
      <c r="G56" s="327">
        <f>ROUND(E56*F56,2)</f>
        <v/>
      </c>
      <c r="H56" s="323">
        <f>G56/$G$59</f>
        <v/>
      </c>
      <c r="I56" s="327">
        <f>ROUND(F56*Прил.10!$D$12,2)</f>
        <v/>
      </c>
      <c r="J56" s="327">
        <f>ROUND(I56*E56,2)</f>
        <v/>
      </c>
    </row>
    <row r="57" hidden="1" outlineLevel="1" ht="14.25" customFormat="1" customHeight="1" s="375">
      <c r="A57" s="406" t="n">
        <v>40</v>
      </c>
      <c r="B57" s="319" t="inlineStr">
        <is>
          <t>91.21.19-031</t>
        </is>
      </c>
      <c r="C57" s="418" t="inlineStr">
        <is>
          <t>Станок: сверлильный</t>
        </is>
      </c>
      <c r="D57" s="419" t="inlineStr">
        <is>
          <t>маш.час</t>
        </is>
      </c>
      <c r="E57" s="322" t="n">
        <v>0.03</v>
      </c>
      <c r="F57" s="421" t="n">
        <v>2.36</v>
      </c>
      <c r="G57" s="327">
        <f>ROUND(E57*F57,2)</f>
        <v/>
      </c>
      <c r="H57" s="323">
        <f>G57/$G$59</f>
        <v/>
      </c>
      <c r="I57" s="327">
        <f>ROUND(F57*Прил.10!$D$12,2)</f>
        <v/>
      </c>
      <c r="J57" s="327">
        <f>ROUND(I57*E57,2)</f>
        <v/>
      </c>
    </row>
    <row r="58" collapsed="1" ht="14.25" customFormat="1" customHeight="1" s="375">
      <c r="A58" s="406" t="n"/>
      <c r="B58" s="419" t="n"/>
      <c r="C58" s="418" t="inlineStr">
        <is>
          <t>Итого прочие машины и механизмы</t>
        </is>
      </c>
      <c r="D58" s="419" t="n"/>
      <c r="E58" s="420" t="n"/>
      <c r="F58" s="327" t="n"/>
      <c r="G58" s="329">
        <f>SUM(G28:G57)</f>
        <v/>
      </c>
      <c r="H58" s="323">
        <f>G58/G59</f>
        <v/>
      </c>
      <c r="I58" s="327" t="n"/>
      <c r="J58" s="329">
        <f>SUM(J28:J57)</f>
        <v/>
      </c>
    </row>
    <row r="59" ht="25.5" customFormat="1" customHeight="1" s="375">
      <c r="A59" s="406" t="n"/>
      <c r="B59" s="419" t="n"/>
      <c r="C59" s="423" t="inlineStr">
        <is>
          <t>Итого по разделу «Машины и механизмы»</t>
        </is>
      </c>
      <c r="D59" s="419" t="n"/>
      <c r="E59" s="420" t="n"/>
      <c r="F59" s="327" t="n"/>
      <c r="G59" s="327">
        <f>G58+G27</f>
        <v/>
      </c>
      <c r="H59" s="314" t="n">
        <v>1</v>
      </c>
      <c r="I59" s="315" t="n"/>
      <c r="J59" s="316">
        <f>J58+J27</f>
        <v/>
      </c>
      <c r="K59" s="344" t="n"/>
    </row>
    <row r="60" ht="14.25" customFormat="1" customHeight="1" s="375">
      <c r="A60" s="406" t="n"/>
      <c r="B60" s="423" t="inlineStr">
        <is>
          <t>Оборудование</t>
        </is>
      </c>
      <c r="C60" s="478" t="n"/>
      <c r="D60" s="478" t="n"/>
      <c r="E60" s="478" t="n"/>
      <c r="F60" s="478" t="n"/>
      <c r="G60" s="478" t="n"/>
      <c r="H60" s="479" t="n"/>
      <c r="I60" s="318" t="n"/>
      <c r="J60" s="318" t="n"/>
    </row>
    <row r="61">
      <c r="A61" s="406" t="n"/>
      <c r="B61" s="418" t="inlineStr">
        <is>
          <t>Основное оборудование</t>
        </is>
      </c>
      <c r="C61" s="478" t="n"/>
      <c r="D61" s="478" t="n"/>
      <c r="E61" s="478" t="n"/>
      <c r="F61" s="478" t="n"/>
      <c r="G61" s="478" t="n"/>
      <c r="H61" s="479" t="n"/>
      <c r="I61" s="318" t="n"/>
      <c r="J61" s="318" t="n"/>
      <c r="K61" s="375" t="n"/>
      <c r="L61" s="375" t="n"/>
    </row>
    <row r="62" s="364">
      <c r="A62" s="406" t="n">
        <v>41</v>
      </c>
      <c r="B62" s="319" t="inlineStr">
        <is>
          <t>БЦ.60.62</t>
        </is>
      </c>
      <c r="C62" s="418" t="inlineStr">
        <is>
          <t>Ограничитель перенапряжений 330 кВ</t>
        </is>
      </c>
      <c r="D62" s="419" t="inlineStr">
        <is>
          <t>1 фаза</t>
        </is>
      </c>
      <c r="E62" s="322" t="n">
        <v>3</v>
      </c>
      <c r="F62" s="327">
        <f>ROUND(I62/Прил.10!D14,2)</f>
        <v/>
      </c>
      <c r="G62" s="327">
        <f>ROUND(E62*F62,2)</f>
        <v/>
      </c>
      <c r="H62" s="323">
        <f>G62/$G$66</f>
        <v/>
      </c>
      <c r="I62" s="327" t="n">
        <v>505890</v>
      </c>
      <c r="J62" s="327">
        <f>ROUND(I62*E62,2)</f>
        <v/>
      </c>
      <c r="K62" s="375" t="n"/>
      <c r="L62" s="375" t="n"/>
      <c r="M62" s="375" t="n"/>
      <c r="N62" s="375" t="n"/>
    </row>
    <row r="63">
      <c r="A63" s="406" t="n"/>
      <c r="B63" s="419" t="n"/>
      <c r="C63" s="418" t="inlineStr">
        <is>
          <t>Итого основное оборудование</t>
        </is>
      </c>
      <c r="D63" s="419" t="n"/>
      <c r="E63" s="322" t="n"/>
      <c r="F63" s="421" t="n"/>
      <c r="G63" s="327">
        <f>G62</f>
        <v/>
      </c>
      <c r="H63" s="422">
        <f>H62</f>
        <v/>
      </c>
      <c r="I63" s="329" t="n"/>
      <c r="J63" s="327">
        <f>J62</f>
        <v/>
      </c>
      <c r="K63" s="375" t="n"/>
      <c r="L63" s="375" t="n"/>
    </row>
    <row r="64">
      <c r="A64" s="406" t="n"/>
      <c r="B64" s="419" t="n"/>
      <c r="C64" s="418" t="inlineStr">
        <is>
          <t>Итого прочее оборудование</t>
        </is>
      </c>
      <c r="D64" s="419" t="n"/>
      <c r="E64" s="322" t="n"/>
      <c r="F64" s="421" t="n"/>
      <c r="G64" s="327" t="n">
        <v>0</v>
      </c>
      <c r="H64" s="422" t="n"/>
      <c r="I64" s="329" t="n"/>
      <c r="J64" s="327" t="n">
        <v>0</v>
      </c>
      <c r="K64" s="375" t="n"/>
      <c r="L64" s="375" t="n"/>
    </row>
    <row r="65">
      <c r="A65" s="406" t="n"/>
      <c r="B65" s="419" t="n"/>
      <c r="C65" s="423" t="inlineStr">
        <is>
          <t>Итого по разделу «Оборудование»</t>
        </is>
      </c>
      <c r="D65" s="419" t="n"/>
      <c r="E65" s="420" t="n"/>
      <c r="F65" s="421" t="n"/>
      <c r="G65" s="327">
        <f>G64+G63</f>
        <v/>
      </c>
      <c r="H65" s="422">
        <f>H64+H63</f>
        <v/>
      </c>
      <c r="I65" s="329" t="n"/>
      <c r="J65" s="327">
        <f>J64+J63</f>
        <v/>
      </c>
      <c r="K65" s="344" t="n"/>
      <c r="L65" s="375" t="n"/>
    </row>
    <row r="66" ht="25.5" customHeight="1" s="364">
      <c r="A66" s="406" t="n"/>
      <c r="B66" s="419" t="n"/>
      <c r="C66" s="418" t="inlineStr">
        <is>
          <t>в том числе технологическое оборудование</t>
        </is>
      </c>
      <c r="D66" s="419" t="n"/>
      <c r="E66" s="332" t="n"/>
      <c r="F66" s="421" t="n"/>
      <c r="G66" s="327">
        <f>G65</f>
        <v/>
      </c>
      <c r="H66" s="422" t="n"/>
      <c r="I66" s="329" t="n"/>
      <c r="J66" s="327">
        <f>J65</f>
        <v/>
      </c>
      <c r="K66" s="375" t="n"/>
      <c r="L66" s="375" t="n"/>
    </row>
    <row r="67" ht="14.25" customFormat="1" customHeight="1" s="375">
      <c r="A67" s="406" t="n"/>
      <c r="B67" s="423" t="inlineStr">
        <is>
          <t>Материалы</t>
        </is>
      </c>
      <c r="C67" s="478" t="n"/>
      <c r="D67" s="478" t="n"/>
      <c r="E67" s="478" t="n"/>
      <c r="F67" s="478" t="n"/>
      <c r="G67" s="478" t="n"/>
      <c r="H67" s="479" t="n"/>
      <c r="I67" s="318" t="n"/>
      <c r="J67" s="318" t="n"/>
    </row>
    <row r="68" ht="14.25" customFormat="1" customHeight="1" s="375">
      <c r="A68" s="407" t="n"/>
      <c r="B68" s="409" t="inlineStr">
        <is>
          <t>Основные материалы</t>
        </is>
      </c>
      <c r="C68" s="484" t="n"/>
      <c r="D68" s="484" t="n"/>
      <c r="E68" s="484" t="n"/>
      <c r="F68" s="484" t="n"/>
      <c r="G68" s="484" t="n"/>
      <c r="H68" s="485" t="n"/>
      <c r="I68" s="334" t="n"/>
      <c r="J68" s="334" t="n"/>
    </row>
    <row r="69" ht="63.75" customFormat="1" customHeight="1" s="375">
      <c r="A69" s="406" t="n">
        <v>42</v>
      </c>
      <c r="B69" s="419" t="inlineStr">
        <is>
          <t>21.2.01.02-0104</t>
        </is>
      </c>
      <c r="C69" s="41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D69" s="419" t="inlineStr">
        <is>
          <t>т</t>
        </is>
      </c>
      <c r="E69" s="420" t="n">
        <v>3.620862</v>
      </c>
      <c r="F69" s="421" t="n">
        <v>32774.53</v>
      </c>
      <c r="G69" s="327">
        <f>ROUND(E69*F69,2)</f>
        <v/>
      </c>
      <c r="H69" s="323">
        <f>G69/$G$155</f>
        <v/>
      </c>
      <c r="I69" s="327">
        <f>ROUND(F69*Прил.10!$D$13,2)</f>
        <v/>
      </c>
      <c r="J69" s="327">
        <f>ROUND(I69*E69,2)</f>
        <v/>
      </c>
    </row>
    <row r="70" ht="51" customFormat="1" customHeight="1" s="375">
      <c r="A70" s="406" t="n">
        <v>43</v>
      </c>
      <c r="B70" s="406" t="inlineStr">
        <is>
          <t>05.1.08.06-0029</t>
        </is>
      </c>
      <c r="C70" s="414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D70" s="406" t="inlineStr">
        <is>
          <t>шт</t>
        </is>
      </c>
      <c r="E70" s="415" t="n">
        <v>30</v>
      </c>
      <c r="F70" s="416" t="n">
        <v>2602.19</v>
      </c>
      <c r="G70" s="217">
        <f>ROUND(E70*F70,2)</f>
        <v/>
      </c>
      <c r="H70" s="220">
        <f>G70/$G$155</f>
        <v/>
      </c>
      <c r="I70" s="217">
        <f>ROUND(F70*Прил.10!$D$13,2)</f>
        <v/>
      </c>
      <c r="J70" s="217">
        <f>ROUND(I70*E70,2)</f>
        <v/>
      </c>
    </row>
    <row r="71" ht="25.5" customFormat="1" customHeight="1" s="375">
      <c r="A71" s="406" t="n">
        <v>44</v>
      </c>
      <c r="B71" s="406" t="inlineStr">
        <is>
          <t>05.1.05.16-0221</t>
        </is>
      </c>
      <c r="C71" s="414" t="inlineStr">
        <is>
          <t>Фундаменты сборные железобетонные ВЛ и ОРУ</t>
        </is>
      </c>
      <c r="D71" s="406" t="inlineStr">
        <is>
          <t>м3</t>
        </is>
      </c>
      <c r="E71" s="415" t="n">
        <v>14.54</v>
      </c>
      <c r="F71" s="416" t="n">
        <v>1597.37</v>
      </c>
      <c r="G71" s="217">
        <f>ROUND(E71*F71,2)</f>
        <v/>
      </c>
      <c r="H71" s="220">
        <f>G71/$G$155</f>
        <v/>
      </c>
      <c r="I71" s="217">
        <f>ROUND(F71*Прил.10!$D$13,2)</f>
        <v/>
      </c>
      <c r="J71" s="217">
        <f>ROUND(I71*E71,2)</f>
        <v/>
      </c>
    </row>
    <row r="72" ht="38.25" customFormat="1" customHeight="1" s="375">
      <c r="A72" s="406" t="n">
        <v>45</v>
      </c>
      <c r="B72" s="406" t="inlineStr">
        <is>
          <t>08.3.03.06-0021</t>
        </is>
      </c>
      <c r="C72" s="414" t="inlineStr">
        <is>
          <t>Спиральный барьер безопасности АКЛ Егоза-900 с комплектом кронштейнов, крепежей</t>
        </is>
      </c>
      <c r="D72" s="406" t="inlineStr">
        <is>
          <t>м</t>
        </is>
      </c>
      <c r="E72" s="415" t="n">
        <v>64.5</v>
      </c>
      <c r="F72" s="416" t="n">
        <v>321.22</v>
      </c>
      <c r="G72" s="217">
        <f>ROUND(E72*F72,2)</f>
        <v/>
      </c>
      <c r="H72" s="220">
        <f>G72/$G$155</f>
        <v/>
      </c>
      <c r="I72" s="217">
        <f>ROUND(F72*Прил.10!$D$13,2)</f>
        <v/>
      </c>
      <c r="J72" s="217">
        <f>ROUND(I72*E72,2)</f>
        <v/>
      </c>
    </row>
    <row r="73" ht="25.5" customFormat="1" customHeight="1" s="375">
      <c r="A73" s="406" t="n">
        <v>46</v>
      </c>
      <c r="B73" s="406" t="inlineStr">
        <is>
          <t>20.5.02.09-0002</t>
        </is>
      </c>
      <c r="C73" s="414" t="inlineStr">
        <is>
          <t>Коробка соединительная СК 10 "Стромир", алюминиевый корпус, IP66</t>
        </is>
      </c>
      <c r="D73" s="406" t="inlineStr">
        <is>
          <t>шт</t>
        </is>
      </c>
      <c r="E73" s="415" t="n">
        <v>6</v>
      </c>
      <c r="F73" s="416" t="n">
        <v>3130.65</v>
      </c>
      <c r="G73" s="217">
        <f>ROUND(E73*F73,2)</f>
        <v/>
      </c>
      <c r="H73" s="220">
        <f>G73/$G$155</f>
        <v/>
      </c>
      <c r="I73" s="217">
        <f>ROUND(F73*Прил.10!$D$13,2)</f>
        <v/>
      </c>
      <c r="J73" s="217">
        <f>ROUND(I73*E73,2)</f>
        <v/>
      </c>
    </row>
    <row r="74" ht="25.5" customFormat="1" customHeight="1" s="375">
      <c r="A74" s="406" t="n">
        <v>47</v>
      </c>
      <c r="B74" s="406" t="inlineStr">
        <is>
          <t>07.2.07.04-0003</t>
        </is>
      </c>
      <c r="C74" s="414" t="inlineStr">
        <is>
          <t>Конструкции стальные индивидуальные: решетчатые сварные массой 0,1-0,5 т</t>
        </is>
      </c>
      <c r="D74" s="406" t="inlineStr">
        <is>
          <t>т</t>
        </is>
      </c>
      <c r="E74" s="415" t="n">
        <v>0.998997</v>
      </c>
      <c r="F74" s="416" t="n">
        <v>10990</v>
      </c>
      <c r="G74" s="217">
        <f>ROUND(E74*F74,2)</f>
        <v/>
      </c>
      <c r="H74" s="220">
        <f>G74/$G$155</f>
        <v/>
      </c>
      <c r="I74" s="217">
        <f>ROUND(F74*Прил.10!$D$13,2)</f>
        <v/>
      </c>
      <c r="J74" s="217">
        <f>ROUND(I74*E74,2)</f>
        <v/>
      </c>
    </row>
    <row r="75" ht="25.5" customFormat="1" customHeight="1" s="375">
      <c r="A75" s="406" t="n">
        <v>48</v>
      </c>
      <c r="B75" s="406" t="inlineStr">
        <is>
          <t>02.3.01.02-1020</t>
        </is>
      </c>
      <c r="C75" s="414" t="inlineStr">
        <is>
          <t>Песок природный II класс, повышенной крупности, круглые сита</t>
        </is>
      </c>
      <c r="D75" s="406" t="inlineStr">
        <is>
          <t>м3</t>
        </is>
      </c>
      <c r="E75" s="415" t="n">
        <v>161.4865</v>
      </c>
      <c r="F75" s="416" t="n">
        <v>59.99</v>
      </c>
      <c r="G75" s="217">
        <f>ROUND(E75*F75,2)</f>
        <v/>
      </c>
      <c r="H75" s="220">
        <f>G75/$G$155</f>
        <v/>
      </c>
      <c r="I75" s="217">
        <f>ROUND(F75*Прил.10!$D$13,2)</f>
        <v/>
      </c>
      <c r="J75" s="217">
        <f>ROUND(I75*E75,2)</f>
        <v/>
      </c>
    </row>
    <row r="76" ht="25.5" customFormat="1" customHeight="1" s="375">
      <c r="A76" s="406" t="n">
        <v>49</v>
      </c>
      <c r="B76" s="406" t="inlineStr">
        <is>
          <t>21.1.06.09-0144</t>
        </is>
      </c>
      <c r="C76" s="414" t="inlineStr">
        <is>
          <t>Кабель силовой с медными жилами ВВГнг-LS 1х240-660</t>
        </is>
      </c>
      <c r="D76" s="406" t="inlineStr">
        <is>
          <t>1000 м</t>
        </is>
      </c>
      <c r="E76" s="415">
        <f>42/1000</f>
        <v/>
      </c>
      <c r="F76" s="416" t="n">
        <v>209948.8</v>
      </c>
      <c r="G76" s="217">
        <f>ROUND(E76*F76,2)</f>
        <v/>
      </c>
      <c r="H76" s="220">
        <f>G76/$G$155</f>
        <v/>
      </c>
      <c r="I76" s="217">
        <f>ROUND(F76*Прил.10!$D$13,2)</f>
        <v/>
      </c>
      <c r="J76" s="217">
        <f>ROUND(I76*E76,2)</f>
        <v/>
      </c>
    </row>
    <row r="77" ht="25.5" customFormat="1" customHeight="1" s="375">
      <c r="A77" s="406" t="n">
        <v>50</v>
      </c>
      <c r="B77" s="406" t="inlineStr">
        <is>
          <t>08.1.02.16-0013</t>
        </is>
      </c>
      <c r="C77" s="414" t="inlineStr">
        <is>
          <t>Сваи стальные винтовые, диаметр ствола: 108 мм, с крепежом</t>
        </is>
      </c>
      <c r="D77" s="406" t="inlineStr">
        <is>
          <t>компл.</t>
        </is>
      </c>
      <c r="E77" s="415" t="n">
        <v>25</v>
      </c>
      <c r="F77" s="416" t="n">
        <v>345.87</v>
      </c>
      <c r="G77" s="217">
        <f>ROUND(E77*F77,2)</f>
        <v/>
      </c>
      <c r="H77" s="220">
        <f>G77/$G$155</f>
        <v/>
      </c>
      <c r="I77" s="217">
        <f>ROUND(F77*Прил.10!$D$13,2)</f>
        <v/>
      </c>
      <c r="J77" s="217">
        <f>ROUND(I77*E77,2)</f>
        <v/>
      </c>
    </row>
    <row r="78" ht="38.25" customFormat="1" customHeight="1" s="375">
      <c r="A78" s="406" t="n">
        <v>51</v>
      </c>
      <c r="B78" s="406" t="inlineStr">
        <is>
          <t>02.2.05.04-0110</t>
        </is>
      </c>
      <c r="C78" s="414" t="inlineStr">
        <is>
          <t>Щебень из природного камня для строительных работ марка: 1200, фракция 40-70 мм</t>
        </is>
      </c>
      <c r="D78" s="406" t="inlineStr">
        <is>
          <t>м3</t>
        </is>
      </c>
      <c r="E78" s="415" t="n">
        <v>59.535</v>
      </c>
      <c r="F78" s="416" t="n">
        <v>103</v>
      </c>
      <c r="G78" s="217">
        <f>ROUND(E78*F78,2)</f>
        <v/>
      </c>
      <c r="H78" s="220">
        <f>G78/$G$155</f>
        <v/>
      </c>
      <c r="I78" s="217">
        <f>ROUND(F78*Прил.10!$D$13,2)</f>
        <v/>
      </c>
      <c r="J78" s="217">
        <f>ROUND(I78*E78,2)</f>
        <v/>
      </c>
    </row>
    <row r="79" ht="14.25" customFormat="1" customHeight="1" s="375">
      <c r="A79" s="408" t="n"/>
      <c r="B79" s="225" t="n"/>
      <c r="C79" s="226" t="inlineStr">
        <is>
          <t>Итого основные материалы</t>
        </is>
      </c>
      <c r="D79" s="408" t="n"/>
      <c r="E79" s="228" t="n"/>
      <c r="F79" s="230" t="n"/>
      <c r="G79" s="230">
        <f>SUM(G69:G78)</f>
        <v/>
      </c>
      <c r="H79" s="220">
        <f>G79/$G$155</f>
        <v/>
      </c>
      <c r="I79" s="217" t="n"/>
      <c r="J79" s="230">
        <f>SUM(J69:J78)</f>
        <v/>
      </c>
    </row>
    <row r="80" hidden="1" outlineLevel="1" ht="25.5" customFormat="1" customHeight="1" s="375">
      <c r="A80" s="406" t="n">
        <v>52</v>
      </c>
      <c r="B80" s="406" t="inlineStr">
        <is>
          <t>08.3.07.01-0075</t>
        </is>
      </c>
      <c r="C80" s="414" t="inlineStr">
        <is>
          <t>Сталь полосовая, марка стали: Ст1сп-Ст6сп, спокойная</t>
        </is>
      </c>
      <c r="D80" s="406" t="inlineStr">
        <is>
          <t>т</t>
        </is>
      </c>
      <c r="E80" s="415" t="n">
        <v>1.00719</v>
      </c>
      <c r="F80" s="416" t="n">
        <v>5630.34</v>
      </c>
      <c r="G80" s="217">
        <f>ROUND(E80*F80,2)</f>
        <v/>
      </c>
      <c r="H80" s="220">
        <f>G80/$G$155</f>
        <v/>
      </c>
      <c r="I80" s="217">
        <f>ROUND(F80*Прил.10!$D$13,2)</f>
        <v/>
      </c>
      <c r="J80" s="217">
        <f>ROUND(I80*E80,2)</f>
        <v/>
      </c>
    </row>
    <row r="81" hidden="1" outlineLevel="1" ht="25.5" customFormat="1" customHeight="1" s="375">
      <c r="A81" s="406" t="n">
        <v>53</v>
      </c>
      <c r="B81" s="406" t="inlineStr">
        <is>
          <t>04.1.02.05-0063</t>
        </is>
      </c>
      <c r="C81" s="414" t="inlineStr">
        <is>
          <t>Бетон тяжелый, крупность заполнителя: 40 мм, класс В25 (М350)</t>
        </is>
      </c>
      <c r="D81" s="406" t="inlineStr">
        <is>
          <t>м3</t>
        </is>
      </c>
      <c r="E81" s="415" t="n">
        <v>7.39935</v>
      </c>
      <c r="F81" s="416" t="n">
        <v>700</v>
      </c>
      <c r="G81" s="217">
        <f>ROUND(E81*F81,2)</f>
        <v/>
      </c>
      <c r="H81" s="220">
        <f>G81/$G$155</f>
        <v/>
      </c>
      <c r="I81" s="217">
        <f>ROUND(F81*Прил.10!$D$13,2)</f>
        <v/>
      </c>
      <c r="J81" s="217">
        <f>ROUND(I81*E81,2)</f>
        <v/>
      </c>
    </row>
    <row r="82" hidden="1" outlineLevel="1" ht="25.5" customFormat="1" customHeight="1" s="375">
      <c r="A82" s="406" t="n">
        <v>54</v>
      </c>
      <c r="B82" s="406" t="inlineStr">
        <is>
          <t>02.3.01.02-0015</t>
        </is>
      </c>
      <c r="C82" s="414" t="inlineStr">
        <is>
          <t>Песок природный для строительных: работ средний</t>
        </is>
      </c>
      <c r="D82" s="406" t="inlineStr">
        <is>
          <t>м3</t>
        </is>
      </c>
      <c r="E82" s="415" t="n">
        <v>89.31999999999999</v>
      </c>
      <c r="F82" s="416" t="n">
        <v>55.26</v>
      </c>
      <c r="G82" s="217">
        <f>ROUND(E82*F82,2)</f>
        <v/>
      </c>
      <c r="H82" s="220">
        <f>G82/$G$155</f>
        <v/>
      </c>
      <c r="I82" s="217">
        <f>ROUND(F82*Прил.10!$D$13,2)</f>
        <v/>
      </c>
      <c r="J82" s="217">
        <f>ROUND(I82*E82,2)</f>
        <v/>
      </c>
    </row>
    <row r="83" hidden="1" outlineLevel="1" ht="38.25" customFormat="1" customHeight="1" s="375">
      <c r="A83" s="406" t="n">
        <v>55</v>
      </c>
      <c r="B83" s="406" t="inlineStr">
        <is>
          <t>23.3.08.01-0118</t>
        </is>
      </c>
      <c r="C83" s="414" t="inlineStr">
        <is>
          <t>Трубы стальные квадратные из стали марки ст1-3сп/пс размером: 80х80 мм, толщина стенки 5 мм</t>
        </is>
      </c>
      <c r="D83" s="406" t="inlineStr">
        <is>
          <t>т</t>
        </is>
      </c>
      <c r="E83" s="415" t="n">
        <v>0.66493</v>
      </c>
      <c r="F83" s="416" t="n">
        <v>6013.27</v>
      </c>
      <c r="G83" s="217">
        <f>ROUND(E83*F83,2)</f>
        <v/>
      </c>
      <c r="H83" s="220">
        <f>G83/$G$155</f>
        <v/>
      </c>
      <c r="I83" s="217">
        <f>ROUND(F83*Прил.10!$D$13,2)</f>
        <v/>
      </c>
      <c r="J83" s="217">
        <f>ROUND(I83*E83,2)</f>
        <v/>
      </c>
    </row>
    <row r="84" hidden="1" outlineLevel="1" ht="38.25" customFormat="1" customHeight="1" s="375">
      <c r="A84" s="406" t="n">
        <v>56</v>
      </c>
      <c r="B84" s="406" t="inlineStr">
        <is>
          <t>20.4.04.01-0024</t>
        </is>
      </c>
      <c r="C84" s="414" t="inlineStr">
        <is>
          <t>Шкаф металлический навесной ШРП-150-2М, для установки в помещениях, емкость 150 пар</t>
        </is>
      </c>
      <c r="D84" s="406" t="inlineStr">
        <is>
          <t>шт</t>
        </is>
      </c>
      <c r="E84" s="415" t="n">
        <v>3</v>
      </c>
      <c r="F84" s="416" t="n">
        <v>1282.12</v>
      </c>
      <c r="G84" s="217">
        <f>ROUND(E84*F84,2)</f>
        <v/>
      </c>
      <c r="H84" s="220">
        <f>G84/$G$155</f>
        <v/>
      </c>
      <c r="I84" s="217">
        <f>ROUND(F84*Прил.10!$D$13,2)</f>
        <v/>
      </c>
      <c r="J84" s="217">
        <f>ROUND(I84*E84,2)</f>
        <v/>
      </c>
    </row>
    <row r="85" hidden="1" outlineLevel="1" ht="51" customFormat="1" customHeight="1" s="375">
      <c r="A85" s="406" t="n">
        <v>57</v>
      </c>
      <c r="B85" s="406" t="inlineStr">
        <is>
          <t>24.3.04.04-0007</t>
        </is>
      </c>
      <c r="C85" s="414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D85" s="406" t="inlineStr">
        <is>
          <t>м</t>
        </is>
      </c>
      <c r="E85" s="415" t="n">
        <v>45.9</v>
      </c>
      <c r="F85" s="416" t="n">
        <v>77.51000000000001</v>
      </c>
      <c r="G85" s="217">
        <f>ROUND(E85*F85,2)</f>
        <v/>
      </c>
      <c r="H85" s="220">
        <f>G85/$G$155</f>
        <v/>
      </c>
      <c r="I85" s="217">
        <f>ROUND(F85*Прил.10!$D$13,2)</f>
        <v/>
      </c>
      <c r="J85" s="217">
        <f>ROUND(I85*E85,2)</f>
        <v/>
      </c>
    </row>
    <row r="86" hidden="1" outlineLevel="1" ht="14.25" customFormat="1" customHeight="1" s="375">
      <c r="A86" s="406" t="n">
        <v>58</v>
      </c>
      <c r="B86" s="406" t="inlineStr">
        <is>
          <t>01.7.12.05-0056</t>
        </is>
      </c>
      <c r="C86" s="414" t="inlineStr">
        <is>
          <t>Нетканый геотекстиль: Дорнит 350 г/м2</t>
        </is>
      </c>
      <c r="D86" s="406" t="inlineStr">
        <is>
          <t>м2</t>
        </is>
      </c>
      <c r="E86" s="415" t="n">
        <v>346.5</v>
      </c>
      <c r="F86" s="416" t="n">
        <v>7.91</v>
      </c>
      <c r="G86" s="217">
        <f>ROUND(E86*F86,2)</f>
        <v/>
      </c>
      <c r="H86" s="220">
        <f>G86/$G$155</f>
        <v/>
      </c>
      <c r="I86" s="217">
        <f>ROUND(F86*Прил.10!$D$13,2)</f>
        <v/>
      </c>
      <c r="J86" s="217">
        <f>ROUND(I86*E86,2)</f>
        <v/>
      </c>
    </row>
    <row r="87" hidden="1" outlineLevel="1" ht="25.5" customFormat="1" customHeight="1" s="375">
      <c r="A87" s="406" t="n">
        <v>59</v>
      </c>
      <c r="B87" s="406" t="inlineStr">
        <is>
          <t>01.7.15.03-0041</t>
        </is>
      </c>
      <c r="C87" s="414" t="inlineStr">
        <is>
          <t>Болты с гайками и шайбами строительные</t>
        </is>
      </c>
      <c r="D87" s="406" t="inlineStr">
        <is>
          <t>т</t>
        </is>
      </c>
      <c r="E87" s="415" t="n">
        <v>0.23849</v>
      </c>
      <c r="F87" s="416" t="n">
        <v>9040.01</v>
      </c>
      <c r="G87" s="217">
        <f>ROUND(E87*F87,2)</f>
        <v/>
      </c>
      <c r="H87" s="220">
        <f>G87/$G$155</f>
        <v/>
      </c>
      <c r="I87" s="217">
        <f>ROUND(F87*Прил.10!$D$13,2)</f>
        <v/>
      </c>
      <c r="J87" s="217">
        <f>ROUND(I87*E87,2)</f>
        <v/>
      </c>
    </row>
    <row r="88" hidden="1" outlineLevel="1" ht="14.25" customFormat="1" customHeight="1" s="375">
      <c r="A88" s="406" t="n">
        <v>60</v>
      </c>
      <c r="B88" s="406" t="inlineStr">
        <is>
          <t>14.4.02.09-0301</t>
        </is>
      </c>
      <c r="C88" s="414" t="inlineStr">
        <is>
          <t>Краска "Цинол"</t>
        </is>
      </c>
      <c r="D88" s="406" t="inlineStr">
        <is>
          <t>кг</t>
        </is>
      </c>
      <c r="E88" s="415" t="n">
        <v>7.315</v>
      </c>
      <c r="F88" s="416" t="n">
        <v>238.48</v>
      </c>
      <c r="G88" s="217">
        <f>ROUND(E88*F88,2)</f>
        <v/>
      </c>
      <c r="H88" s="220">
        <f>G88/$G$155</f>
        <v/>
      </c>
      <c r="I88" s="217">
        <f>ROUND(F88*Прил.10!$D$13,2)</f>
        <v/>
      </c>
      <c r="J88" s="217">
        <f>ROUND(I88*E88,2)</f>
        <v/>
      </c>
    </row>
    <row r="89" hidden="1" outlineLevel="1" ht="38.25" customFormat="1" customHeight="1" s="375">
      <c r="A89" s="406" t="n">
        <v>61</v>
      </c>
      <c r="B89" s="406" t="inlineStr">
        <is>
          <t>08.4.03.03-0032</t>
        </is>
      </c>
      <c r="C89" s="414" t="inlineStr">
        <is>
          <t>Горячекатаная арматурная сталь периодического профиля класса: А-III, диаметром 12 мм</t>
        </is>
      </c>
      <c r="D89" s="406" t="inlineStr">
        <is>
          <t>т</t>
        </is>
      </c>
      <c r="E89" s="415" t="n">
        <v>0.171</v>
      </c>
      <c r="F89" s="416" t="n">
        <v>7997.23</v>
      </c>
      <c r="G89" s="217">
        <f>ROUND(E89*F89,2)</f>
        <v/>
      </c>
      <c r="H89" s="220">
        <f>G89/$G$155</f>
        <v/>
      </c>
      <c r="I89" s="217">
        <f>ROUND(F89*Прил.10!$D$13,2)</f>
        <v/>
      </c>
      <c r="J89" s="217">
        <f>ROUND(I89*E89,2)</f>
        <v/>
      </c>
    </row>
    <row r="90" hidden="1" outlineLevel="1" ht="25.5" customFormat="1" customHeight="1" s="375">
      <c r="A90" s="406" t="n">
        <v>62</v>
      </c>
      <c r="B90" s="406" t="inlineStr">
        <is>
          <t>08.4.03.02-0006</t>
        </is>
      </c>
      <c r="C90" s="414" t="inlineStr">
        <is>
          <t>Горячекатаная арматурная сталь гладкая класса А-I, диаметром: 16-18 мм</t>
        </is>
      </c>
      <c r="D90" s="406" t="inlineStr">
        <is>
          <t>т</t>
        </is>
      </c>
      <c r="E90" s="415" t="n">
        <v>0.2396</v>
      </c>
      <c r="F90" s="416" t="n">
        <v>5650</v>
      </c>
      <c r="G90" s="217">
        <f>ROUND(E90*F90,2)</f>
        <v/>
      </c>
      <c r="H90" s="220">
        <f>G90/$G$155</f>
        <v/>
      </c>
      <c r="I90" s="217">
        <f>ROUND(F90*Прил.10!$D$13,2)</f>
        <v/>
      </c>
      <c r="J90" s="217">
        <f>ROUND(I90*E90,2)</f>
        <v/>
      </c>
    </row>
    <row r="91" hidden="1" outlineLevel="1" ht="25.5" customFormat="1" customHeight="1" s="375">
      <c r="A91" s="406" t="n">
        <v>63</v>
      </c>
      <c r="B91" s="406" t="inlineStr">
        <is>
          <t>20.1.01.02-0068</t>
        </is>
      </c>
      <c r="C91" s="414" t="inlineStr">
        <is>
          <t>Зажим аппаратный прессуемый: А4А-600-2</t>
        </is>
      </c>
      <c r="D91" s="406" t="inlineStr">
        <is>
          <t>100 шт</t>
        </is>
      </c>
      <c r="E91" s="415" t="n">
        <v>0.18</v>
      </c>
      <c r="F91" s="416" t="n">
        <v>7378</v>
      </c>
      <c r="G91" s="217">
        <f>ROUND(E91*F91,2)</f>
        <v/>
      </c>
      <c r="H91" s="220">
        <f>G91/$G$155</f>
        <v/>
      </c>
      <c r="I91" s="217">
        <f>ROUND(F91*Прил.10!$D$13,2)</f>
        <v/>
      </c>
      <c r="J91" s="217">
        <f>ROUND(I91*E91,2)</f>
        <v/>
      </c>
    </row>
    <row r="92" hidden="1" outlineLevel="1" ht="14.25" customFormat="1" customHeight="1" s="375">
      <c r="A92" s="406" t="n">
        <v>64</v>
      </c>
      <c r="B92" s="406" t="inlineStr">
        <is>
          <t>20.5.03.03-0002</t>
        </is>
      </c>
      <c r="C92" s="414" t="inlineStr">
        <is>
          <t>Шины и ленты из цветных металлов</t>
        </is>
      </c>
      <c r="D92" s="406" t="inlineStr">
        <is>
          <t>т</t>
        </is>
      </c>
      <c r="E92" s="415" t="n">
        <v>0.00963</v>
      </c>
      <c r="F92" s="416" t="n">
        <v>124900</v>
      </c>
      <c r="G92" s="217">
        <f>ROUND(E92*F92,2)</f>
        <v/>
      </c>
      <c r="H92" s="220">
        <f>G92/$G$155</f>
        <v/>
      </c>
      <c r="I92" s="217">
        <f>ROUND(F92*Прил.10!$D$13,2)</f>
        <v/>
      </c>
      <c r="J92" s="217">
        <f>ROUND(I92*E92,2)</f>
        <v/>
      </c>
    </row>
    <row r="93" hidden="1" outlineLevel="1" ht="25.5" customFormat="1" customHeight="1" s="375">
      <c r="A93" s="406" t="n">
        <v>65</v>
      </c>
      <c r="B93" s="406" t="inlineStr">
        <is>
          <t>01.7.15.03-0036</t>
        </is>
      </c>
      <c r="C93" s="414" t="inlineStr">
        <is>
          <t>Болты с гайками и шайбами оцинкованные, диаметр: 24 мм</t>
        </is>
      </c>
      <c r="D93" s="406" t="inlineStr">
        <is>
          <t>кг</t>
        </is>
      </c>
      <c r="E93" s="415" t="n">
        <v>47.22</v>
      </c>
      <c r="F93" s="416" t="n">
        <v>24.79</v>
      </c>
      <c r="G93" s="217">
        <f>ROUND(E93*F93,2)</f>
        <v/>
      </c>
      <c r="H93" s="220">
        <f>G93/$G$155</f>
        <v/>
      </c>
      <c r="I93" s="217">
        <f>ROUND(F93*Прил.10!$D$13,2)</f>
        <v/>
      </c>
      <c r="J93" s="217">
        <f>ROUND(I93*E93,2)</f>
        <v/>
      </c>
    </row>
    <row r="94" hidden="1" outlineLevel="1" ht="25.5" customFormat="1" customHeight="1" s="375">
      <c r="A94" s="406" t="n">
        <v>66</v>
      </c>
      <c r="B94" s="406" t="inlineStr">
        <is>
          <t>10.1.02.03-0001</t>
        </is>
      </c>
      <c r="C94" s="414" t="inlineStr">
        <is>
          <t>Проволока алюминиевая, марка АМЦ, диаметр 1,4-1,8 мм</t>
        </is>
      </c>
      <c r="D94" s="406" t="inlineStr">
        <is>
          <t>т</t>
        </is>
      </c>
      <c r="E94" s="415" t="n">
        <v>0.0342398</v>
      </c>
      <c r="F94" s="416" t="n">
        <v>30090</v>
      </c>
      <c r="G94" s="217">
        <f>ROUND(E94*F94,2)</f>
        <v/>
      </c>
      <c r="H94" s="220">
        <f>G94/$G$155</f>
        <v/>
      </c>
      <c r="I94" s="217">
        <f>ROUND(F94*Прил.10!$D$13,2)</f>
        <v/>
      </c>
      <c r="J94" s="217">
        <f>ROUND(I94*E94,2)</f>
        <v/>
      </c>
    </row>
    <row r="95" hidden="1" outlineLevel="1" ht="14.25" customFormat="1" customHeight="1" s="375">
      <c r="A95" s="406" t="n">
        <v>67</v>
      </c>
      <c r="B95" s="406" t="inlineStr">
        <is>
          <t>20.5.04.05-0003</t>
        </is>
      </c>
      <c r="C95" s="414" t="inlineStr">
        <is>
          <t>Зажим ответвительный: ОА-600-1</t>
        </is>
      </c>
      <c r="D95" s="406" t="inlineStr">
        <is>
          <t>100 шт</t>
        </is>
      </c>
      <c r="E95" s="415" t="n">
        <v>0.12</v>
      </c>
      <c r="F95" s="416" t="n">
        <v>7974</v>
      </c>
      <c r="G95" s="217">
        <f>ROUND(E95*F95,2)</f>
        <v/>
      </c>
      <c r="H95" s="220">
        <f>G95/$G$155</f>
        <v/>
      </c>
      <c r="I95" s="217">
        <f>ROUND(F95*Прил.10!$D$13,2)</f>
        <v/>
      </c>
      <c r="J95" s="217">
        <f>ROUND(I95*E95,2)</f>
        <v/>
      </c>
    </row>
    <row r="96" hidden="1" outlineLevel="1" ht="25.5" customFormat="1" customHeight="1" s="375">
      <c r="A96" s="406" t="n">
        <v>68</v>
      </c>
      <c r="B96" s="406" t="inlineStr">
        <is>
          <t>20.2.10.03-0002</t>
        </is>
      </c>
      <c r="C96" s="414" t="inlineStr">
        <is>
          <t>Наконечники кабельные: медные для электротехнических установок</t>
        </is>
      </c>
      <c r="D96" s="406" t="inlineStr">
        <is>
          <t>100 шт</t>
        </is>
      </c>
      <c r="E96" s="415" t="n">
        <v>0.24</v>
      </c>
      <c r="F96" s="416" t="n">
        <v>3986</v>
      </c>
      <c r="G96" s="217">
        <f>ROUND(E96*F96,2)</f>
        <v/>
      </c>
      <c r="H96" s="220">
        <f>G96/$G$155</f>
        <v/>
      </c>
      <c r="I96" s="217">
        <f>ROUND(F96*Прил.10!$D$13,2)</f>
        <v/>
      </c>
      <c r="J96" s="217">
        <f>ROUND(I96*E96,2)</f>
        <v/>
      </c>
    </row>
    <row r="97" hidden="1" outlineLevel="1" ht="25.5" customFormat="1" customHeight="1" s="375">
      <c r="A97" s="406" t="n">
        <v>69</v>
      </c>
      <c r="B97" s="406" t="inlineStr">
        <is>
          <t>07.2.07.04-0007</t>
        </is>
      </c>
      <c r="C97" s="414" t="inlineStr">
        <is>
          <t>Конструкции стальные индивидуальные: решетчатые сварные массой до 0,1 т</t>
        </is>
      </c>
      <c r="D97" s="406" t="inlineStr">
        <is>
          <t>т</t>
        </is>
      </c>
      <c r="E97" s="415" t="n">
        <v>0.0809</v>
      </c>
      <c r="F97" s="416" t="n">
        <v>11500</v>
      </c>
      <c r="G97" s="217">
        <f>ROUND(E97*F97,2)</f>
        <v/>
      </c>
      <c r="H97" s="220">
        <f>G97/$G$155</f>
        <v/>
      </c>
      <c r="I97" s="217">
        <f>ROUND(F97*Прил.10!$D$13,2)</f>
        <v/>
      </c>
      <c r="J97" s="217">
        <f>ROUND(I97*E97,2)</f>
        <v/>
      </c>
    </row>
    <row r="98" hidden="1" outlineLevel="1" ht="14.25" customFormat="1" customHeight="1" s="375">
      <c r="A98" s="406" t="n">
        <v>70</v>
      </c>
      <c r="B98" s="406" t="inlineStr">
        <is>
          <t>01.7.11.07-0032</t>
        </is>
      </c>
      <c r="C98" s="414" t="inlineStr">
        <is>
          <t>Электроды диаметром: 4 мм Э42</t>
        </is>
      </c>
      <c r="D98" s="406" t="inlineStr">
        <is>
          <t>т</t>
        </is>
      </c>
      <c r="E98" s="415" t="n">
        <v>0.0803</v>
      </c>
      <c r="F98" s="416" t="n">
        <v>10315.01</v>
      </c>
      <c r="G98" s="217">
        <f>ROUND(E98*F98,2)</f>
        <v/>
      </c>
      <c r="H98" s="220">
        <f>G98/$G$155</f>
        <v/>
      </c>
      <c r="I98" s="217">
        <f>ROUND(F98*Прил.10!$D$13,2)</f>
        <v/>
      </c>
      <c r="J98" s="217">
        <f>ROUND(I98*E98,2)</f>
        <v/>
      </c>
    </row>
    <row r="99" hidden="1" outlineLevel="1" ht="25.5" customFormat="1" customHeight="1" s="375">
      <c r="A99" s="406" t="n">
        <v>71</v>
      </c>
      <c r="B99" s="406" t="inlineStr">
        <is>
          <t>02.2.05.04-0050</t>
        </is>
      </c>
      <c r="C99" s="414" t="inlineStr">
        <is>
          <t>Щебень из гравия для строительных работ марка 800, фракция 10-20 мм</t>
        </is>
      </c>
      <c r="D99" s="406" t="inlineStr">
        <is>
          <t>м3</t>
        </is>
      </c>
      <c r="E99" s="415" t="n">
        <v>4.017</v>
      </c>
      <c r="F99" s="416" t="n">
        <v>185.49</v>
      </c>
      <c r="G99" s="217">
        <f>ROUND(E99*F99,2)</f>
        <v/>
      </c>
      <c r="H99" s="220">
        <f>G99/$G$155</f>
        <v/>
      </c>
      <c r="I99" s="217">
        <f>ROUND(F99*Прил.10!$D$13,2)</f>
        <v/>
      </c>
      <c r="J99" s="217">
        <f>ROUND(I99*E99,2)</f>
        <v/>
      </c>
    </row>
    <row r="100" hidden="1" outlineLevel="1" ht="63.75" customFormat="1" customHeight="1" s="375">
      <c r="A100" s="406" t="n">
        <v>72</v>
      </c>
      <c r="B100" s="406" t="inlineStr">
        <is>
          <t>01.7.16.04-0014</t>
        </is>
      </c>
      <c r="C100" s="414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100" s="406" t="inlineStr">
        <is>
          <t>м2</t>
        </is>
      </c>
      <c r="E100" s="415" t="n">
        <v>3.645</v>
      </c>
      <c r="F100" s="416" t="n">
        <v>180</v>
      </c>
      <c r="G100" s="217">
        <f>ROUND(E100*F100,2)</f>
        <v/>
      </c>
      <c r="H100" s="220">
        <f>G100/$G$155</f>
        <v/>
      </c>
      <c r="I100" s="217">
        <f>ROUND(F100*Прил.10!$D$13,2)</f>
        <v/>
      </c>
      <c r="J100" s="217">
        <f>ROUND(I100*E100,2)</f>
        <v/>
      </c>
    </row>
    <row r="101" hidden="1" outlineLevel="1" ht="14.25" customFormat="1" customHeight="1" s="375">
      <c r="A101" s="406" t="n">
        <v>73</v>
      </c>
      <c r="B101" s="406" t="inlineStr">
        <is>
          <t>62.5.02.01-0004</t>
        </is>
      </c>
      <c r="C101" s="414" t="inlineStr">
        <is>
          <t>Трансформатор тока: Т-0,66</t>
        </is>
      </c>
      <c r="D101" s="406" t="inlineStr">
        <is>
          <t>шт</t>
        </is>
      </c>
      <c r="E101" s="415" t="n">
        <v>6</v>
      </c>
      <c r="F101" s="416" t="n">
        <v>108.81</v>
      </c>
      <c r="G101" s="217">
        <f>ROUND(E101*F101,2)</f>
        <v/>
      </c>
      <c r="H101" s="220">
        <f>G101/$G$155</f>
        <v/>
      </c>
      <c r="I101" s="217">
        <f>ROUND(F101*Прил.10!$D$13,2)</f>
        <v/>
      </c>
      <c r="J101" s="217">
        <f>ROUND(I101*E101,2)</f>
        <v/>
      </c>
    </row>
    <row r="102" hidden="1" outlineLevel="1" ht="38.25" customFormat="1" customHeight="1" s="375">
      <c r="A102" s="406" t="n">
        <v>74</v>
      </c>
      <c r="B102" s="406" t="inlineStr">
        <is>
          <t>08.1.06.05-0024</t>
        </is>
      </c>
      <c r="C102" s="414" t="inlineStr">
        <is>
          <t>Полотна калиток сетчатые из плетеной сетки: S=1,25х2,07=2,59 м2, КМ 5В (серия 3.017-1)</t>
        </is>
      </c>
      <c r="D102" s="406" t="inlineStr">
        <is>
          <t>шт</t>
        </is>
      </c>
      <c r="E102" s="415" t="n">
        <v>1</v>
      </c>
      <c r="F102" s="416" t="n">
        <v>623.21</v>
      </c>
      <c r="G102" s="217">
        <f>ROUND(E102*F102,2)</f>
        <v/>
      </c>
      <c r="H102" s="220">
        <f>G102/$G$155</f>
        <v/>
      </c>
      <c r="I102" s="217">
        <f>ROUND(F102*Прил.10!$D$13,2)</f>
        <v/>
      </c>
      <c r="J102" s="217">
        <f>ROUND(I102*E102,2)</f>
        <v/>
      </c>
    </row>
    <row r="103" hidden="1" outlineLevel="1" ht="25.5" customFormat="1" customHeight="1" s="375">
      <c r="A103" s="406" t="n">
        <v>75</v>
      </c>
      <c r="B103" s="406" t="inlineStr">
        <is>
          <t>20.2.11.01-0010</t>
        </is>
      </c>
      <c r="C103" s="414" t="inlineStr">
        <is>
          <t>Распорка дистанционная: глухая РГ-4-400</t>
        </is>
      </c>
      <c r="D103" s="406" t="inlineStr">
        <is>
          <t>шт</t>
        </is>
      </c>
      <c r="E103" s="415" t="n">
        <v>18</v>
      </c>
      <c r="F103" s="416" t="n">
        <v>33.41</v>
      </c>
      <c r="G103" s="217">
        <f>ROUND(E103*F103,2)</f>
        <v/>
      </c>
      <c r="H103" s="220">
        <f>G103/$G$155</f>
        <v/>
      </c>
      <c r="I103" s="217">
        <f>ROUND(F103*Прил.10!$D$13,2)</f>
        <v/>
      </c>
      <c r="J103" s="217">
        <f>ROUND(I103*E103,2)</f>
        <v/>
      </c>
    </row>
    <row r="104" hidden="1" outlineLevel="1" ht="25.5" customFormat="1" customHeight="1" s="375">
      <c r="A104" s="406" t="n">
        <v>76</v>
      </c>
      <c r="B104" s="406" t="inlineStr">
        <is>
          <t>04.1.02.05-0026</t>
        </is>
      </c>
      <c r="C104" s="414" t="inlineStr">
        <is>
          <t>Бетон тяжелый, крупность заполнителя: 10 мм, класс В15 (М200)</t>
        </is>
      </c>
      <c r="D104" s="406" t="inlineStr">
        <is>
          <t>м3</t>
        </is>
      </c>
      <c r="E104" s="415" t="n">
        <v>0.663</v>
      </c>
      <c r="F104" s="416" t="n">
        <v>665</v>
      </c>
      <c r="G104" s="217">
        <f>ROUND(E104*F104,2)</f>
        <v/>
      </c>
      <c r="H104" s="220">
        <f>G104/$G$155</f>
        <v/>
      </c>
      <c r="I104" s="217">
        <f>ROUND(F104*Прил.10!$D$13,2)</f>
        <v/>
      </c>
      <c r="J104" s="217">
        <f>ROUND(I104*E104,2)</f>
        <v/>
      </c>
    </row>
    <row r="105" hidden="1" outlineLevel="1" ht="25.5" customFormat="1" customHeight="1" s="375">
      <c r="A105" s="406" t="n">
        <v>77</v>
      </c>
      <c r="B105" s="406" t="inlineStr">
        <is>
          <t>01.7.15.03-0035</t>
        </is>
      </c>
      <c r="C105" s="414" t="inlineStr">
        <is>
          <t>Болты с гайками и шайбами оцинкованные, диаметр: 20 мм</t>
        </is>
      </c>
      <c r="D105" s="406" t="inlineStr">
        <is>
          <t>кг</t>
        </is>
      </c>
      <c r="E105" s="415" t="n">
        <v>15.985</v>
      </c>
      <c r="F105" s="416" t="n">
        <v>24.97</v>
      </c>
      <c r="G105" s="217">
        <f>ROUND(E105*F105,2)</f>
        <v/>
      </c>
      <c r="H105" s="220">
        <f>G105/$G$155</f>
        <v/>
      </c>
      <c r="I105" s="217">
        <f>ROUND(F105*Прил.10!$D$13,2)</f>
        <v/>
      </c>
      <c r="J105" s="217">
        <f>ROUND(I105*E105,2)</f>
        <v/>
      </c>
    </row>
    <row r="106" hidden="1" outlineLevel="1" ht="14.25" customFormat="1" customHeight="1" s="375">
      <c r="A106" s="406" t="n">
        <v>78</v>
      </c>
      <c r="B106" s="406" t="inlineStr">
        <is>
          <t>01.2.03.03-0045</t>
        </is>
      </c>
      <c r="C106" s="414" t="inlineStr">
        <is>
          <t>Мастика битумно-полимерная</t>
        </is>
      </c>
      <c r="D106" s="406" t="inlineStr">
        <is>
          <t>т</t>
        </is>
      </c>
      <c r="E106" s="415" t="n">
        <v>0.1971</v>
      </c>
      <c r="F106" s="416" t="n">
        <v>1500</v>
      </c>
      <c r="G106" s="217">
        <f>ROUND(E106*F106,2)</f>
        <v/>
      </c>
      <c r="H106" s="220">
        <f>G106/$G$155</f>
        <v/>
      </c>
      <c r="I106" s="217">
        <f>ROUND(F106*Прил.10!$D$13,2)</f>
        <v/>
      </c>
      <c r="J106" s="217">
        <f>ROUND(I106*E106,2)</f>
        <v/>
      </c>
    </row>
    <row r="107" hidden="1" outlineLevel="1" ht="38.25" customFormat="1" customHeight="1" s="375">
      <c r="A107" s="406" t="n">
        <v>79</v>
      </c>
      <c r="B107" s="406" t="inlineStr">
        <is>
          <t>08.3.08.01-0026</t>
        </is>
      </c>
      <c r="C107" s="414" t="inlineStr">
        <is>
          <t>Сталь угловая неравнополочная, марка стали: 18сп, ширина большей полки 63-160 мм</t>
        </is>
      </c>
      <c r="D107" s="406" t="inlineStr">
        <is>
          <t>т</t>
        </is>
      </c>
      <c r="E107" s="415" t="n">
        <v>0.054</v>
      </c>
      <c r="F107" s="416" t="n">
        <v>5443.44</v>
      </c>
      <c r="G107" s="217">
        <f>ROUND(E107*F107,2)</f>
        <v/>
      </c>
      <c r="H107" s="220">
        <f>G107/$G$155</f>
        <v/>
      </c>
      <c r="I107" s="217">
        <f>ROUND(F107*Прил.10!$D$13,2)</f>
        <v/>
      </c>
      <c r="J107" s="217">
        <f>ROUND(I107*E107,2)</f>
        <v/>
      </c>
    </row>
    <row r="108" hidden="1" outlineLevel="1" ht="38.25" customFormat="1" customHeight="1" s="375">
      <c r="A108" s="406" t="n">
        <v>80</v>
      </c>
      <c r="B108" s="406" t="inlineStr">
        <is>
          <t>08.4.03.03-0030</t>
        </is>
      </c>
      <c r="C108" s="414" t="inlineStr">
        <is>
          <t>Горячекатаная арматурная сталь периодического профиля класса: А-III, диаметром 8 мм</t>
        </is>
      </c>
      <c r="D108" s="406" t="inlineStr">
        <is>
          <t>т</t>
        </is>
      </c>
      <c r="E108" s="415" t="n">
        <v>0.033</v>
      </c>
      <c r="F108" s="416" t="n">
        <v>8102.64</v>
      </c>
      <c r="G108" s="217">
        <f>ROUND(E108*F108,2)</f>
        <v/>
      </c>
      <c r="H108" s="220">
        <f>G108/$G$155</f>
        <v/>
      </c>
      <c r="I108" s="217">
        <f>ROUND(F108*Прил.10!$D$13,2)</f>
        <v/>
      </c>
      <c r="J108" s="217">
        <f>ROUND(I108*E108,2)</f>
        <v/>
      </c>
    </row>
    <row r="109" hidden="1" outlineLevel="1" ht="25.5" customFormat="1" customHeight="1" s="375">
      <c r="A109" s="406" t="n">
        <v>81</v>
      </c>
      <c r="B109" s="406" t="inlineStr">
        <is>
          <t>08.3.08.02-0044</t>
        </is>
      </c>
      <c r="C109" s="414" t="inlineStr">
        <is>
          <t>Сталь угловая равнополочная, марка стали: 18пс, шириной полок 35-56 мм</t>
        </is>
      </c>
      <c r="D109" s="406" t="inlineStr">
        <is>
          <t>т</t>
        </is>
      </c>
      <c r="E109" s="415" t="n">
        <v>0.0529</v>
      </c>
      <c r="F109" s="416" t="n">
        <v>4984.74</v>
      </c>
      <c r="G109" s="217">
        <f>ROUND(E109*F109,2)</f>
        <v/>
      </c>
      <c r="H109" s="220">
        <f>G109/$G$155</f>
        <v/>
      </c>
      <c r="I109" s="217">
        <f>ROUND(F109*Прил.10!$D$13,2)</f>
        <v/>
      </c>
      <c r="J109" s="217">
        <f>ROUND(I109*E109,2)</f>
        <v/>
      </c>
    </row>
    <row r="110" hidden="1" outlineLevel="1" ht="25.5" customFormat="1" customHeight="1" s="375">
      <c r="A110" s="406" t="n">
        <v>82</v>
      </c>
      <c r="B110" s="406" t="inlineStr">
        <is>
          <t>20.2.10.03-0002</t>
        </is>
      </c>
      <c r="C110" s="414" t="inlineStr">
        <is>
          <t>Наконечники кабельные: медные для электротехнических установок</t>
        </is>
      </c>
      <c r="D110" s="406" t="inlineStr">
        <is>
          <t>100 шт</t>
        </is>
      </c>
      <c r="E110" s="415" t="n">
        <v>0.0612</v>
      </c>
      <c r="F110" s="416" t="n">
        <v>3986</v>
      </c>
      <c r="G110" s="217">
        <f>ROUND(E110*F110,2)</f>
        <v/>
      </c>
      <c r="H110" s="220">
        <f>G110/$G$155</f>
        <v/>
      </c>
      <c r="I110" s="217">
        <f>ROUND(F110*Прил.10!$D$13,2)</f>
        <v/>
      </c>
      <c r="J110" s="217">
        <f>ROUND(I110*E110,2)</f>
        <v/>
      </c>
    </row>
    <row r="111" hidden="1" outlineLevel="1" ht="25.5" customFormat="1" customHeight="1" s="375">
      <c r="A111" s="406" t="n">
        <v>83</v>
      </c>
      <c r="B111" s="406" t="inlineStr">
        <is>
          <t>08.3.07.01-0076</t>
        </is>
      </c>
      <c r="C111" s="414" t="inlineStr">
        <is>
          <t>Сталь полосовая, марка стали: Ст3сп шириной 50-200 мм толщиной 4-5 мм</t>
        </is>
      </c>
      <c r="D111" s="406" t="inlineStr">
        <is>
          <t>т</t>
        </is>
      </c>
      <c r="E111" s="415" t="n">
        <v>0.045</v>
      </c>
      <c r="F111" s="416" t="n">
        <v>5000</v>
      </c>
      <c r="G111" s="217">
        <f>ROUND(E111*F111,2)</f>
        <v/>
      </c>
      <c r="H111" s="220">
        <f>G111/$G$155</f>
        <v/>
      </c>
      <c r="I111" s="217">
        <f>ROUND(F111*Прил.10!$D$13,2)</f>
        <v/>
      </c>
      <c r="J111" s="217">
        <f>ROUND(I111*E111,2)</f>
        <v/>
      </c>
    </row>
    <row r="112" hidden="1" outlineLevel="1" ht="25.5" customFormat="1" customHeight="1" s="375">
      <c r="A112" s="406" t="n">
        <v>84</v>
      </c>
      <c r="B112" s="406" t="inlineStr">
        <is>
          <t>04.3.01.09-0023</t>
        </is>
      </c>
      <c r="C112" s="414" t="inlineStr">
        <is>
          <t>Раствор готовый отделочный тяжелый,: цементный 1:3</t>
        </is>
      </c>
      <c r="D112" s="406" t="inlineStr">
        <is>
          <t>м3</t>
        </is>
      </c>
      <c r="E112" s="415" t="n">
        <v>0.3154</v>
      </c>
      <c r="F112" s="416" t="n">
        <v>497</v>
      </c>
      <c r="G112" s="217">
        <f>ROUND(E112*F112,2)</f>
        <v/>
      </c>
      <c r="H112" s="220">
        <f>G112/$G$155</f>
        <v/>
      </c>
      <c r="I112" s="217">
        <f>ROUND(F112*Прил.10!$D$13,2)</f>
        <v/>
      </c>
      <c r="J112" s="217">
        <f>ROUND(I112*E112,2)</f>
        <v/>
      </c>
    </row>
    <row r="113" hidden="1" outlineLevel="1" ht="25.5" customFormat="1" customHeight="1" s="375">
      <c r="A113" s="406" t="n">
        <v>85</v>
      </c>
      <c r="B113" s="406" t="inlineStr">
        <is>
          <t>01.7.15.03-0042</t>
        </is>
      </c>
      <c r="C113" s="414" t="inlineStr">
        <is>
          <t>Болты с гайками и шайбами строительные</t>
        </is>
      </c>
      <c r="D113" s="406" t="inlineStr">
        <is>
          <t>кг</t>
        </is>
      </c>
      <c r="E113" s="415" t="n">
        <v>17.3005</v>
      </c>
      <c r="F113" s="416" t="n">
        <v>9.039999999999999</v>
      </c>
      <c r="G113" s="217">
        <f>ROUND(E113*F113,2)</f>
        <v/>
      </c>
      <c r="H113" s="220">
        <f>G113/$G$155</f>
        <v/>
      </c>
      <c r="I113" s="217">
        <f>ROUND(F113*Прил.10!$D$13,2)</f>
        <v/>
      </c>
      <c r="J113" s="217">
        <f>ROUND(I113*E113,2)</f>
        <v/>
      </c>
    </row>
    <row r="114" hidden="1" outlineLevel="1" ht="14.25" customFormat="1" customHeight="1" s="375">
      <c r="A114" s="406" t="n">
        <v>86</v>
      </c>
      <c r="B114" s="406" t="inlineStr">
        <is>
          <t>04.1.02.05-0010</t>
        </is>
      </c>
      <c r="C114" s="414" t="inlineStr">
        <is>
          <t>Бетон тяжелый, класс: В27,5 (М350)</t>
        </is>
      </c>
      <c r="D114" s="406" t="inlineStr">
        <is>
          <t>м3</t>
        </is>
      </c>
      <c r="E114" s="415" t="n">
        <v>0.184</v>
      </c>
      <c r="F114" s="416" t="n">
        <v>730</v>
      </c>
      <c r="G114" s="217">
        <f>ROUND(E114*F114,2)</f>
        <v/>
      </c>
      <c r="H114" s="220">
        <f>G114/$G$155</f>
        <v/>
      </c>
      <c r="I114" s="217">
        <f>ROUND(F114*Прил.10!$D$13,2)</f>
        <v/>
      </c>
      <c r="J114" s="217">
        <f>ROUND(I114*E114,2)</f>
        <v/>
      </c>
    </row>
    <row r="115" hidden="1" outlineLevel="1" ht="51" customFormat="1" customHeight="1" s="375">
      <c r="A115" s="406" t="n">
        <v>87</v>
      </c>
      <c r="B115" s="406" t="inlineStr">
        <is>
          <t>21.2.03.05-0074</t>
        </is>
      </c>
      <c r="C115" s="414" t="inlineStr">
        <is>
          <t>Провода силовые для электрических установок на напряжение до 450 В с медной жилой марки: ПВ3, сечением 25 мм2</t>
        </is>
      </c>
      <c r="D115" s="406" t="inlineStr">
        <is>
          <t>1000 м</t>
        </is>
      </c>
      <c r="E115" s="415" t="n">
        <v>0.00612</v>
      </c>
      <c r="F115" s="416" t="n">
        <v>19362.19</v>
      </c>
      <c r="G115" s="217">
        <f>ROUND(E115*F115,2)</f>
        <v/>
      </c>
      <c r="H115" s="220">
        <f>G115/$G$155</f>
        <v/>
      </c>
      <c r="I115" s="217">
        <f>ROUND(F115*Прил.10!$D$13,2)</f>
        <v/>
      </c>
      <c r="J115" s="217">
        <f>ROUND(I115*E115,2)</f>
        <v/>
      </c>
    </row>
    <row r="116" hidden="1" outlineLevel="1" ht="25.5" customFormat="1" customHeight="1" s="375">
      <c r="A116" s="406" t="n">
        <v>88</v>
      </c>
      <c r="B116" s="406" t="inlineStr">
        <is>
          <t>08.4.03.02-0001</t>
        </is>
      </c>
      <c r="C116" s="414" t="inlineStr">
        <is>
          <t>Горячекатаная арматурная сталь гладкая класса А-I, диаметром: 6 мм</t>
        </is>
      </c>
      <c r="D116" s="406" t="inlineStr">
        <is>
          <t>т</t>
        </is>
      </c>
      <c r="E116" s="415" t="n">
        <v>0.013</v>
      </c>
      <c r="F116" s="416" t="n">
        <v>7418.82</v>
      </c>
      <c r="G116" s="217">
        <f>ROUND(E116*F116,2)</f>
        <v/>
      </c>
      <c r="H116" s="220">
        <f>G116/$G$155</f>
        <v/>
      </c>
      <c r="I116" s="217">
        <f>ROUND(F116*Прил.10!$D$13,2)</f>
        <v/>
      </c>
      <c r="J116" s="217">
        <f>ROUND(I116*E116,2)</f>
        <v/>
      </c>
    </row>
    <row r="117" hidden="1" outlineLevel="1" ht="38.25" customFormat="1" customHeight="1" s="375">
      <c r="A117" s="406" t="n">
        <v>89</v>
      </c>
      <c r="B117" s="406" t="inlineStr">
        <is>
          <t>11.1.03.06-0091</t>
        </is>
      </c>
      <c r="C117" s="414" t="inlineStr">
        <is>
          <t>Доски обрезные хвойных пород длиной: 4-6,5 м, шириной 75-150 мм, толщиной 32-40 мм, III сорта</t>
        </is>
      </c>
      <c r="D117" s="406" t="inlineStr">
        <is>
          <t>м3</t>
        </is>
      </c>
      <c r="E117" s="415" t="n">
        <v>0.08019999999999999</v>
      </c>
      <c r="F117" s="416" t="n">
        <v>1155</v>
      </c>
      <c r="G117" s="217">
        <f>ROUND(E117*F117,2)</f>
        <v/>
      </c>
      <c r="H117" s="220">
        <f>G117/$G$155</f>
        <v/>
      </c>
      <c r="I117" s="217">
        <f>ROUND(F117*Прил.10!$D$13,2)</f>
        <v/>
      </c>
      <c r="J117" s="217">
        <f>ROUND(I117*E117,2)</f>
        <v/>
      </c>
    </row>
    <row r="118" hidden="1" outlineLevel="1" ht="14.25" customFormat="1" customHeight="1" s="375">
      <c r="A118" s="406" t="n">
        <v>90</v>
      </c>
      <c r="B118" s="406" t="inlineStr">
        <is>
          <t>01.7.15.07-0014</t>
        </is>
      </c>
      <c r="C118" s="414" t="inlineStr">
        <is>
          <t>Дюбели распорные полипропиленовые</t>
        </is>
      </c>
      <c r="D118" s="406" t="inlineStr">
        <is>
          <t>100 шт</t>
        </is>
      </c>
      <c r="E118" s="415" t="n">
        <v>1.0632</v>
      </c>
      <c r="F118" s="416" t="n">
        <v>86</v>
      </c>
      <c r="G118" s="217">
        <f>ROUND(E118*F118,2)</f>
        <v/>
      </c>
      <c r="H118" s="220">
        <f>G118/$G$155</f>
        <v/>
      </c>
      <c r="I118" s="217">
        <f>ROUND(F118*Прил.10!$D$13,2)</f>
        <v/>
      </c>
      <c r="J118" s="217">
        <f>ROUND(I118*E118,2)</f>
        <v/>
      </c>
    </row>
    <row r="119" hidden="1" outlineLevel="1" ht="14.25" customFormat="1" customHeight="1" s="375">
      <c r="A119" s="406" t="n">
        <v>91</v>
      </c>
      <c r="B119" s="406" t="inlineStr">
        <is>
          <t>14.5.09.11-0102</t>
        </is>
      </c>
      <c r="C119" s="414" t="inlineStr">
        <is>
          <t>Уайт-спирит</t>
        </is>
      </c>
      <c r="D119" s="406" t="inlineStr">
        <is>
          <t>кг</t>
        </is>
      </c>
      <c r="E119" s="415" t="n">
        <v>11.3376775</v>
      </c>
      <c r="F119" s="416" t="n">
        <v>6.67</v>
      </c>
      <c r="G119" s="217">
        <f>ROUND(E119*F119,2)</f>
        <v/>
      </c>
      <c r="H119" s="220">
        <f>G119/$G$155</f>
        <v/>
      </c>
      <c r="I119" s="217">
        <f>ROUND(F119*Прил.10!$D$13,2)</f>
        <v/>
      </c>
      <c r="J119" s="217">
        <f>ROUND(I119*E119,2)</f>
        <v/>
      </c>
    </row>
    <row r="120" hidden="1" outlineLevel="1" ht="14.25" customFormat="1" customHeight="1" s="375">
      <c r="A120" s="406" t="n">
        <v>92</v>
      </c>
      <c r="B120" s="406" t="inlineStr">
        <is>
          <t>01.7.11.07-0054</t>
        </is>
      </c>
      <c r="C120" s="414" t="inlineStr">
        <is>
          <t>Электроды диаметром: 6 мм Э42</t>
        </is>
      </c>
      <c r="D120" s="406" t="inlineStr">
        <is>
          <t>т</t>
        </is>
      </c>
      <c r="E120" s="415" t="n">
        <v>0.007900000000000001</v>
      </c>
      <c r="F120" s="416" t="n">
        <v>9424</v>
      </c>
      <c r="G120" s="217">
        <f>ROUND(E120*F120,2)</f>
        <v/>
      </c>
      <c r="H120" s="220">
        <f>G120/$G$155</f>
        <v/>
      </c>
      <c r="I120" s="217">
        <f>ROUND(F120*Прил.10!$D$13,2)</f>
        <v/>
      </c>
      <c r="J120" s="217">
        <f>ROUND(I120*E120,2)</f>
        <v/>
      </c>
    </row>
    <row r="121" hidden="1" outlineLevel="1" ht="14.25" customFormat="1" customHeight="1" s="375">
      <c r="A121" s="406" t="n">
        <v>93</v>
      </c>
      <c r="B121" s="406" t="inlineStr">
        <is>
          <t>01.7.11.07-0034</t>
        </is>
      </c>
      <c r="C121" s="414" t="inlineStr">
        <is>
          <t>Электроды диаметром: 4 мм Э42А</t>
        </is>
      </c>
      <c r="D121" s="406" t="inlineStr">
        <is>
          <t>кг</t>
        </is>
      </c>
      <c r="E121" s="415" t="n">
        <v>4.8499</v>
      </c>
      <c r="F121" s="416" t="n">
        <v>10.57</v>
      </c>
      <c r="G121" s="217">
        <f>ROUND(E121*F121,2)</f>
        <v/>
      </c>
      <c r="H121" s="220">
        <f>G121/$G$155</f>
        <v/>
      </c>
      <c r="I121" s="217">
        <f>ROUND(F121*Прил.10!$D$13,2)</f>
        <v/>
      </c>
      <c r="J121" s="217">
        <f>ROUND(I121*E121,2)</f>
        <v/>
      </c>
    </row>
    <row r="122" hidden="1" outlineLevel="1" ht="25.5" customFormat="1" customHeight="1" s="375">
      <c r="A122" s="406" t="n">
        <v>94</v>
      </c>
      <c r="B122" s="406" t="inlineStr">
        <is>
          <t>20.2.10.04-0005</t>
        </is>
      </c>
      <c r="C122" s="414" t="inlineStr">
        <is>
          <t>Наконечники кабельные: медные луженные ТМЛ-25</t>
        </is>
      </c>
      <c r="D122" s="406" t="inlineStr">
        <is>
          <t>100 шт</t>
        </is>
      </c>
      <c r="E122" s="415" t="n">
        <v>0.12</v>
      </c>
      <c r="F122" s="416" t="n">
        <v>368</v>
      </c>
      <c r="G122" s="217">
        <f>ROUND(E122*F122,2)</f>
        <v/>
      </c>
      <c r="H122" s="220">
        <f>G122/$G$155</f>
        <v/>
      </c>
      <c r="I122" s="217">
        <f>ROUND(F122*Прил.10!$D$13,2)</f>
        <v/>
      </c>
      <c r="J122" s="217">
        <f>ROUND(I122*E122,2)</f>
        <v/>
      </c>
    </row>
    <row r="123" hidden="1" outlineLevel="1" ht="14.25" customFormat="1" customHeight="1" s="375">
      <c r="A123" s="406" t="n">
        <v>95</v>
      </c>
      <c r="B123" s="406" t="inlineStr">
        <is>
          <t>08.3.03.04-0012</t>
        </is>
      </c>
      <c r="C123" s="414" t="inlineStr">
        <is>
          <t>Проволока светлая диаметром: 1,1 мм</t>
        </is>
      </c>
      <c r="D123" s="406" t="inlineStr">
        <is>
          <t>т</t>
        </is>
      </c>
      <c r="E123" s="415" t="n">
        <v>0.0035</v>
      </c>
      <c r="F123" s="416" t="n">
        <v>10200</v>
      </c>
      <c r="G123" s="217">
        <f>ROUND(E123*F123,2)</f>
        <v/>
      </c>
      <c r="H123" s="220">
        <f>G123/$G$155</f>
        <v/>
      </c>
      <c r="I123" s="217">
        <f>ROUND(F123*Прил.10!$D$13,2)</f>
        <v/>
      </c>
      <c r="J123" s="217">
        <f>ROUND(I123*E123,2)</f>
        <v/>
      </c>
    </row>
    <row r="124" hidden="1" outlineLevel="1" ht="14.25" customFormat="1" customHeight="1" s="375">
      <c r="A124" s="406" t="n">
        <v>96</v>
      </c>
      <c r="B124" s="406" t="inlineStr">
        <is>
          <t>20.1.02.23-0082</t>
        </is>
      </c>
      <c r="C124" s="414" t="inlineStr">
        <is>
          <t>Перемычки гибкие, тип ПГС-50</t>
        </is>
      </c>
      <c r="D124" s="406" t="inlineStr">
        <is>
          <t>10 шт</t>
        </is>
      </c>
      <c r="E124" s="415" t="n">
        <v>0.9</v>
      </c>
      <c r="F124" s="416" t="n">
        <v>39</v>
      </c>
      <c r="G124" s="217">
        <f>ROUND(E124*F124,2)</f>
        <v/>
      </c>
      <c r="H124" s="220">
        <f>G124/$G$155</f>
        <v/>
      </c>
      <c r="I124" s="217">
        <f>ROUND(F124*Прил.10!$D$13,2)</f>
        <v/>
      </c>
      <c r="J124" s="217">
        <f>ROUND(I124*E124,2)</f>
        <v/>
      </c>
    </row>
    <row r="125" hidden="1" outlineLevel="1" ht="14.25" customFormat="1" customHeight="1" s="375">
      <c r="A125" s="406" t="n">
        <v>97</v>
      </c>
      <c r="B125" s="406" t="inlineStr">
        <is>
          <t>01.7.15.06-0111</t>
        </is>
      </c>
      <c r="C125" s="414" t="inlineStr">
        <is>
          <t>Гвозди строительные</t>
        </is>
      </c>
      <c r="D125" s="406" t="inlineStr">
        <is>
          <t>т</t>
        </is>
      </c>
      <c r="E125" s="415" t="n">
        <v>0.0029</v>
      </c>
      <c r="F125" s="416" t="n">
        <v>11978</v>
      </c>
      <c r="G125" s="217">
        <f>ROUND(E125*F125,2)</f>
        <v/>
      </c>
      <c r="H125" s="220">
        <f>G125/$G$155</f>
        <v/>
      </c>
      <c r="I125" s="217">
        <f>ROUND(F125*Прил.10!$D$13,2)</f>
        <v/>
      </c>
      <c r="J125" s="217">
        <f>ROUND(I125*E125,2)</f>
        <v/>
      </c>
    </row>
    <row r="126" hidden="1" outlineLevel="1" ht="25.5" customFormat="1" customHeight="1" s="375">
      <c r="A126" s="406" t="n">
        <v>98</v>
      </c>
      <c r="B126" s="406" t="inlineStr">
        <is>
          <t>999-9950</t>
        </is>
      </c>
      <c r="C126" s="414" t="inlineStr">
        <is>
          <t>Вспомогательные ненормируемые ресурсы (2% от Оплаты труда рабочих)</t>
        </is>
      </c>
      <c r="D126" s="406" t="inlineStr">
        <is>
          <t>руб.</t>
        </is>
      </c>
      <c r="E126" s="415" t="n">
        <v>34.6685</v>
      </c>
      <c r="F126" s="416" t="n">
        <v>1</v>
      </c>
      <c r="G126" s="217">
        <f>ROUND(E126*F126,2)</f>
        <v/>
      </c>
      <c r="H126" s="220">
        <f>G126/$G$155</f>
        <v/>
      </c>
      <c r="I126" s="217">
        <f>ROUND(F126*Прил.10!$D$13,2)</f>
        <v/>
      </c>
      <c r="J126" s="217">
        <f>ROUND(I126*E126,2)</f>
        <v/>
      </c>
    </row>
    <row r="127" hidden="1" outlineLevel="1" ht="38.25" customFormat="1" customHeight="1" s="375">
      <c r="A127" s="406" t="n">
        <v>99</v>
      </c>
      <c r="B127" s="406" t="inlineStr">
        <is>
          <t>01.7.06.05-0041</t>
        </is>
      </c>
      <c r="C127" s="414" t="inlineStr">
        <is>
          <t>Лента изоляционная прорезиненная односторонняя ширина 20 мм, толщина 0,25-0,35 мм</t>
        </is>
      </c>
      <c r="D127" s="406" t="inlineStr">
        <is>
          <t>кг</t>
        </is>
      </c>
      <c r="E127" s="415" t="n">
        <v>1.008</v>
      </c>
      <c r="F127" s="416" t="n">
        <v>30.4</v>
      </c>
      <c r="G127" s="217">
        <f>ROUND(E127*F127,2)</f>
        <v/>
      </c>
      <c r="H127" s="220">
        <f>G127/$G$155</f>
        <v/>
      </c>
      <c r="I127" s="217">
        <f>ROUND(F127*Прил.10!$D$13,2)</f>
        <v/>
      </c>
      <c r="J127" s="217">
        <f>ROUND(I127*E127,2)</f>
        <v/>
      </c>
    </row>
    <row r="128" hidden="1" outlineLevel="1" ht="25.5" customFormat="1" customHeight="1" s="375">
      <c r="A128" s="406" t="n">
        <v>100</v>
      </c>
      <c r="B128" s="406" t="inlineStr">
        <is>
          <t>06.1.01.05-0035</t>
        </is>
      </c>
      <c r="C128" s="414" t="inlineStr">
        <is>
          <t>Кирпич керамический одинарный, размером 250х120х65 мм, марка: 100</t>
        </is>
      </c>
      <c r="D128" s="406" t="inlineStr">
        <is>
          <t>1000 шт</t>
        </is>
      </c>
      <c r="E128" s="415" t="n">
        <v>0.0135</v>
      </c>
      <c r="F128" s="416" t="n">
        <v>1752.6</v>
      </c>
      <c r="G128" s="217">
        <f>ROUND(E128*F128,2)</f>
        <v/>
      </c>
      <c r="H128" s="220">
        <f>G128/$G$155</f>
        <v/>
      </c>
      <c r="I128" s="217">
        <f>ROUND(F128*Прил.10!$D$13,2)</f>
        <v/>
      </c>
      <c r="J128" s="217">
        <f>ROUND(I128*E128,2)</f>
        <v/>
      </c>
    </row>
    <row r="129" hidden="1" outlineLevel="1" ht="14.25" customFormat="1" customHeight="1" s="375">
      <c r="A129" s="406" t="n">
        <v>101</v>
      </c>
      <c r="B129" s="406" t="inlineStr">
        <is>
          <t>01.7.03.01-0001</t>
        </is>
      </c>
      <c r="C129" s="414" t="inlineStr">
        <is>
          <t>Вода</t>
        </is>
      </c>
      <c r="D129" s="406" t="inlineStr">
        <is>
          <t>м3</t>
        </is>
      </c>
      <c r="E129" s="415" t="n">
        <v>8.9018</v>
      </c>
      <c r="F129" s="416" t="n">
        <v>2.44</v>
      </c>
      <c r="G129" s="217">
        <f>ROUND(E129*F129,2)</f>
        <v/>
      </c>
      <c r="H129" s="220">
        <f>G129/$G$155</f>
        <v/>
      </c>
      <c r="I129" s="217">
        <f>ROUND(F129*Прил.10!$D$13,2)</f>
        <v/>
      </c>
      <c r="J129" s="217">
        <f>ROUND(I129*E129,2)</f>
        <v/>
      </c>
    </row>
    <row r="130" hidden="1" outlineLevel="1" ht="14.25" customFormat="1" customHeight="1" s="375">
      <c r="A130" s="406" t="n">
        <v>102</v>
      </c>
      <c r="B130" s="406" t="inlineStr">
        <is>
          <t>01.7.17.11-0003</t>
        </is>
      </c>
      <c r="C130" s="414" t="inlineStr">
        <is>
          <t>Бумага шлифовальная</t>
        </is>
      </c>
      <c r="D130" s="406" t="inlineStr">
        <is>
          <t>10 листов</t>
        </is>
      </c>
      <c r="E130" s="415" t="n">
        <v>0.5</v>
      </c>
      <c r="F130" s="416" t="n">
        <v>37.5</v>
      </c>
      <c r="G130" s="217">
        <f>ROUND(E130*F130,2)</f>
        <v/>
      </c>
      <c r="H130" s="220">
        <f>G130/$G$155</f>
        <v/>
      </c>
      <c r="I130" s="217">
        <f>ROUND(F130*Прил.10!$D$13,2)</f>
        <v/>
      </c>
      <c r="J130" s="217">
        <f>ROUND(I130*E130,2)</f>
        <v/>
      </c>
    </row>
    <row r="131" hidden="1" outlineLevel="1" ht="14.25" customFormat="1" customHeight="1" s="375">
      <c r="A131" s="406" t="n">
        <v>103</v>
      </c>
      <c r="B131" s="406" t="inlineStr">
        <is>
          <t>14.4.02.09-0001</t>
        </is>
      </c>
      <c r="C131" s="414" t="inlineStr">
        <is>
          <t>Краска</t>
        </is>
      </c>
      <c r="D131" s="406" t="inlineStr">
        <is>
          <t>кг</t>
        </is>
      </c>
      <c r="E131" s="415" t="n">
        <v>0.5921999999999999</v>
      </c>
      <c r="F131" s="416" t="n">
        <v>28.6</v>
      </c>
      <c r="G131" s="217">
        <f>ROUND(E131*F131,2)</f>
        <v/>
      </c>
      <c r="H131" s="220">
        <f>G131/$G$155</f>
        <v/>
      </c>
      <c r="I131" s="217">
        <f>ROUND(F131*Прил.10!$D$13,2)</f>
        <v/>
      </c>
      <c r="J131" s="217">
        <f>ROUND(I131*E131,2)</f>
        <v/>
      </c>
    </row>
    <row r="132" hidden="1" outlineLevel="1" ht="14.25" customFormat="1" customHeight="1" s="375">
      <c r="A132" s="406" t="n">
        <v>104</v>
      </c>
      <c r="B132" s="406" t="inlineStr">
        <is>
          <t>01.3.01.02-0002</t>
        </is>
      </c>
      <c r="C132" s="414" t="inlineStr">
        <is>
          <t>Вазелин технический</t>
        </is>
      </c>
      <c r="D132" s="406" t="inlineStr">
        <is>
          <t>кг</t>
        </is>
      </c>
      <c r="E132" s="415" t="n">
        <v>0.36</v>
      </c>
      <c r="F132" s="416" t="n">
        <v>44.97</v>
      </c>
      <c r="G132" s="217">
        <f>ROUND(E132*F132,2)</f>
        <v/>
      </c>
      <c r="H132" s="220">
        <f>G132/$G$155</f>
        <v/>
      </c>
      <c r="I132" s="217">
        <f>ROUND(F132*Прил.10!$D$13,2)</f>
        <v/>
      </c>
      <c r="J132" s="217">
        <f>ROUND(I132*E132,2)</f>
        <v/>
      </c>
    </row>
    <row r="133" hidden="1" outlineLevel="1" ht="38.25" customFormat="1" customHeight="1" s="375">
      <c r="A133" s="406" t="n">
        <v>105</v>
      </c>
      <c r="B133" s="406" t="inlineStr">
        <is>
          <t>08.3.03.05-0020</t>
        </is>
      </c>
      <c r="C133" s="414" t="inlineStr">
        <is>
          <t>Проволока стальная низкоуглеродистая разного назначения оцинкованная диаметром: 6,0-6,3 мм</t>
        </is>
      </c>
      <c r="D133" s="406" t="inlineStr">
        <is>
          <t>т</t>
        </is>
      </c>
      <c r="E133" s="415" t="n">
        <v>0.0013</v>
      </c>
      <c r="F133" s="416" t="n">
        <v>12110</v>
      </c>
      <c r="G133" s="217">
        <f>ROUND(E133*F133,2)</f>
        <v/>
      </c>
      <c r="H133" s="220">
        <f>G133/$G$155</f>
        <v/>
      </c>
      <c r="I133" s="217">
        <f>ROUND(F133*Прил.10!$D$13,2)</f>
        <v/>
      </c>
      <c r="J133" s="217">
        <f>ROUND(I133*E133,2)</f>
        <v/>
      </c>
    </row>
    <row r="134" hidden="1" outlineLevel="1" ht="14.25" customFormat="1" customHeight="1" s="375">
      <c r="A134" s="406" t="n">
        <v>106</v>
      </c>
      <c r="B134" s="406" t="inlineStr">
        <is>
          <t>14.4.03.17-0011</t>
        </is>
      </c>
      <c r="C134" s="414" t="inlineStr">
        <is>
          <t>Лак электроизоляционный 318</t>
        </is>
      </c>
      <c r="D134" s="406" t="inlineStr">
        <is>
          <t>кг</t>
        </is>
      </c>
      <c r="E134" s="415" t="n">
        <v>0.402</v>
      </c>
      <c r="F134" s="416" t="n">
        <v>35.63</v>
      </c>
      <c r="G134" s="217">
        <f>ROUND(E134*F134,2)</f>
        <v/>
      </c>
      <c r="H134" s="220">
        <f>G134/$G$155</f>
        <v/>
      </c>
      <c r="I134" s="217">
        <f>ROUND(F134*Прил.10!$D$13,2)</f>
        <v/>
      </c>
      <c r="J134" s="217">
        <f>ROUND(I134*E134,2)</f>
        <v/>
      </c>
    </row>
    <row r="135" hidden="1" outlineLevel="1" ht="76.5" customFormat="1" customHeight="1" s="375">
      <c r="A135" s="406" t="n">
        <v>107</v>
      </c>
      <c r="B135" s="406" t="inlineStr">
        <is>
          <t>07.2.07.12-0006</t>
        </is>
      </c>
      <c r="C135" s="414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35" s="406" t="inlineStr">
        <is>
          <t>т</t>
        </is>
      </c>
      <c r="E135" s="415" t="n">
        <v>0.0013</v>
      </c>
      <c r="F135" s="416" t="n">
        <v>10045</v>
      </c>
      <c r="G135" s="217">
        <f>ROUND(E135*F135,2)</f>
        <v/>
      </c>
      <c r="H135" s="220">
        <f>G135/$G$155</f>
        <v/>
      </c>
      <c r="I135" s="217">
        <f>ROUND(F135*Прил.10!$D$13,2)</f>
        <v/>
      </c>
      <c r="J135" s="217">
        <f>ROUND(I135*E135,2)</f>
        <v/>
      </c>
    </row>
    <row r="136" hidden="1" outlineLevel="1" ht="14.25" customFormat="1" customHeight="1" s="375">
      <c r="A136" s="406" t="n">
        <v>108</v>
      </c>
      <c r="B136" s="406" t="inlineStr">
        <is>
          <t>01.7.20.08-0031</t>
        </is>
      </c>
      <c r="C136" s="414" t="inlineStr">
        <is>
          <t>Бязь суровая арт. 6804</t>
        </is>
      </c>
      <c r="D136" s="406" t="inlineStr">
        <is>
          <t>10 м2</t>
        </is>
      </c>
      <c r="E136" s="415" t="n">
        <v>0.153</v>
      </c>
      <c r="F136" s="416" t="n">
        <v>79.09999999999999</v>
      </c>
      <c r="G136" s="217">
        <f>ROUND(E136*F136,2)</f>
        <v/>
      </c>
      <c r="H136" s="220">
        <f>G136/$G$155</f>
        <v/>
      </c>
      <c r="I136" s="217">
        <f>ROUND(F136*Прил.10!$D$13,2)</f>
        <v/>
      </c>
      <c r="J136" s="217">
        <f>ROUND(I136*E136,2)</f>
        <v/>
      </c>
    </row>
    <row r="137" hidden="1" outlineLevel="1" ht="38.25" customFormat="1" customHeight="1" s="375">
      <c r="A137" s="406" t="n">
        <v>109</v>
      </c>
      <c r="B137" s="406" t="inlineStr">
        <is>
          <t>07.2.07.11-0021</t>
        </is>
      </c>
      <c r="C137" s="414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7" s="406" t="inlineStr">
        <is>
          <t>кг</t>
        </is>
      </c>
      <c r="E137" s="415" t="n">
        <v>0.983856</v>
      </c>
      <c r="F137" s="416" t="n">
        <v>11.83</v>
      </c>
      <c r="G137" s="217">
        <f>ROUND(E137*F137,2)</f>
        <v/>
      </c>
      <c r="H137" s="220">
        <f>G137/$G$155</f>
        <v/>
      </c>
      <c r="I137" s="217">
        <f>ROUND(F137*Прил.10!$D$13,2)</f>
        <v/>
      </c>
      <c r="J137" s="217">
        <f>ROUND(I137*E137,2)</f>
        <v/>
      </c>
    </row>
    <row r="138" hidden="1" outlineLevel="1" ht="14.25" customFormat="1" customHeight="1" s="375">
      <c r="A138" s="406" t="n">
        <v>110</v>
      </c>
      <c r="B138" s="406" t="inlineStr">
        <is>
          <t>01.7.20.04-0005</t>
        </is>
      </c>
      <c r="C138" s="414" t="inlineStr">
        <is>
          <t>Нитки швейные</t>
        </is>
      </c>
      <c r="D138" s="406" t="inlineStr">
        <is>
          <t>кг</t>
        </is>
      </c>
      <c r="E138" s="415" t="n">
        <v>0.066</v>
      </c>
      <c r="F138" s="416" t="n">
        <v>133.05</v>
      </c>
      <c r="G138" s="217">
        <f>ROUND(E138*F138,2)</f>
        <v/>
      </c>
      <c r="H138" s="220">
        <f>G138/$G$155</f>
        <v/>
      </c>
      <c r="I138" s="217">
        <f>ROUND(F138*Прил.10!$D$13,2)</f>
        <v/>
      </c>
      <c r="J138" s="217">
        <f>ROUND(I138*E138,2)</f>
        <v/>
      </c>
    </row>
    <row r="139" hidden="1" outlineLevel="1" ht="38.25" customFormat="1" customHeight="1" s="375">
      <c r="A139" s="406" t="n">
        <v>111</v>
      </c>
      <c r="B139" s="406" t="inlineStr">
        <is>
          <t>08.3.05.02-0101</t>
        </is>
      </c>
      <c r="C139" s="414" t="inlineStr">
        <is>
          <t>Сталь листовая углеродистая обыкновенного качества марки ВСт3пс5 толщиной: 4-6 мм</t>
        </is>
      </c>
      <c r="D139" s="406" t="inlineStr">
        <is>
          <t>т</t>
        </is>
      </c>
      <c r="E139" s="415" t="n">
        <v>0.0014</v>
      </c>
      <c r="F139" s="416" t="n">
        <v>5763</v>
      </c>
      <c r="G139" s="217">
        <f>ROUND(E139*F139,2)</f>
        <v/>
      </c>
      <c r="H139" s="220">
        <f>G139/$G$155</f>
        <v/>
      </c>
      <c r="I139" s="217">
        <f>ROUND(F139*Прил.10!$D$13,2)</f>
        <v/>
      </c>
      <c r="J139" s="217">
        <f>ROUND(I139*E139,2)</f>
        <v/>
      </c>
    </row>
    <row r="140" hidden="1" outlineLevel="1" ht="25.5" customFormat="1" customHeight="1" s="375">
      <c r="A140" s="406" t="n">
        <v>112</v>
      </c>
      <c r="B140" s="406" t="inlineStr">
        <is>
          <t>01.7.07.12-0024</t>
        </is>
      </c>
      <c r="C140" s="414" t="inlineStr">
        <is>
          <t>Пленка полиэтиленовая толщиной: 0,15 мм</t>
        </is>
      </c>
      <c r="D140" s="406" t="inlineStr">
        <is>
          <t>м2</t>
        </is>
      </c>
      <c r="E140" s="415" t="n">
        <v>1.625</v>
      </c>
      <c r="F140" s="416" t="n">
        <v>3.62</v>
      </c>
      <c r="G140" s="217">
        <f>ROUND(E140*F140,2)</f>
        <v/>
      </c>
      <c r="H140" s="220">
        <f>G140/$G$155</f>
        <v/>
      </c>
      <c r="I140" s="217">
        <f>ROUND(F140*Прил.10!$D$13,2)</f>
        <v/>
      </c>
      <c r="J140" s="217">
        <f>ROUND(I140*E140,2)</f>
        <v/>
      </c>
    </row>
    <row r="141" hidden="1" outlineLevel="1" ht="14.25" customFormat="1" customHeight="1" s="375">
      <c r="A141" s="406" t="n">
        <v>113</v>
      </c>
      <c r="B141" s="406" t="inlineStr">
        <is>
          <t>01.7.15.07-0031</t>
        </is>
      </c>
      <c r="C141" s="414" t="inlineStr">
        <is>
          <t>Дюбели распорные с гайкой</t>
        </is>
      </c>
      <c r="D141" s="406" t="inlineStr">
        <is>
          <t>100 шт</t>
        </is>
      </c>
      <c r="E141" s="415" t="n">
        <v>0.0359</v>
      </c>
      <c r="F141" s="416" t="n">
        <v>110</v>
      </c>
      <c r="G141" s="217">
        <f>ROUND(E141*F141,2)</f>
        <v/>
      </c>
      <c r="H141" s="220">
        <f>G141/$G$155</f>
        <v/>
      </c>
      <c r="I141" s="217">
        <f>ROUND(F141*Прил.10!$D$13,2)</f>
        <v/>
      </c>
      <c r="J141" s="217">
        <f>ROUND(I141*E141,2)</f>
        <v/>
      </c>
    </row>
    <row r="142" hidden="1" outlineLevel="1" ht="25.5" customFormat="1" customHeight="1" s="375">
      <c r="A142" s="406" t="n">
        <v>114</v>
      </c>
      <c r="B142" s="406" t="inlineStr">
        <is>
          <t>03.2.01.01-0003</t>
        </is>
      </c>
      <c r="C142" s="414" t="inlineStr">
        <is>
          <t>Портландцемент общестроительного назначения бездобавочный, марки: 500</t>
        </is>
      </c>
      <c r="D142" s="406" t="inlineStr">
        <is>
          <t>т</t>
        </is>
      </c>
      <c r="E142" s="415" t="n">
        <v>0.0081</v>
      </c>
      <c r="F142" s="416" t="n">
        <v>480</v>
      </c>
      <c r="G142" s="217">
        <f>ROUND(E142*F142,2)</f>
        <v/>
      </c>
      <c r="H142" s="220">
        <f>G142/$G$155</f>
        <v/>
      </c>
      <c r="I142" s="217">
        <f>ROUND(F142*Прил.10!$D$13,2)</f>
        <v/>
      </c>
      <c r="J142" s="217">
        <f>ROUND(I142*E142,2)</f>
        <v/>
      </c>
    </row>
    <row r="143" hidden="1" outlineLevel="1" ht="25.5" customFormat="1" customHeight="1" s="375">
      <c r="A143" s="406" t="n">
        <v>115</v>
      </c>
      <c r="B143" s="406" t="inlineStr">
        <is>
          <t>04.3.01.09-0012</t>
        </is>
      </c>
      <c r="C143" s="414" t="inlineStr">
        <is>
          <t>Раствор готовый кладочный цементный марки: 50</t>
        </is>
      </c>
      <c r="D143" s="406" t="inlineStr">
        <is>
          <t>м3</t>
        </is>
      </c>
      <c r="E143" s="415" t="n">
        <v>0.0058</v>
      </c>
      <c r="F143" s="416" t="n">
        <v>485.9</v>
      </c>
      <c r="G143" s="217">
        <f>ROUND(E143*F143,2)</f>
        <v/>
      </c>
      <c r="H143" s="220">
        <f>G143/$G$155</f>
        <v/>
      </c>
      <c r="I143" s="217">
        <f>ROUND(F143*Прил.10!$D$13,2)</f>
        <v/>
      </c>
      <c r="J143" s="217">
        <f>ROUND(I143*E143,2)</f>
        <v/>
      </c>
    </row>
    <row r="144" hidden="1" outlineLevel="1" ht="14.25" customFormat="1" customHeight="1" s="375">
      <c r="A144" s="406" t="n">
        <v>116</v>
      </c>
      <c r="B144" s="406" t="inlineStr">
        <is>
          <t>24.3.01.01-0001</t>
        </is>
      </c>
      <c r="C144" s="414" t="inlineStr">
        <is>
          <t>Трубка поливинилхлоридная ХВТ</t>
        </is>
      </c>
      <c r="D144" s="406" t="inlineStr">
        <is>
          <t>кг</t>
        </is>
      </c>
      <c r="E144" s="415" t="n">
        <v>0.048</v>
      </c>
      <c r="F144" s="416" t="n">
        <v>41.7</v>
      </c>
      <c r="G144" s="217">
        <f>ROUND(E144*F144,2)</f>
        <v/>
      </c>
      <c r="H144" s="220">
        <f>G144/$G$155</f>
        <v/>
      </c>
      <c r="I144" s="217">
        <f>ROUND(F144*Прил.10!$D$13,2)</f>
        <v/>
      </c>
      <c r="J144" s="217">
        <f>ROUND(I144*E144,2)</f>
        <v/>
      </c>
    </row>
    <row r="145" hidden="1" outlineLevel="1" ht="14.25" customFormat="1" customHeight="1" s="375">
      <c r="A145" s="406" t="n">
        <v>117</v>
      </c>
      <c r="B145" s="406" t="inlineStr">
        <is>
          <t>01.7.15.14-0043</t>
        </is>
      </c>
      <c r="C145" s="414" t="inlineStr">
        <is>
          <t>Шуруп самонарезающий: (LN) 3,5/11 мм</t>
        </is>
      </c>
      <c r="D145" s="406" t="inlineStr">
        <is>
          <t>100 шт</t>
        </is>
      </c>
      <c r="E145" s="415" t="n">
        <v>0.9792</v>
      </c>
      <c r="F145" s="416" t="n">
        <v>2</v>
      </c>
      <c r="G145" s="217">
        <f>ROUND(E145*F145,2)</f>
        <v/>
      </c>
      <c r="H145" s="220">
        <f>G145/$G$155</f>
        <v/>
      </c>
      <c r="I145" s="217">
        <f>ROUND(F145*Прил.10!$D$13,2)</f>
        <v/>
      </c>
      <c r="J145" s="217">
        <f>ROUND(I145*E145,2)</f>
        <v/>
      </c>
    </row>
    <row r="146" hidden="1" outlineLevel="1" ht="14.25" customFormat="1" customHeight="1" s="375">
      <c r="A146" s="406" t="n">
        <v>118</v>
      </c>
      <c r="B146" s="406" t="inlineStr">
        <is>
          <t>01.7.06.07-0001</t>
        </is>
      </c>
      <c r="C146" s="414" t="inlineStr">
        <is>
          <t>Лента К226</t>
        </is>
      </c>
      <c r="D146" s="406" t="inlineStr">
        <is>
          <t>100 м</t>
        </is>
      </c>
      <c r="E146" s="415" t="n">
        <v>0.0144</v>
      </c>
      <c r="F146" s="416" t="n">
        <v>120</v>
      </c>
      <c r="G146" s="217">
        <f>ROUND(E146*F146,2)</f>
        <v/>
      </c>
      <c r="H146" s="220">
        <f>G146/$G$155</f>
        <v/>
      </c>
      <c r="I146" s="217">
        <f>ROUND(F146*Прил.10!$D$13,2)</f>
        <v/>
      </c>
      <c r="J146" s="217">
        <f>ROUND(I146*E146,2)</f>
        <v/>
      </c>
    </row>
    <row r="147" hidden="1" outlineLevel="1" ht="38.25" customFormat="1" customHeight="1" s="375">
      <c r="A147" s="406" t="n">
        <v>119</v>
      </c>
      <c r="B147" s="406" t="inlineStr">
        <is>
          <t>02.2.05.04-0093</t>
        </is>
      </c>
      <c r="C147" s="414" t="inlineStr">
        <is>
          <t>Щебень из природного камня для строительных работ марка: 800, фракция 20-40 мм</t>
        </is>
      </c>
      <c r="D147" s="406" t="inlineStr">
        <is>
          <t>м3</t>
        </is>
      </c>
      <c r="E147" s="415" t="n">
        <v>0.0119</v>
      </c>
      <c r="F147" s="416" t="n">
        <v>108.4</v>
      </c>
      <c r="G147" s="217">
        <f>ROUND(E147*F147,2)</f>
        <v/>
      </c>
      <c r="H147" s="220">
        <f>G147/$G$155</f>
        <v/>
      </c>
      <c r="I147" s="217">
        <f>ROUND(F147*Прил.10!$D$13,2)</f>
        <v/>
      </c>
      <c r="J147" s="217">
        <f>ROUND(I147*E147,2)</f>
        <v/>
      </c>
    </row>
    <row r="148" hidden="1" outlineLevel="1" ht="14.25" customFormat="1" customHeight="1" s="375">
      <c r="A148" s="406" t="n">
        <v>120</v>
      </c>
      <c r="B148" s="406" t="inlineStr">
        <is>
          <t>01.7.02.09-0002</t>
        </is>
      </c>
      <c r="C148" s="414" t="inlineStr">
        <is>
          <t>Шпагат бумажный</t>
        </is>
      </c>
      <c r="D148" s="406" t="inlineStr">
        <is>
          <t>кг</t>
        </is>
      </c>
      <c r="E148" s="415" t="n">
        <v>0.108</v>
      </c>
      <c r="F148" s="416" t="n">
        <v>11.5</v>
      </c>
      <c r="G148" s="217">
        <f>ROUND(E148*F148,2)</f>
        <v/>
      </c>
      <c r="H148" s="220">
        <f>G148/$G$155</f>
        <v/>
      </c>
      <c r="I148" s="217">
        <f>ROUND(F148*Прил.10!$D$13,2)</f>
        <v/>
      </c>
      <c r="J148" s="217">
        <f>ROUND(I148*E148,2)</f>
        <v/>
      </c>
    </row>
    <row r="149" hidden="1" outlineLevel="1" ht="25.5" customFormat="1" customHeight="1" s="375">
      <c r="A149" s="406" t="n">
        <v>121</v>
      </c>
      <c r="B149" s="406" t="inlineStr">
        <is>
          <t>02.3.01.02-0020</t>
        </is>
      </c>
      <c r="C149" s="414" t="inlineStr">
        <is>
          <t>Песок природный для строительных: растворов средний</t>
        </is>
      </c>
      <c r="D149" s="406" t="inlineStr">
        <is>
          <t>м3</t>
        </is>
      </c>
      <c r="E149" s="415" t="n">
        <v>0.0067</v>
      </c>
      <c r="F149" s="416" t="n">
        <v>59.99</v>
      </c>
      <c r="G149" s="217">
        <f>ROUND(E149*F149,2)</f>
        <v/>
      </c>
      <c r="H149" s="220">
        <f>G149/$G$155</f>
        <v/>
      </c>
      <c r="I149" s="217">
        <f>ROUND(F149*Прил.10!$D$13,2)</f>
        <v/>
      </c>
      <c r="J149" s="217">
        <f>ROUND(I149*E149,2)</f>
        <v/>
      </c>
    </row>
    <row r="150" hidden="1" outlineLevel="1" ht="14.25" customFormat="1" customHeight="1" s="375">
      <c r="A150" s="406" t="n">
        <v>122</v>
      </c>
      <c r="B150" s="406" t="inlineStr">
        <is>
          <t>20.5.04.03-0011</t>
        </is>
      </c>
      <c r="C150" s="414" t="inlineStr">
        <is>
          <t>Зажимы наборные</t>
        </is>
      </c>
      <c r="D150" s="406" t="inlineStr">
        <is>
          <t>шт</t>
        </is>
      </c>
      <c r="E150" s="415" t="n">
        <v>0.0612</v>
      </c>
      <c r="F150" s="416" t="n">
        <v>3.5</v>
      </c>
      <c r="G150" s="217">
        <f>ROUND(E150*F150,2)</f>
        <v/>
      </c>
      <c r="H150" s="220">
        <f>G150/$G$155</f>
        <v/>
      </c>
      <c r="I150" s="217">
        <f>ROUND(F150*Прил.10!$D$13,2)</f>
        <v/>
      </c>
      <c r="J150" s="217">
        <f>ROUND(I150*E150,2)</f>
        <v/>
      </c>
    </row>
    <row r="151" hidden="1" outlineLevel="1" ht="14.25" customFormat="1" customHeight="1" s="375">
      <c r="A151" s="406" t="n">
        <v>123</v>
      </c>
      <c r="B151" s="406" t="inlineStr">
        <is>
          <t>01.3.02.02-0001</t>
        </is>
      </c>
      <c r="C151" s="414" t="inlineStr">
        <is>
          <t>Аргон газообразный, сорт: I</t>
        </is>
      </c>
      <c r="D151" s="406" t="inlineStr">
        <is>
          <t>м3</t>
        </is>
      </c>
      <c r="E151" s="415" t="n">
        <v>0.0092</v>
      </c>
      <c r="F151" s="416" t="n">
        <v>17.86</v>
      </c>
      <c r="G151" s="217">
        <f>ROUND(E151*F151,2)</f>
        <v/>
      </c>
      <c r="H151" s="220">
        <f>G151/$G$155</f>
        <v/>
      </c>
      <c r="I151" s="217">
        <f>ROUND(F151*Прил.10!$D$13,2)</f>
        <v/>
      </c>
      <c r="J151" s="217">
        <f>ROUND(I151*E151,2)</f>
        <v/>
      </c>
    </row>
    <row r="152" hidden="1" outlineLevel="1" ht="25.5" customFormat="1" customHeight="1" s="375">
      <c r="A152" s="406" t="n">
        <v>124</v>
      </c>
      <c r="B152" s="406" t="inlineStr">
        <is>
          <t>04.3.01.09-0011</t>
        </is>
      </c>
      <c r="C152" s="414" t="inlineStr">
        <is>
          <t>Раствор готовый кладочный цементный марки: 25</t>
        </is>
      </c>
      <c r="D152" s="406" t="inlineStr">
        <is>
          <t>м3</t>
        </is>
      </c>
      <c r="E152" s="415" t="n">
        <v>0.0002</v>
      </c>
      <c r="F152" s="416" t="n">
        <v>463.3</v>
      </c>
      <c r="G152" s="217">
        <f>ROUND(E152*F152,2)</f>
        <v/>
      </c>
      <c r="H152" s="220">
        <f>G152/$G$155</f>
        <v/>
      </c>
      <c r="I152" s="217">
        <f>ROUND(F152*Прил.10!$D$13,2)</f>
        <v/>
      </c>
      <c r="J152" s="217">
        <f>ROUND(I152*E152,2)</f>
        <v/>
      </c>
    </row>
    <row r="153" hidden="1" outlineLevel="1" ht="14.25" customFormat="1" customHeight="1" s="375">
      <c r="A153" s="406" t="n">
        <v>125</v>
      </c>
      <c r="B153" s="406" t="inlineStr">
        <is>
          <t>14.1.02.01-0002</t>
        </is>
      </c>
      <c r="C153" s="414" t="inlineStr">
        <is>
          <t>Клей БМК-5к</t>
        </is>
      </c>
      <c r="D153" s="406" t="inlineStr">
        <is>
          <t>кг</t>
        </is>
      </c>
      <c r="E153" s="415" t="n">
        <v>0.0025</v>
      </c>
      <c r="F153" s="416" t="n">
        <v>25.8</v>
      </c>
      <c r="G153" s="217">
        <f>ROUND(E153*F153,2)</f>
        <v/>
      </c>
      <c r="H153" s="220">
        <f>G153/$G$155</f>
        <v/>
      </c>
      <c r="I153" s="217">
        <f>ROUND(F153*Прил.10!$D$13,2)</f>
        <v/>
      </c>
      <c r="J153" s="217">
        <f>ROUND(I153*E153,2)</f>
        <v/>
      </c>
    </row>
    <row r="154" collapsed="1" ht="14.25" customFormat="1" customHeight="1" s="375">
      <c r="A154" s="406" t="n"/>
      <c r="B154" s="406" t="n"/>
      <c r="C154" s="414" t="inlineStr">
        <is>
          <t>Итого прочие материалы</t>
        </is>
      </c>
      <c r="D154" s="406" t="n"/>
      <c r="E154" s="415" t="n"/>
      <c r="F154" s="416" t="n"/>
      <c r="G154" s="230">
        <f>SUM(G80:G153)</f>
        <v/>
      </c>
      <c r="H154" s="220">
        <f>G154/$G$155</f>
        <v/>
      </c>
      <c r="I154" s="217" t="n"/>
      <c r="J154" s="230">
        <f>SUM(J80:J153)</f>
        <v/>
      </c>
    </row>
    <row r="155" ht="14.25" customFormat="1" customHeight="1" s="375">
      <c r="A155" s="406" t="n"/>
      <c r="B155" s="406" t="n"/>
      <c r="C155" s="423" t="inlineStr">
        <is>
          <t>Итого по разделу «Материалы»</t>
        </is>
      </c>
      <c r="D155" s="419" t="n"/>
      <c r="E155" s="420" t="n"/>
      <c r="F155" s="421" t="n"/>
      <c r="G155" s="327">
        <f>G79+G154</f>
        <v/>
      </c>
      <c r="H155" s="323">
        <f>G155/$G$155</f>
        <v/>
      </c>
      <c r="I155" s="327" t="n"/>
      <c r="J155" s="327">
        <f>J79+J154</f>
        <v/>
      </c>
      <c r="K155" s="343" t="n"/>
    </row>
    <row r="156" ht="14.25" customFormat="1" customHeight="1" s="375">
      <c r="A156" s="406" t="n"/>
      <c r="B156" s="406" t="n"/>
      <c r="C156" s="418" t="inlineStr">
        <is>
          <t>ИТОГО ПО РМ</t>
        </is>
      </c>
      <c r="D156" s="419" t="n"/>
      <c r="E156" s="420" t="n"/>
      <c r="F156" s="421" t="n"/>
      <c r="G156" s="327">
        <f>G14+G59+G155</f>
        <v/>
      </c>
      <c r="H156" s="422" t="n"/>
      <c r="I156" s="327" t="n"/>
      <c r="J156" s="327">
        <f>J14+J59+J155</f>
        <v/>
      </c>
    </row>
    <row r="157" ht="14.25" customFormat="1" customHeight="1" s="375">
      <c r="A157" s="406" t="n"/>
      <c r="B157" s="406" t="n"/>
      <c r="C157" s="418" t="inlineStr">
        <is>
          <t>Накладные расходы</t>
        </is>
      </c>
      <c r="D157" s="340">
        <f>ROUND(G157/(G$16+$G$14),2)</f>
        <v/>
      </c>
      <c r="E157" s="420" t="n"/>
      <c r="F157" s="421" t="n"/>
      <c r="G157" s="327">
        <f>15454.63+1163.36</f>
        <v/>
      </c>
      <c r="H157" s="422" t="n"/>
      <c r="I157" s="327" t="n"/>
      <c r="J157" s="327">
        <f>ROUND(D157*(J14+J16),2)</f>
        <v/>
      </c>
    </row>
    <row r="158" ht="14.25" customFormat="1" customHeight="1" s="375">
      <c r="A158" s="406" t="n"/>
      <c r="B158" s="406" t="n"/>
      <c r="C158" s="418" t="inlineStr">
        <is>
          <t>Сметная прибыль</t>
        </is>
      </c>
      <c r="D158" s="340">
        <f>ROUND(G158/(G$14+G$16),2)</f>
        <v/>
      </c>
      <c r="E158" s="420" t="n"/>
      <c r="F158" s="421" t="n"/>
      <c r="G158" s="327">
        <f>9508.21+631.19</f>
        <v/>
      </c>
      <c r="H158" s="422" t="n"/>
      <c r="I158" s="327" t="n"/>
      <c r="J158" s="327">
        <f>ROUND(D158*(J14+J16),2)</f>
        <v/>
      </c>
    </row>
    <row r="159" ht="14.25" customFormat="1" customHeight="1" s="375">
      <c r="A159" s="406" t="n"/>
      <c r="B159" s="406" t="n"/>
      <c r="C159" s="418" t="inlineStr">
        <is>
          <t>Итого СМР (с НР и СП)</t>
        </is>
      </c>
      <c r="D159" s="419" t="n"/>
      <c r="E159" s="420" t="n"/>
      <c r="F159" s="421" t="n"/>
      <c r="G159" s="327">
        <f>ROUND((G14+G59+G155+G157+G158),2)</f>
        <v/>
      </c>
      <c r="H159" s="422" t="n"/>
      <c r="I159" s="327" t="n"/>
      <c r="J159" s="327">
        <f>ROUND((J14+J59+J155+J157+J158),2)</f>
        <v/>
      </c>
    </row>
    <row r="160" ht="14.25" customFormat="1" customHeight="1" s="375">
      <c r="A160" s="406" t="n"/>
      <c r="B160" s="406" t="n"/>
      <c r="C160" s="418" t="inlineStr">
        <is>
          <t>ВСЕГО СМР + ОБОРУДОВАНИЕ</t>
        </is>
      </c>
      <c r="D160" s="419" t="n"/>
      <c r="E160" s="420" t="n"/>
      <c r="F160" s="421" t="n"/>
      <c r="G160" s="327">
        <f>G159+G65</f>
        <v/>
      </c>
      <c r="H160" s="422" t="n"/>
      <c r="I160" s="327" t="n"/>
      <c r="J160" s="327">
        <f>J159+J65</f>
        <v/>
      </c>
    </row>
    <row r="161" ht="14.25" customFormat="1" customHeight="1" s="375">
      <c r="A161" s="406" t="n"/>
      <c r="B161" s="406" t="n"/>
      <c r="C161" s="418" t="inlineStr">
        <is>
          <t>ИТОГО ПОКАЗАТЕЛЬ НА ЕД. ИЗМ.</t>
        </is>
      </c>
      <c r="D161" s="419" t="inlineStr">
        <is>
          <t>ед.</t>
        </is>
      </c>
      <c r="E161" s="420" t="n">
        <v>1</v>
      </c>
      <c r="F161" s="421" t="n"/>
      <c r="G161" s="327">
        <f>G160/E161</f>
        <v/>
      </c>
      <c r="H161" s="422" t="n"/>
      <c r="I161" s="327" t="n"/>
      <c r="J161" s="327">
        <f>J160/E161</f>
        <v/>
      </c>
    </row>
    <row r="162">
      <c r="C162" s="341" t="n"/>
      <c r="D162" s="341" t="n"/>
      <c r="E162" s="341" t="n"/>
      <c r="F162" s="341" t="n"/>
      <c r="G162" s="341" t="n"/>
      <c r="H162" s="341" t="n"/>
      <c r="I162" s="341" t="n"/>
      <c r="J162" s="341" t="n"/>
    </row>
    <row r="163" ht="14.25" customFormat="1" customHeight="1" s="375">
      <c r="A163" s="365" t="inlineStr">
        <is>
          <t>Составил ______________________     Е. М. Добровольская</t>
        </is>
      </c>
      <c r="C163" s="341" t="n"/>
      <c r="D163" s="341" t="n"/>
      <c r="E163" s="341" t="n"/>
      <c r="F163" s="341" t="n"/>
      <c r="G163" s="341" t="n"/>
      <c r="H163" s="341" t="n"/>
      <c r="I163" s="341" t="n"/>
      <c r="J163" s="341" t="n"/>
    </row>
    <row r="164" ht="14.25" customFormat="1" customHeight="1" s="375">
      <c r="A164" s="376" t="inlineStr">
        <is>
          <t xml:space="preserve">                         (подпись, инициалы, фамилия)</t>
        </is>
      </c>
      <c r="C164" s="341" t="n"/>
      <c r="D164" s="341" t="n"/>
      <c r="E164" s="341" t="n"/>
      <c r="F164" s="341" t="n"/>
      <c r="G164" s="341" t="n"/>
      <c r="H164" s="341" t="n"/>
      <c r="I164" s="341" t="n"/>
      <c r="J164" s="341" t="n"/>
    </row>
    <row r="165" ht="14.25" customFormat="1" customHeight="1" s="375">
      <c r="A165" s="365" t="n"/>
    </row>
    <row r="166" ht="14.25" customFormat="1" customHeight="1" s="375">
      <c r="A166" s="365" t="inlineStr">
        <is>
          <t>Проверил ______________________        А.В. Костянецкая</t>
        </is>
      </c>
    </row>
    <row r="167" ht="14.25" customFormat="1" customHeight="1" s="375">
      <c r="A167" s="376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A8:H8"/>
    <mergeCell ref="B67:H67"/>
    <mergeCell ref="F9:G9"/>
    <mergeCell ref="B61:H6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A16" sqref="A16"/>
    </sheetView>
  </sheetViews>
  <sheetFormatPr baseColWidth="8" defaultRowHeight="15"/>
  <cols>
    <col width="5.7109375" customWidth="1" style="364" min="1" max="1"/>
    <col width="17.5703125" customWidth="1" style="364" min="2" max="2"/>
    <col width="39.140625" customWidth="1" style="364" min="3" max="3"/>
    <col width="10.7109375" customWidth="1" style="364" min="4" max="4"/>
    <col width="13.85546875" customWidth="1" style="364" min="5" max="5"/>
    <col width="13.28515625" customWidth="1" style="364" min="6" max="6"/>
    <col width="14.140625" customWidth="1" style="364" min="7" max="7"/>
  </cols>
  <sheetData>
    <row r="1">
      <c r="A1" s="428" t="inlineStr">
        <is>
          <t>Приложение №6</t>
        </is>
      </c>
    </row>
    <row r="2" ht="21.75" customHeight="1" s="364">
      <c r="A2" s="428" t="n"/>
      <c r="B2" s="428" t="n"/>
      <c r="C2" s="428" t="n"/>
      <c r="D2" s="428" t="n"/>
      <c r="E2" s="428" t="n"/>
      <c r="F2" s="428" t="n"/>
      <c r="G2" s="428" t="n"/>
    </row>
    <row r="3">
      <c r="A3" s="377" t="inlineStr">
        <is>
          <t>Расчет стоимости оборудования</t>
        </is>
      </c>
    </row>
    <row r="4" ht="25.5" customHeight="1" s="364">
      <c r="A4" s="380" t="inlineStr">
        <is>
          <t>Наименование разрабатываемого показателя УНЦ — Переходные пункты ВЛ-КЛ. Открытый без разъединителей 330 кВ</t>
        </is>
      </c>
    </row>
    <row r="5">
      <c r="A5" s="365" t="n"/>
      <c r="B5" s="365" t="n"/>
      <c r="C5" s="365" t="n"/>
      <c r="D5" s="365" t="n"/>
      <c r="E5" s="365" t="n"/>
      <c r="F5" s="365" t="n"/>
      <c r="G5" s="365" t="n"/>
    </row>
    <row r="6" ht="30" customHeight="1" s="364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06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79" t="n"/>
    </row>
    <row r="7">
      <c r="A7" s="481" t="n"/>
      <c r="B7" s="481" t="n"/>
      <c r="C7" s="481" t="n"/>
      <c r="D7" s="481" t="n"/>
      <c r="E7" s="481" t="n"/>
      <c r="F7" s="406" t="inlineStr">
        <is>
          <t>на ед. изм.</t>
        </is>
      </c>
      <c r="G7" s="406" t="inlineStr">
        <is>
          <t>общая</t>
        </is>
      </c>
    </row>
    <row r="8">
      <c r="A8" s="406" t="n">
        <v>1</v>
      </c>
      <c r="B8" s="406" t="n">
        <v>2</v>
      </c>
      <c r="C8" s="406" t="n">
        <v>3</v>
      </c>
      <c r="D8" s="406" t="n">
        <v>4</v>
      </c>
      <c r="E8" s="406" t="n">
        <v>5</v>
      </c>
      <c r="F8" s="406" t="n">
        <v>6</v>
      </c>
      <c r="G8" s="406" t="n">
        <v>7</v>
      </c>
    </row>
    <row r="9" ht="15" customHeight="1" s="364">
      <c r="A9" s="295" t="n"/>
      <c r="B9" s="414" t="inlineStr">
        <is>
          <t>ИНЖЕНЕРНОЕ ОБОРУДОВАНИЕ</t>
        </is>
      </c>
      <c r="C9" s="478" t="n"/>
      <c r="D9" s="478" t="n"/>
      <c r="E9" s="478" t="n"/>
      <c r="F9" s="478" t="n"/>
      <c r="G9" s="479" t="n"/>
    </row>
    <row r="10" ht="27" customHeight="1" s="364">
      <c r="A10" s="406" t="n"/>
      <c r="B10" s="396" t="n"/>
      <c r="C10" s="414" t="inlineStr">
        <is>
          <t>ИТОГО ИНЖЕНЕРНОЕ ОБОРУДОВАНИЕ</t>
        </is>
      </c>
      <c r="D10" s="396" t="n"/>
      <c r="E10" s="148" t="n"/>
      <c r="F10" s="416" t="n"/>
      <c r="G10" s="416" t="n">
        <v>0</v>
      </c>
    </row>
    <row r="11">
      <c r="A11" s="406" t="n"/>
      <c r="B11" s="414" t="inlineStr">
        <is>
          <t>ТЕХНОЛОГИЧЕСКОЕ ОБОРУДОВАНИЕ</t>
        </is>
      </c>
      <c r="C11" s="478" t="n"/>
      <c r="D11" s="478" t="n"/>
      <c r="E11" s="478" t="n"/>
      <c r="F11" s="478" t="n"/>
      <c r="G11" s="479" t="n"/>
    </row>
    <row r="12">
      <c r="A12" s="406" t="n">
        <v>1</v>
      </c>
      <c r="B12" s="414">
        <f>'Прил.5 Расчет СМР и ОБ'!B62</f>
        <v/>
      </c>
      <c r="C12" s="414">
        <f>'Прил.5 Расчет СМР и ОБ'!C62</f>
        <v/>
      </c>
      <c r="D12" s="406">
        <f>'Прил.5 Расчет СМР и ОБ'!D62</f>
        <v/>
      </c>
      <c r="E12" s="219">
        <f>'Прил.5 Расчет СМР и ОБ'!E62</f>
        <v/>
      </c>
      <c r="F12" s="217">
        <f>'Прил.5 Расчет СМР и ОБ'!F62</f>
        <v/>
      </c>
      <c r="G12" s="217">
        <f>ROUND(E12*F12,2)</f>
        <v/>
      </c>
    </row>
    <row r="13" ht="25.5" customHeight="1" s="364">
      <c r="A13" s="406" t="n"/>
      <c r="B13" s="414" t="n"/>
      <c r="C13" s="414" t="inlineStr">
        <is>
          <t>ИТОГО ТЕХНОЛОГИЧЕСКОЕ ОБОРУДОВАНИЕ</t>
        </is>
      </c>
      <c r="D13" s="414" t="n"/>
      <c r="E13" s="432" t="n"/>
      <c r="F13" s="416" t="n"/>
      <c r="G13" s="217">
        <f>SUM(G12:G12)</f>
        <v/>
      </c>
    </row>
    <row r="14" ht="19.5" customHeight="1" s="364">
      <c r="A14" s="406" t="n"/>
      <c r="B14" s="414" t="n"/>
      <c r="C14" s="414" t="inlineStr">
        <is>
          <t>Всего по разделу «Оборудование»</t>
        </is>
      </c>
      <c r="D14" s="414" t="n"/>
      <c r="E14" s="432" t="n"/>
      <c r="F14" s="416" t="n"/>
      <c r="G14" s="217">
        <f>G10+G13</f>
        <v/>
      </c>
    </row>
    <row r="15">
      <c r="A15" s="373" t="n"/>
      <c r="B15" s="374" t="n"/>
      <c r="C15" s="373" t="n"/>
      <c r="D15" s="373" t="n"/>
      <c r="E15" s="373" t="n"/>
      <c r="F15" s="373" t="n"/>
      <c r="G15" s="373" t="n"/>
    </row>
    <row r="16">
      <c r="A16" s="365" t="inlineStr">
        <is>
          <t>Составил ______________________    Е. М. Добровольская</t>
        </is>
      </c>
      <c r="B16" s="375" t="n"/>
      <c r="C16" s="375" t="n"/>
      <c r="D16" s="373" t="n"/>
      <c r="E16" s="373" t="n"/>
      <c r="F16" s="373" t="n"/>
      <c r="G16" s="373" t="n"/>
    </row>
    <row r="17">
      <c r="A17" s="376" t="inlineStr">
        <is>
          <t xml:space="preserve">                         (подпись, инициалы, фамилия)</t>
        </is>
      </c>
      <c r="B17" s="375" t="n"/>
      <c r="C17" s="375" t="n"/>
      <c r="D17" s="373" t="n"/>
      <c r="E17" s="373" t="n"/>
      <c r="F17" s="373" t="n"/>
      <c r="G17" s="373" t="n"/>
    </row>
    <row r="18">
      <c r="A18" s="365" t="n"/>
      <c r="B18" s="375" t="n"/>
      <c r="C18" s="375" t="n"/>
      <c r="D18" s="373" t="n"/>
      <c r="E18" s="373" t="n"/>
      <c r="F18" s="373" t="n"/>
      <c r="G18" s="373" t="n"/>
    </row>
    <row r="19">
      <c r="A19" s="365" t="inlineStr">
        <is>
          <t>Проверил ______________________        А.В. Костянецкая</t>
        </is>
      </c>
      <c r="B19" s="375" t="n"/>
      <c r="C19" s="375" t="n"/>
      <c r="D19" s="373" t="n"/>
      <c r="E19" s="373" t="n"/>
      <c r="F19" s="373" t="n"/>
      <c r="G19" s="373" t="n"/>
    </row>
    <row r="20">
      <c r="A20" s="376" t="inlineStr">
        <is>
          <t xml:space="preserve">                        (подпись, инициалы, фамилия)</t>
        </is>
      </c>
      <c r="B20" s="375" t="n"/>
      <c r="C20" s="375" t="n"/>
      <c r="D20" s="373" t="n"/>
      <c r="E20" s="373" t="n"/>
      <c r="F20" s="373" t="n"/>
      <c r="G20" s="3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364" min="1" max="1"/>
    <col width="29.7109375" customWidth="1" style="364" min="2" max="2"/>
    <col width="35" customWidth="1" style="364" min="3" max="3"/>
    <col width="27.5703125" customWidth="1" style="364" min="4" max="4"/>
    <col width="24.85546875" customWidth="1" style="364" min="5" max="5"/>
    <col width="8.85546875" customWidth="1" style="364" min="6" max="6"/>
  </cols>
  <sheetData>
    <row r="1">
      <c r="B1" s="365" t="n"/>
      <c r="C1" s="365" t="n"/>
      <c r="D1" s="428" t="inlineStr">
        <is>
          <t>Приложение №7</t>
        </is>
      </c>
    </row>
    <row r="2">
      <c r="A2" s="428" t="n"/>
      <c r="B2" s="428" t="n"/>
      <c r="C2" s="428" t="n"/>
      <c r="D2" s="428" t="n"/>
    </row>
    <row r="3" ht="24.75" customHeight="1" s="364">
      <c r="A3" s="377" t="inlineStr">
        <is>
          <t>Расчет показателя УНЦ</t>
        </is>
      </c>
    </row>
    <row r="4" ht="24.75" customHeight="1" s="364">
      <c r="A4" s="377" t="n"/>
      <c r="B4" s="377" t="n"/>
      <c r="C4" s="377" t="n"/>
      <c r="D4" s="377" t="n"/>
    </row>
    <row r="5" ht="63" customHeight="1" s="364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</f>
        <v/>
      </c>
    </row>
    <row r="6" ht="19.9" customHeight="1" s="364">
      <c r="A6" s="380" t="inlineStr">
        <is>
          <t>Единица измерения  — 1 ВЛ</t>
        </is>
      </c>
      <c r="D6" s="380" t="n"/>
    </row>
    <row r="7">
      <c r="A7" s="365" t="n"/>
      <c r="B7" s="365" t="n"/>
      <c r="C7" s="365" t="n"/>
      <c r="D7" s="365" t="n"/>
    </row>
    <row r="8" ht="14.45" customHeight="1" s="364">
      <c r="A8" s="393" t="inlineStr">
        <is>
          <t>Код показателя</t>
        </is>
      </c>
      <c r="B8" s="393" t="inlineStr">
        <is>
          <t>Наименование показателя</t>
        </is>
      </c>
      <c r="C8" s="393" t="inlineStr">
        <is>
          <t>Наименование РМ, входящих в состав показателя</t>
        </is>
      </c>
      <c r="D8" s="393" t="inlineStr">
        <is>
          <t>Норматив цены на 01.01.2023, тыс.руб.</t>
        </is>
      </c>
    </row>
    <row r="9" ht="15" customHeight="1" s="364">
      <c r="A9" s="481" t="n"/>
      <c r="B9" s="481" t="n"/>
      <c r="C9" s="481" t="n"/>
      <c r="D9" s="481" t="n"/>
    </row>
    <row r="10">
      <c r="A10" s="406" t="n">
        <v>1</v>
      </c>
      <c r="B10" s="406" t="n">
        <v>2</v>
      </c>
      <c r="C10" s="406" t="n">
        <v>3</v>
      </c>
      <c r="D10" s="406" t="n">
        <v>4</v>
      </c>
    </row>
    <row r="11" ht="55.5" customHeight="1" s="364">
      <c r="A11" s="406" t="inlineStr">
        <is>
          <t>Ж1-04-2</t>
        </is>
      </c>
      <c r="B11" s="406" t="inlineStr">
        <is>
          <t>УНЦ переходных пунктов ВЛ-КЛ</t>
        </is>
      </c>
      <c r="C11" s="370">
        <f>D5</f>
        <v/>
      </c>
      <c r="D11" s="371">
        <f>'Прил.4 РМ'!C41/1000</f>
        <v/>
      </c>
      <c r="E11" s="372" t="n"/>
    </row>
    <row r="12">
      <c r="A12" s="373" t="n"/>
      <c r="B12" s="374" t="n"/>
      <c r="C12" s="373" t="n"/>
      <c r="D12" s="373" t="n"/>
    </row>
    <row r="13">
      <c r="A13" s="365" t="inlineStr">
        <is>
          <t>Составил ______________________        Е. М. Добровольская</t>
        </is>
      </c>
      <c r="B13" s="375" t="n"/>
      <c r="C13" s="375" t="n"/>
      <c r="D13" s="373" t="n"/>
    </row>
    <row r="14">
      <c r="A14" s="376" t="inlineStr">
        <is>
          <t xml:space="preserve">                         (подпись, инициалы, фамилия)</t>
        </is>
      </c>
      <c r="B14" s="375" t="n"/>
      <c r="C14" s="375" t="n"/>
      <c r="D14" s="373" t="n"/>
    </row>
    <row r="15">
      <c r="A15" s="365" t="n"/>
      <c r="B15" s="375" t="n"/>
      <c r="C15" s="375" t="n"/>
      <c r="D15" s="373" t="n"/>
    </row>
    <row r="16">
      <c r="A16" s="365" t="inlineStr">
        <is>
          <t>Проверил ______________________        А.В. Костянецкая</t>
        </is>
      </c>
      <c r="B16" s="375" t="n"/>
      <c r="C16" s="375" t="n"/>
      <c r="D16" s="373" t="n"/>
    </row>
    <row r="17">
      <c r="A17" s="376" t="inlineStr">
        <is>
          <t xml:space="preserve">                        (подпись, инициалы, фамилия)</t>
        </is>
      </c>
      <c r="B17" s="375" t="n"/>
      <c r="C17" s="375" t="n"/>
      <c r="D17" s="3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baseColWidth="8" defaultRowHeight="15"/>
  <cols>
    <col width="9.140625" customWidth="1" style="364" min="1" max="1"/>
    <col width="40.7109375" customWidth="1" style="364" min="2" max="2"/>
    <col width="37" customWidth="1" style="364" min="3" max="3"/>
    <col width="32" customWidth="1" style="364" min="4" max="4"/>
    <col width="9.140625" customWidth="1" style="364" min="5" max="5"/>
  </cols>
  <sheetData>
    <row r="4" ht="15.75" customHeight="1" s="364">
      <c r="B4" s="384" t="inlineStr">
        <is>
          <t>Приложение № 10</t>
        </is>
      </c>
    </row>
    <row r="5" ht="18.75" customHeight="1" s="364">
      <c r="B5" s="190" t="n"/>
    </row>
    <row r="6" ht="15.75" customHeight="1" s="364">
      <c r="B6" s="385" t="inlineStr">
        <is>
          <t>Используемые индексы изменений сметной стоимости и нормы сопутствующих затрат</t>
        </is>
      </c>
    </row>
    <row r="7">
      <c r="B7" s="434" t="n"/>
    </row>
    <row r="8">
      <c r="B8" s="434" t="n"/>
      <c r="C8" s="434" t="n"/>
      <c r="D8" s="434" t="n"/>
      <c r="E8" s="434" t="n"/>
    </row>
    <row r="9" ht="47.25" customHeight="1" s="364">
      <c r="B9" s="393" t="inlineStr">
        <is>
          <t>Наименование индекса / норм сопутствующих затрат</t>
        </is>
      </c>
      <c r="C9" s="393" t="inlineStr">
        <is>
          <t>Дата применения и обоснование индекса / норм сопутствующих затрат</t>
        </is>
      </c>
      <c r="D9" s="393" t="inlineStr">
        <is>
          <t>Размер индекса / норма сопутствующих затрат</t>
        </is>
      </c>
    </row>
    <row r="10" ht="15.75" customHeight="1" s="364">
      <c r="B10" s="393" t="n">
        <v>1</v>
      </c>
      <c r="C10" s="393" t="n">
        <v>2</v>
      </c>
      <c r="D10" s="393" t="n">
        <v>3</v>
      </c>
    </row>
    <row r="11" ht="45" customHeight="1" s="364">
      <c r="B11" s="393" t="inlineStr">
        <is>
          <t xml:space="preserve">Индекс изменения сметной стоимости на 1 квартал 2023 года. ОЗП </t>
        </is>
      </c>
      <c r="C11" s="393" t="inlineStr">
        <is>
          <t>Письмо Минстроя России от 01.04.2023г. №17772-ИФ/09 прил.9</t>
        </is>
      </c>
      <c r="D11" s="393" t="n">
        <v>46.83</v>
      </c>
    </row>
    <row r="12" ht="31.5" customHeight="1" s="364">
      <c r="B12" s="393" t="inlineStr">
        <is>
          <t>Индекс изменения сметной стоимости на 1 квартал 2023 года. ЭМ</t>
        </is>
      </c>
      <c r="C12" s="393" t="inlineStr">
        <is>
          <t>Письмо Минстроя России от 01.04.2023г. №17772-ИФ/09 прил.9</t>
        </is>
      </c>
      <c r="D12" s="393" t="n">
        <v>11.79</v>
      </c>
    </row>
    <row r="13" ht="31.5" customHeight="1" s="364">
      <c r="B13" s="393" t="inlineStr">
        <is>
          <t>Индекс изменения сметной стоимости на 1 квартал 2023 года. МАТ</t>
        </is>
      </c>
      <c r="C13" s="393" t="inlineStr">
        <is>
          <t>Письмо Минстроя России от 01.04.2023г. №17772-ИФ/09 прил.9</t>
        </is>
      </c>
      <c r="D13" s="393" t="n">
        <v>9.140000000000001</v>
      </c>
    </row>
    <row r="14" ht="31.5" customHeight="1" s="364">
      <c r="B14" s="39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3" t="n">
        <v>6.26</v>
      </c>
    </row>
    <row r="15" ht="89.25" customHeight="1" s="364">
      <c r="B15" s="393" t="inlineStr">
        <is>
          <t>Временные здания и сооружения</t>
        </is>
      </c>
      <c r="C15" s="3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64">
      <c r="B16" s="393" t="inlineStr">
        <is>
          <t>Дополнительные затраты при производстве строительно-монтажных работ в зимнее время</t>
        </is>
      </c>
      <c r="C16" s="3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64">
      <c r="B17" s="393" t="inlineStr">
        <is>
          <t>Строительный контроль</t>
        </is>
      </c>
      <c r="C17" s="39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4">
      <c r="B18" s="393" t="inlineStr">
        <is>
          <t>Авторский надзор - 0,2%</t>
        </is>
      </c>
      <c r="C18" s="393" t="inlineStr">
        <is>
          <t>Приказ от 4.08.2020 № 421/пр п.173</t>
        </is>
      </c>
      <c r="D18" s="193" t="n">
        <v>0.002</v>
      </c>
    </row>
    <row r="19" ht="24" customHeight="1" s="364">
      <c r="B19" s="393" t="inlineStr">
        <is>
          <t>Непредвиденные расходы</t>
        </is>
      </c>
      <c r="C19" s="393" t="inlineStr">
        <is>
          <t>Приказ от 4.08.2020 № 421/пр п.179</t>
        </is>
      </c>
      <c r="D19" s="193" t="n">
        <v>0.03</v>
      </c>
    </row>
    <row r="20" ht="18.75" customHeight="1" s="364">
      <c r="B20" s="269" t="n"/>
    </row>
    <row r="21" ht="18.75" customHeight="1" s="364">
      <c r="B21" s="269" t="n"/>
    </row>
    <row r="22" ht="18.75" customHeight="1" s="364">
      <c r="B22" s="269" t="n"/>
    </row>
    <row r="23" ht="18.75" customHeight="1" s="364">
      <c r="B23" s="269" t="n"/>
    </row>
    <row r="26">
      <c r="B26" s="365" t="inlineStr">
        <is>
          <t>Составил ______________________        Е. М. Добровольская</t>
        </is>
      </c>
      <c r="C26" s="375" t="n"/>
    </row>
    <row r="27">
      <c r="B27" s="376" t="inlineStr">
        <is>
          <t xml:space="preserve">                         (подпись, инициалы, фамилия)</t>
        </is>
      </c>
      <c r="C27" s="375" t="n"/>
    </row>
    <row r="28">
      <c r="B28" s="365" t="n"/>
      <c r="C28" s="375" t="n"/>
    </row>
    <row r="29">
      <c r="B29" s="365" t="inlineStr">
        <is>
          <t>Проверил ______________________        А.В. Костянецкая</t>
        </is>
      </c>
      <c r="C29" s="375" t="n"/>
    </row>
    <row r="30">
      <c r="B30" s="376" t="inlineStr">
        <is>
          <t xml:space="preserve">                        (подпись, инициалы, фамилия)</t>
        </is>
      </c>
      <c r="C30" s="3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30" sqref="C30"/>
    </sheetView>
  </sheetViews>
  <sheetFormatPr baseColWidth="8" defaultRowHeight="15"/>
  <cols>
    <col width="9.140625" customWidth="1" style="364" min="1" max="1"/>
    <col width="44.85546875" customWidth="1" style="364" min="2" max="2"/>
    <col width="13" customWidth="1" style="364" min="3" max="3"/>
    <col width="22.85546875" customWidth="1" style="364" min="4" max="4"/>
    <col width="21.5703125" customWidth="1" style="364" min="5" max="5"/>
    <col width="43.85546875" customWidth="1" style="364" min="6" max="6"/>
    <col width="9.140625" customWidth="1" style="364" min="7" max="7"/>
  </cols>
  <sheetData>
    <row r="2" ht="17.25" customHeight="1" s="364">
      <c r="A2" s="3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4">
      <c r="A4" s="173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6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5" t="n"/>
    </row>
    <row r="6" ht="15.75" customHeight="1" s="36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5" t="n"/>
    </row>
    <row r="7" ht="110.25" customHeight="1" s="36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3" t="inlineStr">
        <is>
          <t>С1ср</t>
        </is>
      </c>
      <c r="D7" s="393" t="inlineStr">
        <is>
          <t>-</t>
        </is>
      </c>
      <c r="E7" s="34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6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93" t="inlineStr">
        <is>
          <t>tср</t>
        </is>
      </c>
      <c r="D8" s="393" t="inlineStr">
        <is>
          <t>1973ч/12мес.</t>
        </is>
      </c>
      <c r="E8" s="34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4">
      <c r="A9" s="176" t="inlineStr">
        <is>
          <t>1.3</t>
        </is>
      </c>
      <c r="B9" s="180" t="inlineStr">
        <is>
          <t>Коэффициент увеличения</t>
        </is>
      </c>
      <c r="C9" s="393" t="inlineStr">
        <is>
          <t>Кув</t>
        </is>
      </c>
      <c r="D9" s="393" t="inlineStr">
        <is>
          <t>-</t>
        </is>
      </c>
      <c r="E9" s="342" t="n">
        <v>1</v>
      </c>
      <c r="F9" s="180" t="n"/>
      <c r="G9" s="182" t="n"/>
    </row>
    <row r="10" ht="15.75" customHeight="1" s="364">
      <c r="A10" s="176" t="inlineStr">
        <is>
          <t>1.4</t>
        </is>
      </c>
      <c r="B10" s="180" t="inlineStr">
        <is>
          <t>Средний разряд работ</t>
        </is>
      </c>
      <c r="C10" s="393" t="n"/>
      <c r="D10" s="393" t="n"/>
      <c r="E10" s="183" t="n">
        <v>3.6</v>
      </c>
      <c r="F10" s="180" t="inlineStr">
        <is>
          <t>РТМ</t>
        </is>
      </c>
      <c r="G10" s="182" t="n"/>
    </row>
    <row r="11" ht="78.75" customHeight="1" s="36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93" t="inlineStr">
        <is>
          <t>КТ</t>
        </is>
      </c>
      <c r="D11" s="393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64">
      <c r="A12" s="176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93" t="inlineStr">
        <is>
          <t>Кинф</t>
        </is>
      </c>
      <c r="D12" s="39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6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93" t="inlineStr">
        <is>
          <t>ФОТр.тек.</t>
        </is>
      </c>
      <c r="D13" s="39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2025-01-24T11:55:56Z</dcterms:modified>
  <cp:lastModifiedBy>REDMIBOOK</cp:lastModifiedBy>
  <cp:lastPrinted>2023-11-24T08:28:39Z</cp:lastPrinted>
</cp:coreProperties>
</file>