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стоим'!$A$1:$J$24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ОБ'!$A$1:$J$151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0"/>
    <numFmt numFmtId="172" formatCode="_-* #,##0.00\ _₽_-;\-* #,##0.00\ _₽_-;_-* &quot;-&quot;??\ _₽_-;_-@_-"/>
  </numFmts>
  <fonts count="37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0"/>
      <u val="single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Arial"/>
      <color rgb="FFFF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imes New Roman"/>
      <b val="1"/>
      <color rgb="FF000000"/>
      <sz val="10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7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 wrapText="1"/>
    </xf>
    <xf numFmtId="4" fontId="1" fillId="0" borderId="0" applyAlignment="1" pivotButton="0" quotePrefix="0" xfId="0">
      <alignment horizontal="left" vertical="top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23" fillId="0" borderId="0" applyAlignment="1" pivotButton="0" quotePrefix="0" xfId="0">
      <alignment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165" fontId="4" fillId="0" borderId="0" pivotButton="0" quotePrefix="0" xfId="0"/>
    <xf numFmtId="4" fontId="4" fillId="0" borderId="0" pivotButton="0" quotePrefix="0" xfId="0"/>
    <xf numFmtId="165" fontId="26" fillId="0" borderId="0" pivotButton="0" quotePrefix="0" xfId="0"/>
    <xf numFmtId="165" fontId="4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72" fontId="18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4" pivotButton="0" quotePrefix="0" xfId="0"/>
    <xf numFmtId="172" fontId="18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Normal="100" zoomScaleSheetLayoutView="100" workbookViewId="0">
      <selection activeCell="D29" sqref="D29"/>
    </sheetView>
  </sheetViews>
  <sheetFormatPr baseColWidth="8" defaultColWidth="9.140625" defaultRowHeight="15.75"/>
  <cols>
    <col width="9.140625" customWidth="1" style="322" min="1" max="2"/>
    <col width="58.7109375" customWidth="1" style="322" min="3" max="3"/>
    <col width="65.28515625" customWidth="1" style="322" min="4" max="4"/>
    <col width="37.42578125" customWidth="1" style="322" min="5" max="5"/>
    <col width="9.140625" customWidth="1" style="322" min="6" max="6"/>
  </cols>
  <sheetData>
    <row r="3">
      <c r="B3" s="379" t="inlineStr">
        <is>
          <t>Приложение № 1</t>
        </is>
      </c>
    </row>
    <row r="4">
      <c r="B4" s="380" t="inlineStr">
        <is>
          <t>Сравнительная таблица отбора объекта-представителя</t>
        </is>
      </c>
    </row>
    <row r="5" ht="84" customHeight="1" s="348">
      <c r="B5" s="38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8">
      <c r="B6" s="268" t="n"/>
      <c r="C6" s="268" t="n"/>
      <c r="D6" s="268" t="n"/>
    </row>
    <row r="7" ht="64.5" customHeight="1" s="348">
      <c r="B7" s="381" t="inlineStr">
        <is>
          <t>Наименование разрабатываемого показателя УНЦ — Большие переходы ВЛ. Длина перехода от 600 до 1000 м., 110 кВ</t>
        </is>
      </c>
    </row>
    <row r="8" ht="31.5" customHeight="1" s="348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48">
      <c r="B9" s="381" t="inlineStr">
        <is>
          <t>Единица измерения  — 1 переход</t>
        </is>
      </c>
    </row>
    <row r="10">
      <c r="B10" s="381" t="n"/>
    </row>
    <row r="11">
      <c r="B11" s="387" t="inlineStr">
        <is>
          <t>№ п/п</t>
        </is>
      </c>
      <c r="C11" s="387" t="inlineStr">
        <is>
          <t>Параметр</t>
        </is>
      </c>
      <c r="D11" s="387" t="inlineStr">
        <is>
          <t xml:space="preserve">Объект-представитель </t>
        </is>
      </c>
      <c r="E11" s="245" t="n"/>
    </row>
    <row r="12">
      <c r="B12" s="387" t="n">
        <v>1</v>
      </c>
      <c r="C12" s="326" t="inlineStr">
        <is>
          <t>Наименование объекта-представителя</t>
        </is>
      </c>
      <c r="D12" s="387" t="inlineStr">
        <is>
          <t>ВЛ 220 кВ Комсомольская – Селихино – Ванино</t>
        </is>
      </c>
    </row>
    <row r="13">
      <c r="B13" s="387" t="n">
        <v>2</v>
      </c>
      <c r="C13" s="326" t="inlineStr">
        <is>
          <t>Наименование субъекта Российской Федерации</t>
        </is>
      </c>
      <c r="D13" s="387" t="inlineStr">
        <is>
          <t>Хабаровский край</t>
        </is>
      </c>
    </row>
    <row r="14">
      <c r="B14" s="387" t="n">
        <v>3</v>
      </c>
      <c r="C14" s="326" t="inlineStr">
        <is>
          <t>Климатический район и подрайон</t>
        </is>
      </c>
      <c r="D14" s="387" t="inlineStr">
        <is>
          <t>IIГ</t>
        </is>
      </c>
    </row>
    <row r="15">
      <c r="B15" s="387" t="n">
        <v>4</v>
      </c>
      <c r="C15" s="326" t="inlineStr">
        <is>
          <t>Мощность объекта</t>
        </is>
      </c>
      <c r="D15" s="387" t="n">
        <v>1</v>
      </c>
    </row>
    <row r="16" ht="63" customHeight="1" s="348">
      <c r="B16" s="38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7" t="inlineStr">
        <is>
          <t>Провод АСТ 300/39 (7,368 км.);
Опора К220-1+5 - 2 шт (85,2 т)</t>
        </is>
      </c>
    </row>
    <row r="17" ht="47.25" customHeight="1" s="348">
      <c r="B17" s="38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67" t="n"/>
    </row>
    <row r="18">
      <c r="B18" s="244" t="inlineStr">
        <is>
          <t>6.1</t>
        </is>
      </c>
      <c r="C18" s="326" t="inlineStr">
        <is>
          <t>строительно-монтажные работы</t>
        </is>
      </c>
      <c r="D18" s="321">
        <f>'Прил.2 Расч стоим'!F14+'Прил.2 Расч стоим'!G14</f>
        <v/>
      </c>
    </row>
    <row r="19">
      <c r="B19" s="244" t="inlineStr">
        <is>
          <t>6.2</t>
        </is>
      </c>
      <c r="C19" s="326" t="inlineStr">
        <is>
          <t>оборудование и инвентарь</t>
        </is>
      </c>
      <c r="D19" s="321" t="n"/>
    </row>
    <row r="20">
      <c r="B20" s="244" t="inlineStr">
        <is>
          <t>6.3</t>
        </is>
      </c>
      <c r="C20" s="326" t="inlineStr">
        <is>
          <t>пусконаладочные работы</t>
        </is>
      </c>
      <c r="D20" s="321" t="n"/>
    </row>
    <row r="21">
      <c r="B21" s="244" t="inlineStr">
        <is>
          <t>6.4</t>
        </is>
      </c>
      <c r="C21" s="243" t="inlineStr">
        <is>
          <t>прочие и лимитированные затраты</t>
        </is>
      </c>
      <c r="D21" s="321">
        <f>D18*3.3%+(D18*3.3%+D18)*1.7%*0.9*1.05</f>
        <v/>
      </c>
    </row>
    <row r="22">
      <c r="B22" s="387" t="n">
        <v>7</v>
      </c>
      <c r="C22" s="243" t="inlineStr">
        <is>
          <t>Сопоставимый уровень цен</t>
        </is>
      </c>
      <c r="D22" s="370" t="inlineStr">
        <is>
          <t>I квартал 2018г</t>
        </is>
      </c>
      <c r="E22" s="241" t="n"/>
    </row>
    <row r="23" ht="63" customHeight="1" s="348">
      <c r="B23" s="387" t="n">
        <v>8</v>
      </c>
      <c r="C23" s="2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67" t="n"/>
    </row>
    <row r="24" ht="31.5" customHeight="1" s="348">
      <c r="B24" s="38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41" t="n"/>
    </row>
    <row r="25">
      <c r="B25" s="387" t="n">
        <v>10</v>
      </c>
      <c r="C25" s="326" t="inlineStr">
        <is>
          <t>Примечание</t>
        </is>
      </c>
      <c r="D25" s="387" t="n"/>
    </row>
    <row r="26">
      <c r="B26" s="239" t="n"/>
      <c r="C26" s="238" t="n"/>
      <c r="D26" s="238" t="n"/>
    </row>
    <row r="27" ht="37.5" customHeight="1" s="348">
      <c r="B27" s="319" t="n"/>
    </row>
    <row r="28">
      <c r="B28" s="322" t="inlineStr">
        <is>
          <t>Составил ______________________    Е. М. Добровольская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Normal="70" workbookViewId="0">
      <selection activeCell="E17" sqref="E17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1.140625" customWidth="1" style="322" min="9" max="9"/>
    <col width="16.5703125" customWidth="1" style="322" min="10" max="10"/>
    <col width="18" customWidth="1" style="322" min="11" max="11"/>
    <col width="9.140625" customWidth="1" style="322" min="12" max="12"/>
  </cols>
  <sheetData>
    <row r="3">
      <c r="B3" s="379" t="inlineStr">
        <is>
          <t>Приложение № 2</t>
        </is>
      </c>
      <c r="K3" s="319" t="n"/>
    </row>
    <row r="4">
      <c r="B4" s="380" t="inlineStr">
        <is>
          <t>Расчет стоимости основных видов работ для выбора объекта-представителя</t>
        </is>
      </c>
    </row>
    <row r="5">
      <c r="B5" s="246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</row>
    <row r="6" ht="29.25" customHeight="1" s="348">
      <c r="B6" s="388">
        <f>'Прил.1 Сравнит табл'!B7</f>
        <v/>
      </c>
      <c r="K6" s="319" t="n"/>
    </row>
    <row r="7" ht="15.75" customHeight="1" s="348">
      <c r="B7" s="389" t="inlineStr">
        <is>
          <t>Единица измерения  — 1 переход</t>
        </is>
      </c>
      <c r="K7" s="319" t="n"/>
    </row>
    <row r="8" ht="18.75" customHeight="1" s="348">
      <c r="B8" s="269" t="n"/>
    </row>
    <row r="9" ht="15.75" customHeight="1" s="348">
      <c r="B9" s="387" t="inlineStr">
        <is>
          <t>№ п/п</t>
        </is>
      </c>
      <c r="C9" s="38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7" t="inlineStr">
        <is>
          <t>Объект-представитель 1</t>
        </is>
      </c>
      <c r="E9" s="472" t="n"/>
      <c r="F9" s="472" t="n"/>
      <c r="G9" s="472" t="n"/>
      <c r="H9" s="472" t="n"/>
      <c r="I9" s="472" t="n"/>
      <c r="J9" s="473" t="n"/>
      <c r="K9" s="322" t="n"/>
    </row>
    <row r="10" ht="15.75" customHeight="1" s="348">
      <c r="B10" s="474" t="n"/>
      <c r="C10" s="474" t="n"/>
      <c r="D10" s="387" t="inlineStr">
        <is>
          <t>Номер сметы</t>
        </is>
      </c>
      <c r="E10" s="387" t="inlineStr">
        <is>
          <t>Наименование сметы</t>
        </is>
      </c>
      <c r="F10" s="387" t="inlineStr">
        <is>
          <t>Сметная стоимость в уровне цен 1 квартал 2018г. , тыс. руб.</t>
        </is>
      </c>
      <c r="G10" s="472" t="n"/>
      <c r="H10" s="472" t="n"/>
      <c r="I10" s="472" t="n"/>
      <c r="J10" s="473" t="n"/>
      <c r="K10" s="322" t="n"/>
    </row>
    <row r="11" ht="31.5" customHeight="1" s="348">
      <c r="B11" s="475" t="n"/>
      <c r="C11" s="475" t="n"/>
      <c r="D11" s="475" t="n"/>
      <c r="E11" s="475" t="n"/>
      <c r="F11" s="387" t="inlineStr">
        <is>
          <t>Строительные работы</t>
        </is>
      </c>
      <c r="G11" s="387" t="inlineStr">
        <is>
          <t>Монтажные работы</t>
        </is>
      </c>
      <c r="H11" s="387" t="inlineStr">
        <is>
          <t>Оборудование</t>
        </is>
      </c>
      <c r="I11" s="387" t="inlineStr">
        <is>
          <t>Прочее</t>
        </is>
      </c>
      <c r="J11" s="387" t="inlineStr">
        <is>
          <t>Всего</t>
        </is>
      </c>
      <c r="K11" s="322" t="n"/>
    </row>
    <row r="12" ht="31.5" customHeight="1" s="348">
      <c r="B12" s="324" t="n">
        <v>1</v>
      </c>
      <c r="C12" s="390">
        <f>'Прил.1 Сравнит табл'!D16</f>
        <v/>
      </c>
      <c r="D12" s="325" t="inlineStr">
        <is>
          <t>02-24-08</t>
        </is>
      </c>
      <c r="E12" s="326" t="inlineStr">
        <is>
          <t>Участок уг.105-уг.106А. Монтаж провода</t>
        </is>
      </c>
      <c r="F12" s="327" t="n">
        <v>2459.221</v>
      </c>
      <c r="G12" s="327" t="n"/>
      <c r="H12" s="327" t="n"/>
      <c r="I12" s="327" t="n"/>
      <c r="J12" s="328">
        <f>SUM(F12:I12)</f>
        <v/>
      </c>
      <c r="K12" s="322" t="n"/>
    </row>
    <row r="13" ht="47.25" customHeight="1" s="348">
      <c r="B13" s="324" t="n">
        <v>2</v>
      </c>
      <c r="C13" s="474" t="n"/>
      <c r="D13" s="325" t="inlineStr">
        <is>
          <t>02-24-34</t>
        </is>
      </c>
      <c r="E13" s="326" t="inlineStr">
        <is>
          <t xml:space="preserve"> БП через р. Тумнин уг.105-уг.106А. Строительные работы</t>
        </is>
      </c>
      <c r="F13" s="327" t="n">
        <v>31950.09799664</v>
      </c>
      <c r="G13" s="327" t="n"/>
      <c r="H13" s="327" t="n"/>
      <c r="I13" s="327" t="n"/>
      <c r="J13" s="328">
        <f>SUM(F13:I13)</f>
        <v/>
      </c>
      <c r="K13" s="322" t="n"/>
    </row>
    <row r="14" ht="15" customHeight="1" s="348">
      <c r="B14" s="386" t="inlineStr">
        <is>
          <t>Всего по объекту:</t>
        </is>
      </c>
      <c r="C14" s="472" t="n"/>
      <c r="D14" s="472" t="n"/>
      <c r="E14" s="473" t="n"/>
      <c r="F14" s="331">
        <f>SUM(F12:F13)</f>
        <v/>
      </c>
      <c r="G14" s="331">
        <f>SUM(G12:G13)</f>
        <v/>
      </c>
      <c r="H14" s="331">
        <f>SUM(H12:H13)</f>
        <v/>
      </c>
      <c r="I14" s="331" t="n"/>
      <c r="J14" s="331">
        <f>SUM(F14:I14)</f>
        <v/>
      </c>
      <c r="K14" s="322" t="n"/>
    </row>
    <row r="15" ht="15" customHeight="1" s="348">
      <c r="B15" s="386" t="inlineStr">
        <is>
          <t>Всего по объекту в сопоставимом уровне цен 1 квартал 2018г. :</t>
        </is>
      </c>
      <c r="C15" s="472" t="n"/>
      <c r="D15" s="472" t="n"/>
      <c r="E15" s="473" t="n"/>
      <c r="F15" s="331">
        <f>F14</f>
        <v/>
      </c>
      <c r="G15" s="331">
        <f>G14</f>
        <v/>
      </c>
      <c r="H15" s="331">
        <f>H14</f>
        <v/>
      </c>
      <c r="I15" s="331">
        <f>'Прил.1 Сравнит табл'!D21</f>
        <v/>
      </c>
      <c r="J15" s="331">
        <f>SUM(F15:I15)</f>
        <v/>
      </c>
      <c r="K15" s="329" t="n"/>
    </row>
    <row r="16" ht="15" customHeight="1" s="348">
      <c r="C16" s="336" t="n"/>
      <c r="D16" s="346" t="n"/>
      <c r="E16" s="346" t="n"/>
    </row>
    <row r="17" ht="15" customHeight="1" s="348">
      <c r="C17" s="336" t="n"/>
      <c r="D17" s="346" t="n"/>
      <c r="E17" s="346" t="n"/>
    </row>
    <row r="18" ht="15" customHeight="1" s="348">
      <c r="B18" s="322" t="n"/>
      <c r="C18" s="336" t="inlineStr">
        <is>
          <t>Составил ______________________     Е. М. Добровольская</t>
        </is>
      </c>
      <c r="D18" s="346" t="n"/>
      <c r="E18" s="346" t="n"/>
      <c r="F18" s="322" t="n"/>
      <c r="G18" s="322" t="n"/>
      <c r="H18" s="322" t="n"/>
      <c r="I18" s="322" t="n"/>
      <c r="J18" s="322" t="n"/>
      <c r="K18" s="322" t="n"/>
    </row>
    <row r="19" ht="15" customHeight="1" s="348">
      <c r="B19" s="322" t="n"/>
      <c r="C19" s="347" t="inlineStr">
        <is>
          <t xml:space="preserve">                         (подпись, инициалы, фамилия)</t>
        </is>
      </c>
      <c r="D19" s="346" t="n"/>
      <c r="E19" s="346" t="n"/>
      <c r="F19" s="322" t="n"/>
      <c r="G19" s="322" t="n"/>
      <c r="H19" s="322" t="n"/>
      <c r="I19" s="322" t="n"/>
      <c r="J19" s="322" t="n"/>
      <c r="K19" s="322" t="n"/>
    </row>
    <row r="20" ht="15" customHeight="1" s="348">
      <c r="B20" s="322" t="n"/>
      <c r="C20" s="336" t="n"/>
      <c r="D20" s="346" t="n"/>
      <c r="E20" s="346" t="n"/>
      <c r="F20" s="322" t="n"/>
      <c r="G20" s="322" t="n"/>
      <c r="H20" s="322" t="n"/>
      <c r="I20" s="322" t="n"/>
      <c r="J20" s="322" t="n"/>
      <c r="K20" s="322" t="n"/>
    </row>
    <row r="21" ht="15" customHeight="1" s="348">
      <c r="B21" s="322" t="n"/>
      <c r="C21" s="336" t="inlineStr">
        <is>
          <t>Проверил ______________________        А.В. Костянецкая</t>
        </is>
      </c>
      <c r="D21" s="346" t="n"/>
      <c r="E21" s="346" t="n"/>
      <c r="F21" s="322" t="n"/>
      <c r="G21" s="322" t="n"/>
      <c r="H21" s="322" t="n"/>
      <c r="I21" s="322" t="n"/>
      <c r="J21" s="322" t="n"/>
      <c r="K21" s="322" t="n"/>
    </row>
    <row r="22" ht="15" customHeight="1" s="348">
      <c r="B22" s="322" t="n"/>
      <c r="C22" s="347" t="inlineStr">
        <is>
          <t xml:space="preserve">                        (подпись, инициалы, фамилия)</t>
        </is>
      </c>
      <c r="D22" s="346" t="n"/>
      <c r="E22" s="346" t="n"/>
      <c r="F22" s="322" t="n"/>
      <c r="G22" s="322" t="n"/>
      <c r="H22" s="322" t="n"/>
      <c r="I22" s="322" t="n"/>
      <c r="J22" s="322" t="n"/>
      <c r="K22" s="322" t="n"/>
    </row>
    <row r="23" ht="15" customHeight="1" s="348"/>
    <row r="24" ht="15" customHeight="1" s="348"/>
  </sheetData>
  <mergeCells count="13">
    <mergeCell ref="B7:J7"/>
    <mergeCell ref="B3:J3"/>
    <mergeCell ref="D10:D11"/>
    <mergeCell ref="B4:K4"/>
    <mergeCell ref="D9:J9"/>
    <mergeCell ref="C12:C13"/>
    <mergeCell ref="F10:J10"/>
    <mergeCell ref="B15:E15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3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142"/>
  <sheetViews>
    <sheetView view="pageBreakPreview" topLeftCell="A114" zoomScale="85" zoomScaleSheetLayoutView="85" workbookViewId="0">
      <selection activeCell="D182" sqref="D182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16.5703125" customWidth="1" style="322" min="7" max="7"/>
    <col width="19.140625" customWidth="1" style="322" min="8" max="8"/>
    <col width="12.140625" customWidth="1" style="322" min="9" max="9"/>
    <col width="13.42578125" customWidth="1" style="348" min="10" max="10"/>
    <col width="10" customWidth="1" style="348" min="11" max="11"/>
  </cols>
  <sheetData>
    <row r="2" s="348">
      <c r="A2" s="322" t="n"/>
      <c r="B2" s="322" t="n"/>
      <c r="C2" s="322" t="n"/>
      <c r="D2" s="322" t="n"/>
      <c r="E2" s="322" t="n"/>
      <c r="F2" s="322" t="n"/>
      <c r="G2" s="322" t="n"/>
      <c r="H2" s="322" t="n"/>
      <c r="I2" s="322" t="n"/>
    </row>
    <row r="3">
      <c r="A3" s="379" t="inlineStr">
        <is>
          <t xml:space="preserve">Приложение № 3 </t>
        </is>
      </c>
    </row>
    <row r="4">
      <c r="A4" s="380" t="inlineStr">
        <is>
          <t>Объектная ресурсная ведомость</t>
        </is>
      </c>
    </row>
    <row r="5" ht="18.75" customHeight="1" s="348">
      <c r="A5" s="282" t="n"/>
      <c r="B5" s="282" t="n"/>
      <c r="C5" s="396" t="n"/>
    </row>
    <row r="6">
      <c r="A6" s="381" t="n"/>
    </row>
    <row r="7" ht="30" customHeight="1" s="348">
      <c r="A7" s="388">
        <f>'Прил.1 Сравнит табл'!B7</f>
        <v/>
      </c>
    </row>
    <row r="8">
      <c r="A8" s="389" t="n"/>
      <c r="B8" s="389" t="n"/>
      <c r="C8" s="389" t="n"/>
      <c r="D8" s="389" t="n"/>
      <c r="E8" s="389" t="n"/>
      <c r="F8" s="389" t="n"/>
      <c r="G8" s="389" t="n"/>
      <c r="H8" s="389" t="n"/>
    </row>
    <row r="9" ht="38.25" customHeight="1" s="348">
      <c r="A9" s="387" t="inlineStr">
        <is>
          <t>п/п</t>
        </is>
      </c>
      <c r="B9" s="387" t="inlineStr">
        <is>
          <t>№ЛСР</t>
        </is>
      </c>
      <c r="C9" s="387" t="inlineStr">
        <is>
          <t>Код ресурса</t>
        </is>
      </c>
      <c r="D9" s="387" t="inlineStr">
        <is>
          <t>Наименование ресурса</t>
        </is>
      </c>
      <c r="E9" s="387" t="inlineStr">
        <is>
          <t>Ед. изм.</t>
        </is>
      </c>
      <c r="F9" s="387" t="inlineStr">
        <is>
          <t>Кол-во единиц по данным объекта-представителя</t>
        </is>
      </c>
      <c r="G9" s="387" t="inlineStr">
        <is>
          <t>Сметная стоимость в ценах на 01.01.2000 (руб.)</t>
        </is>
      </c>
      <c r="H9" s="473" t="n"/>
    </row>
    <row r="10">
      <c r="A10" s="475" t="n"/>
      <c r="B10" s="475" t="n"/>
      <c r="C10" s="475" t="n"/>
      <c r="D10" s="475" t="n"/>
      <c r="E10" s="475" t="n"/>
      <c r="F10" s="475" t="n"/>
      <c r="G10" s="387" t="inlineStr">
        <is>
          <t>на ед.изм.</t>
        </is>
      </c>
      <c r="H10" s="387" t="inlineStr">
        <is>
          <t>общая</t>
        </is>
      </c>
    </row>
    <row r="11">
      <c r="A11" s="390" t="n">
        <v>1</v>
      </c>
      <c r="B11" s="390" t="n"/>
      <c r="C11" s="390" t="n">
        <v>2</v>
      </c>
      <c r="D11" s="390" t="inlineStr">
        <is>
          <t>З</t>
        </is>
      </c>
      <c r="E11" s="390" t="n">
        <v>4</v>
      </c>
      <c r="F11" s="390" t="n">
        <v>5</v>
      </c>
      <c r="G11" s="390" t="n">
        <v>6</v>
      </c>
      <c r="H11" s="390" t="n">
        <v>7</v>
      </c>
    </row>
    <row r="12" customFormat="1" s="249">
      <c r="A12" s="393" t="inlineStr">
        <is>
          <t>Затраты труда рабочих</t>
        </is>
      </c>
      <c r="B12" s="472" t="n"/>
      <c r="C12" s="472" t="n"/>
      <c r="D12" s="472" t="n"/>
      <c r="E12" s="473" t="n"/>
      <c r="F12" s="276">
        <f>SUM(F13:F26)</f>
        <v/>
      </c>
      <c r="G12" s="277" t="n"/>
      <c r="H12" s="276">
        <f>SUM(H13:H26)</f>
        <v/>
      </c>
      <c r="I12" s="476" t="n"/>
      <c r="J12" s="476" t="n"/>
    </row>
    <row r="13">
      <c r="A13" s="278" t="n">
        <v>1</v>
      </c>
      <c r="B13" s="252" t="n"/>
      <c r="C13" s="278" t="inlineStr">
        <is>
          <t>1-4-2</t>
        </is>
      </c>
      <c r="D13" s="279" t="inlineStr">
        <is>
          <t>Затраты труда рабочих (ср 4,2)</t>
        </is>
      </c>
      <c r="E13" s="427" t="inlineStr">
        <is>
          <t>чел.-ч</t>
        </is>
      </c>
      <c r="F13" s="273" t="n">
        <v>4515.06</v>
      </c>
      <c r="G13" s="275" t="n">
        <v>9.92</v>
      </c>
      <c r="H13" s="275">
        <f>ROUND(F13*G13,2)</f>
        <v/>
      </c>
    </row>
    <row r="14">
      <c r="A14" s="427" t="n">
        <v>2</v>
      </c>
      <c r="B14" s="252" t="n"/>
      <c r="C14" s="278" t="inlineStr">
        <is>
          <t>1-4-9</t>
        </is>
      </c>
      <c r="D14" s="279" t="inlineStr">
        <is>
          <t>Затраты труда рабочих (ср 4,9)</t>
        </is>
      </c>
      <c r="E14" s="427" t="inlineStr">
        <is>
          <t>чел.-ч</t>
        </is>
      </c>
      <c r="F14" s="273" t="n">
        <v>2343.17</v>
      </c>
      <c r="G14" s="275" t="n">
        <v>10.94</v>
      </c>
      <c r="H14" s="275">
        <f>ROUND(F14*G14,2)</f>
        <v/>
      </c>
    </row>
    <row r="15">
      <c r="A15" s="278" t="n">
        <v>3</v>
      </c>
      <c r="B15" s="252" t="n"/>
      <c r="C15" s="278" t="inlineStr">
        <is>
          <t>1-2-0</t>
        </is>
      </c>
      <c r="D15" s="279" t="inlineStr">
        <is>
          <t>Затраты труда рабочих (ср 2)</t>
        </is>
      </c>
      <c r="E15" s="427" t="inlineStr">
        <is>
          <t>чел.-ч</t>
        </is>
      </c>
      <c r="F15" s="273" t="n">
        <v>1598.43</v>
      </c>
      <c r="G15" s="275" t="n">
        <v>7.8</v>
      </c>
      <c r="H15" s="275">
        <f>ROUND(F15*G15,2)</f>
        <v/>
      </c>
    </row>
    <row r="16">
      <c r="A16" s="427" t="n">
        <v>4</v>
      </c>
      <c r="B16" s="252" t="n"/>
      <c r="C16" s="278" t="inlineStr">
        <is>
          <t>1-3-0</t>
        </is>
      </c>
      <c r="D16" s="279" t="inlineStr">
        <is>
          <t>Затраты труда рабочих (ср 3)</t>
        </is>
      </c>
      <c r="E16" s="427" t="inlineStr">
        <is>
          <t>чел.-ч</t>
        </is>
      </c>
      <c r="F16" s="273" t="n">
        <v>1274.54</v>
      </c>
      <c r="G16" s="275" t="n">
        <v>8.529999999999999</v>
      </c>
      <c r="H16" s="275">
        <f>ROUND(F16*G16,2)</f>
        <v/>
      </c>
    </row>
    <row r="17">
      <c r="A17" s="278" t="n">
        <v>5</v>
      </c>
      <c r="B17" s="252" t="n"/>
      <c r="C17" s="278" t="inlineStr">
        <is>
          <t>1-3-5</t>
        </is>
      </c>
      <c r="D17" s="279" t="inlineStr">
        <is>
          <t>Затраты труда рабочих (ср 3,5)</t>
        </is>
      </c>
      <c r="E17" s="427" t="inlineStr">
        <is>
          <t>чел.-ч</t>
        </is>
      </c>
      <c r="F17" s="273" t="n">
        <v>1026.95</v>
      </c>
      <c r="G17" s="275" t="n">
        <v>9.07</v>
      </c>
      <c r="H17" s="275">
        <f>ROUND(F17*G17,2)</f>
        <v/>
      </c>
    </row>
    <row r="18">
      <c r="A18" s="427" t="n">
        <v>6</v>
      </c>
      <c r="B18" s="252" t="n"/>
      <c r="C18" s="278" t="inlineStr">
        <is>
          <t>1-4-3</t>
        </is>
      </c>
      <c r="D18" s="279" t="inlineStr">
        <is>
          <t>Затраты труда рабочих (ср 4,3)</t>
        </is>
      </c>
      <c r="E18" s="427" t="inlineStr">
        <is>
          <t>чел.-ч</t>
        </is>
      </c>
      <c r="F18" s="273" t="n">
        <v>736.85</v>
      </c>
      <c r="G18" s="275" t="n">
        <v>10.06</v>
      </c>
      <c r="H18" s="275">
        <f>ROUND(F18*G18,2)</f>
        <v/>
      </c>
    </row>
    <row r="19">
      <c r="A19" s="278" t="n">
        <v>7</v>
      </c>
      <c r="B19" s="252" t="n"/>
      <c r="C19" s="278" t="inlineStr">
        <is>
          <t>1-3-9</t>
        </is>
      </c>
      <c r="D19" s="279" t="inlineStr">
        <is>
          <t>Затраты труда рабочих (ср 3,9)</t>
        </is>
      </c>
      <c r="E19" s="427" t="inlineStr">
        <is>
          <t>чел.-ч</t>
        </is>
      </c>
      <c r="F19" s="273" t="n">
        <v>314.44</v>
      </c>
      <c r="G19" s="275" t="n">
        <v>9.51</v>
      </c>
      <c r="H19" s="275">
        <f>ROUND(F19*G19,2)</f>
        <v/>
      </c>
    </row>
    <row r="20">
      <c r="A20" s="427" t="n">
        <v>8</v>
      </c>
      <c r="B20" s="252" t="n"/>
      <c r="C20" s="278" t="inlineStr">
        <is>
          <t>1-1-5</t>
        </is>
      </c>
      <c r="D20" s="279" t="inlineStr">
        <is>
          <t>Затраты труда рабочих (ср 1,5)</t>
        </is>
      </c>
      <c r="E20" s="427" t="inlineStr">
        <is>
          <t>чел.-ч</t>
        </is>
      </c>
      <c r="F20" s="273" t="n">
        <v>288.47</v>
      </c>
      <c r="G20" s="275" t="n">
        <v>7.5</v>
      </c>
      <c r="H20" s="275">
        <f>ROUND(F20*G20,2)</f>
        <v/>
      </c>
    </row>
    <row r="21">
      <c r="A21" s="278" t="n">
        <v>9</v>
      </c>
      <c r="B21" s="252" t="n"/>
      <c r="C21" s="278" t="inlineStr">
        <is>
          <t>1-2-2</t>
        </is>
      </c>
      <c r="D21" s="279" t="inlineStr">
        <is>
          <t>Затраты труда рабочих (ср 2,2)</t>
        </is>
      </c>
      <c r="E21" s="427" t="inlineStr">
        <is>
          <t>чел.-ч</t>
        </is>
      </c>
      <c r="F21" s="273" t="n">
        <v>78.95</v>
      </c>
      <c r="G21" s="275" t="n">
        <v>7.94</v>
      </c>
      <c r="H21" s="275">
        <f>ROUND(F21*G21,2)</f>
        <v/>
      </c>
    </row>
    <row r="22">
      <c r="A22" s="427" t="n">
        <v>10</v>
      </c>
      <c r="B22" s="252" t="n"/>
      <c r="C22" s="278" t="inlineStr">
        <is>
          <t>1-1-8</t>
        </is>
      </c>
      <c r="D22" s="279" t="inlineStr">
        <is>
          <t>Затраты труда рабочих (ср 1,8)</t>
        </is>
      </c>
      <c r="E22" s="427" t="inlineStr">
        <is>
          <t>чел.-ч</t>
        </is>
      </c>
      <c r="F22" s="273" t="n">
        <v>52.39</v>
      </c>
      <c r="G22" s="275" t="n">
        <v>7.68</v>
      </c>
      <c r="H22" s="275">
        <f>ROUND(F22*G22,2)</f>
        <v/>
      </c>
    </row>
    <row r="23">
      <c r="A23" s="278" t="n">
        <v>11</v>
      </c>
      <c r="B23" s="252" t="n"/>
      <c r="C23" s="278" t="inlineStr">
        <is>
          <t>1-4-0</t>
        </is>
      </c>
      <c r="D23" s="279" t="inlineStr">
        <is>
          <t>Затраты труда рабочих (ср 4)</t>
        </is>
      </c>
      <c r="E23" s="427" t="inlineStr">
        <is>
          <t>чел.-ч</t>
        </is>
      </c>
      <c r="F23" s="273" t="n">
        <v>22.28</v>
      </c>
      <c r="G23" s="275" t="n">
        <v>9.619999999999999</v>
      </c>
      <c r="H23" s="275">
        <f>ROUND(F23*G23,2)</f>
        <v/>
      </c>
    </row>
    <row r="24">
      <c r="A24" s="427" t="n">
        <v>12</v>
      </c>
      <c r="B24" s="252" t="n"/>
      <c r="C24" s="278" t="inlineStr">
        <is>
          <t>1-3-8</t>
        </is>
      </c>
      <c r="D24" s="279" t="inlineStr">
        <is>
          <t>Затраты труда рабочих (ср 3,8)</t>
        </is>
      </c>
      <c r="E24" s="427" t="inlineStr">
        <is>
          <t>чел.-ч</t>
        </is>
      </c>
      <c r="F24" s="273" t="n">
        <v>22.66</v>
      </c>
      <c r="G24" s="275" t="n">
        <v>9.4</v>
      </c>
      <c r="H24" s="275">
        <f>ROUND(F24*G24,2)</f>
        <v/>
      </c>
    </row>
    <row r="25">
      <c r="A25" s="278" t="n">
        <v>13</v>
      </c>
      <c r="B25" s="252" t="n"/>
      <c r="C25" s="278" t="inlineStr">
        <is>
          <t>1-5-4</t>
        </is>
      </c>
      <c r="D25" s="279" t="inlineStr">
        <is>
          <t>Затраты труда рабочих (ср 5,4)</t>
        </is>
      </c>
      <c r="E25" s="427" t="inlineStr">
        <is>
          <t>чел.-ч</t>
        </is>
      </c>
      <c r="F25" s="273" t="n">
        <v>1.5</v>
      </c>
      <c r="G25" s="275" t="n">
        <v>11.82</v>
      </c>
      <c r="H25" s="275">
        <f>ROUND(F25*G25,2)</f>
        <v/>
      </c>
    </row>
    <row r="26">
      <c r="A26" s="427" t="n">
        <v>14</v>
      </c>
      <c r="B26" s="252" t="n"/>
      <c r="C26" s="278" t="inlineStr">
        <is>
          <t>1-4-7</t>
        </is>
      </c>
      <c r="D26" s="279" t="inlineStr">
        <is>
          <t>Затраты труда рабочих (ср 4,7)</t>
        </is>
      </c>
      <c r="E26" s="427" t="inlineStr">
        <is>
          <t>чел.-ч</t>
        </is>
      </c>
      <c r="F26" s="273" t="n">
        <v>0.86</v>
      </c>
      <c r="G26" s="275" t="n">
        <v>10.65</v>
      </c>
      <c r="H26" s="275">
        <f>ROUND(F26*G26,2)</f>
        <v/>
      </c>
    </row>
    <row r="27">
      <c r="A27" s="392" t="inlineStr">
        <is>
          <t>Затраты труда машинистов</t>
        </is>
      </c>
      <c r="B27" s="472" t="n"/>
      <c r="C27" s="472" t="n"/>
      <c r="D27" s="472" t="n"/>
      <c r="E27" s="473" t="n"/>
      <c r="F27" s="393" t="n"/>
      <c r="G27" s="250" t="n"/>
      <c r="H27" s="276">
        <f>H28</f>
        <v/>
      </c>
    </row>
    <row r="28">
      <c r="A28" s="427" t="n">
        <v>15</v>
      </c>
      <c r="B28" s="394" t="n"/>
      <c r="C28" s="278" t="n">
        <v>2</v>
      </c>
      <c r="D28" s="279" t="inlineStr">
        <is>
          <t>Затраты труда машинистов</t>
        </is>
      </c>
      <c r="E28" s="427" t="inlineStr">
        <is>
          <t>чел.-ч</t>
        </is>
      </c>
      <c r="F28" s="290" t="n">
        <v>4035.42</v>
      </c>
      <c r="G28" s="291" t="n"/>
      <c r="H28" s="275" t="n">
        <v>47628.73</v>
      </c>
    </row>
    <row r="29" customFormat="1" s="249">
      <c r="A29" s="393" t="inlineStr">
        <is>
          <t>Машины и механизмы</t>
        </is>
      </c>
      <c r="B29" s="472" t="n"/>
      <c r="C29" s="472" t="n"/>
      <c r="D29" s="472" t="n"/>
      <c r="E29" s="473" t="n"/>
      <c r="F29" s="393" t="n"/>
      <c r="G29" s="250" t="n"/>
      <c r="H29" s="276">
        <f>SUM(H30:H64)</f>
        <v/>
      </c>
      <c r="I29" s="476" t="n"/>
      <c r="J29" s="476" t="n"/>
    </row>
    <row r="30" ht="25.5" customHeight="1" s="348">
      <c r="A30" s="427" t="n">
        <v>16</v>
      </c>
      <c r="B30" s="394" t="n"/>
      <c r="C30" s="293" t="inlineStr">
        <is>
          <t>91.15.02-029</t>
        </is>
      </c>
      <c r="D30" s="408" t="inlineStr">
        <is>
          <t>Тракторы на гусеничном ходу с лебедкой 132 кВт (180 л.с.)</t>
        </is>
      </c>
      <c r="E30" s="401" t="inlineStr">
        <is>
          <t>маш.час</t>
        </is>
      </c>
      <c r="F30" s="228" t="n">
        <v>559.8</v>
      </c>
      <c r="G30" s="410" t="n">
        <v>111.68939393939</v>
      </c>
      <c r="H30" s="275">
        <f>ROUND(F30*G30,2)</f>
        <v/>
      </c>
    </row>
    <row r="31" ht="25.5" customHeight="1" s="348">
      <c r="A31" s="427" t="n">
        <v>17</v>
      </c>
      <c r="B31" s="394" t="n"/>
      <c r="C31" s="293" t="inlineStr">
        <is>
          <t>91.13.03-111</t>
        </is>
      </c>
      <c r="D31" s="408" t="inlineStr">
        <is>
          <t>Спецавтомобили-вездеходы, грузоподъемность до 8 т</t>
        </is>
      </c>
      <c r="E31" s="401" t="inlineStr">
        <is>
          <t>маш.час</t>
        </is>
      </c>
      <c r="F31" s="228" t="n">
        <v>347.38</v>
      </c>
      <c r="G31" s="410" t="n">
        <v>143.90151515152</v>
      </c>
      <c r="H31" s="275">
        <f>ROUND(F31*G31,2)</f>
        <v/>
      </c>
    </row>
    <row r="32">
      <c r="A32" s="427" t="n">
        <v>18</v>
      </c>
      <c r="B32" s="394" t="n"/>
      <c r="C32" s="293" t="inlineStr">
        <is>
          <t>91.21.22-447</t>
        </is>
      </c>
      <c r="D32" s="408" t="inlineStr">
        <is>
          <t>Установки электрометаллизационные</t>
        </is>
      </c>
      <c r="E32" s="401" t="inlineStr">
        <is>
          <t>маш.час</t>
        </is>
      </c>
      <c r="F32" s="228" t="n">
        <v>798.04</v>
      </c>
      <c r="G32" s="410" t="n">
        <v>56.242424242424</v>
      </c>
      <c r="H32" s="275">
        <f>ROUND(F32*G32,2)</f>
        <v/>
      </c>
    </row>
    <row r="33" ht="25.5" customHeight="1" s="348">
      <c r="A33" s="427" t="n">
        <v>19</v>
      </c>
      <c r="B33" s="394" t="n"/>
      <c r="C33" s="293" t="inlineStr">
        <is>
          <t>91.05.05-015</t>
        </is>
      </c>
      <c r="D33" s="408" t="inlineStr">
        <is>
          <t>Краны на автомобильном ходу, грузоподъемность 16 т</t>
        </is>
      </c>
      <c r="E33" s="401" t="inlineStr">
        <is>
          <t>маш.час</t>
        </is>
      </c>
      <c r="F33" s="228" t="n">
        <v>240.67</v>
      </c>
      <c r="G33" s="410" t="n">
        <v>87.424242424242</v>
      </c>
      <c r="H33" s="275">
        <f>ROUND(F33*G33,2)</f>
        <v/>
      </c>
    </row>
    <row r="34" ht="38.25" customHeight="1" s="348">
      <c r="A34" s="427" t="n">
        <v>20</v>
      </c>
      <c r="B34" s="394" t="n"/>
      <c r="C34" s="293" t="inlineStr">
        <is>
          <t>91.18.01-007</t>
        </is>
      </c>
      <c r="D34" s="40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4" s="401" t="inlineStr">
        <is>
          <t>маш.час</t>
        </is>
      </c>
      <c r="F34" s="228" t="n">
        <v>266.53</v>
      </c>
      <c r="G34" s="410" t="n">
        <v>68.181818181818</v>
      </c>
      <c r="H34" s="275">
        <f>ROUND(F34*G34,2)</f>
        <v/>
      </c>
    </row>
    <row r="35" ht="38.25" customHeight="1" s="348">
      <c r="A35" s="427" t="n">
        <v>21</v>
      </c>
      <c r="B35" s="394" t="n"/>
      <c r="C35" s="293" t="inlineStr">
        <is>
          <t>91.05.14-516</t>
        </is>
      </c>
      <c r="D35" s="408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35" s="401" t="inlineStr">
        <is>
          <t>маш.час</t>
        </is>
      </c>
      <c r="F35" s="228" t="n">
        <v>283.22</v>
      </c>
      <c r="G35" s="410" t="n">
        <v>58.818181818182</v>
      </c>
      <c r="H35" s="275">
        <f>ROUND(F35*G35,2)</f>
        <v/>
      </c>
    </row>
    <row r="36">
      <c r="A36" s="427" t="n">
        <v>22</v>
      </c>
      <c r="B36" s="394" t="n"/>
      <c r="C36" s="293" t="inlineStr">
        <is>
          <t>91.01.01-036</t>
        </is>
      </c>
      <c r="D36" s="408" t="inlineStr">
        <is>
          <t>Бульдозеры, мощность 96 кВт (130 л.с.)</t>
        </is>
      </c>
      <c r="E36" s="401" t="inlineStr">
        <is>
          <t>маш.час</t>
        </is>
      </c>
      <c r="F36" s="228" t="n">
        <v>202.52</v>
      </c>
      <c r="G36" s="410" t="n">
        <v>71.25</v>
      </c>
      <c r="H36" s="275">
        <f>ROUND(F36*G36,2)</f>
        <v/>
      </c>
    </row>
    <row r="37" ht="25.5" customHeight="1" s="348">
      <c r="A37" s="427" t="n">
        <v>23</v>
      </c>
      <c r="B37" s="394" t="n"/>
      <c r="C37" s="293" t="inlineStr">
        <is>
          <t>91.01.05-085</t>
        </is>
      </c>
      <c r="D37" s="408" t="inlineStr">
        <is>
          <t>Экскаваторы одноковшовые дизельные на гусеничном ходу, емкость ковша 0,5 м3</t>
        </is>
      </c>
      <c r="E37" s="401" t="inlineStr">
        <is>
          <t>маш.час</t>
        </is>
      </c>
      <c r="F37" s="228" t="n">
        <v>181.76</v>
      </c>
      <c r="G37" s="410" t="n">
        <v>75.75757575757601</v>
      </c>
      <c r="H37" s="275">
        <f>ROUND(F37*G37,2)</f>
        <v/>
      </c>
    </row>
    <row r="38" ht="25.5" customHeight="1" s="348">
      <c r="A38" s="427" t="n">
        <v>24</v>
      </c>
      <c r="B38" s="394" t="n"/>
      <c r="C38" s="293" t="inlineStr">
        <is>
          <t>91.05.08-007</t>
        </is>
      </c>
      <c r="D38" s="408" t="inlineStr">
        <is>
          <t>Краны на пневмоколесном ходу, грузоподъемность 25 т</t>
        </is>
      </c>
      <c r="E38" s="401" t="inlineStr">
        <is>
          <t>маш.час</t>
        </is>
      </c>
      <c r="F38" s="228" t="n">
        <v>139.68</v>
      </c>
      <c r="G38" s="410" t="n">
        <v>77.65909090909101</v>
      </c>
      <c r="H38" s="275">
        <f>ROUND(F38*G38,2)</f>
        <v/>
      </c>
    </row>
    <row r="39" ht="25.5" customHeight="1" s="348">
      <c r="A39" s="427" t="n">
        <v>25</v>
      </c>
      <c r="B39" s="394" t="n"/>
      <c r="C39" s="293" t="inlineStr">
        <is>
          <t>91.05.14-023</t>
        </is>
      </c>
      <c r="D39" s="408" t="inlineStr">
        <is>
          <t>Краны на тракторе, мощность 121 кВт (165 л.с.), грузоподъемность 5 т</t>
        </is>
      </c>
      <c r="E39" s="401" t="inlineStr">
        <is>
          <t>маш.час</t>
        </is>
      </c>
      <c r="F39" s="228" t="n">
        <v>59.14</v>
      </c>
      <c r="G39" s="410" t="n">
        <v>138.48484848485</v>
      </c>
      <c r="H39" s="275">
        <f>ROUND(F39*G39,2)</f>
        <v/>
      </c>
    </row>
    <row r="40" ht="25.5" customHeight="1" s="348">
      <c r="A40" s="427" t="n">
        <v>26</v>
      </c>
      <c r="B40" s="394" t="n"/>
      <c r="C40" s="293" t="inlineStr">
        <is>
          <t>91.19.08-004</t>
        </is>
      </c>
      <c r="D40" s="408" t="inlineStr">
        <is>
          <t>Насосы, мощность 4 кВт</t>
        </is>
      </c>
      <c r="E40" s="401" t="inlineStr">
        <is>
          <t>маш.час</t>
        </is>
      </c>
      <c r="F40" s="228" t="n">
        <v>3394.56</v>
      </c>
      <c r="G40" s="410" t="n">
        <v>2.2424242424242</v>
      </c>
      <c r="H40" s="275">
        <f>ROUND(F40*G40,2)</f>
        <v/>
      </c>
    </row>
    <row r="41" ht="25.5" customHeight="1" s="348">
      <c r="A41" s="427" t="n">
        <v>27</v>
      </c>
      <c r="B41" s="394" t="n"/>
      <c r="C41" s="293" t="inlineStr">
        <is>
          <t>91.05.05-016</t>
        </is>
      </c>
      <c r="D41" s="408" t="inlineStr">
        <is>
          <t>Краны на автомобильном ходу, грузоподъемность 25 т</t>
        </is>
      </c>
      <c r="E41" s="401" t="inlineStr">
        <is>
          <t>маш.час</t>
        </is>
      </c>
      <c r="F41" s="228" t="n">
        <v>15.51</v>
      </c>
      <c r="G41" s="410" t="n">
        <v>360.93181818182</v>
      </c>
      <c r="H41" s="275">
        <f>ROUND(F41*G41,2)</f>
        <v/>
      </c>
    </row>
    <row r="42" ht="25.5" customHeight="1" s="348">
      <c r="A42" s="427" t="n">
        <v>28</v>
      </c>
      <c r="B42" s="394" t="n"/>
      <c r="C42" s="293" t="inlineStr">
        <is>
          <t>91.01.05-086</t>
        </is>
      </c>
      <c r="D42" s="408" t="inlineStr">
        <is>
          <t>Экскаваторы одноковшовые дизельные на гусеничном ходу, емкость ковша 0,65 м3</t>
        </is>
      </c>
      <c r="E42" s="401" t="inlineStr">
        <is>
          <t>маш.час</t>
        </is>
      </c>
      <c r="F42" s="228" t="n">
        <v>40.74</v>
      </c>
      <c r="G42" s="410" t="n">
        <v>87.325757575758</v>
      </c>
      <c r="H42" s="275">
        <f>ROUND(F42*G42,2)</f>
        <v/>
      </c>
    </row>
    <row r="43" ht="25.5" customHeight="1" s="348">
      <c r="A43" s="427" t="n">
        <v>29</v>
      </c>
      <c r="B43" s="394" t="n"/>
      <c r="C43" s="293" t="inlineStr">
        <is>
          <t>91.14.02-001</t>
        </is>
      </c>
      <c r="D43" s="408" t="inlineStr">
        <is>
          <t>Автомобили бортовые, грузоподъемность до 5 т</t>
        </is>
      </c>
      <c r="E43" s="401" t="inlineStr">
        <is>
          <t>маш.час</t>
        </is>
      </c>
      <c r="F43" s="228" t="n">
        <v>53.91</v>
      </c>
      <c r="G43" s="410" t="n">
        <v>49.780303030303</v>
      </c>
      <c r="H43" s="275">
        <f>ROUND(F43*G43,2)</f>
        <v/>
      </c>
    </row>
    <row r="44" ht="25.5" customHeight="1" s="348">
      <c r="A44" s="427" t="n">
        <v>30</v>
      </c>
      <c r="B44" s="394" t="n"/>
      <c r="C44" s="293" t="inlineStr">
        <is>
          <t>91.11.02-021</t>
        </is>
      </c>
      <c r="D44" s="408" t="inlineStr">
        <is>
          <t>Комплексы для монтажа проводов методом "под тяжением"</t>
        </is>
      </c>
      <c r="E44" s="401" t="inlineStr">
        <is>
          <t>маш.час</t>
        </is>
      </c>
      <c r="F44" s="228" t="n">
        <v>4.73</v>
      </c>
      <c r="G44" s="410" t="n">
        <v>483.15151515152</v>
      </c>
      <c r="H44" s="275">
        <f>ROUND(F44*G44,2)</f>
        <v/>
      </c>
    </row>
    <row r="45" ht="25.5" customHeight="1" s="348">
      <c r="A45" s="427" t="n">
        <v>31</v>
      </c>
      <c r="B45" s="394" t="n"/>
      <c r="C45" s="293" t="inlineStr">
        <is>
          <t>91.17.04-036</t>
        </is>
      </c>
      <c r="D45" s="408" t="inlineStr">
        <is>
          <t>Агрегаты сварочные передвижные с дизельным двигателем, номинальный сварочный ток 250-400 А</t>
        </is>
      </c>
      <c r="E45" s="401" t="inlineStr">
        <is>
          <t>маш.час</t>
        </is>
      </c>
      <c r="F45" s="228" t="n">
        <v>129.78</v>
      </c>
      <c r="G45" s="410" t="n">
        <v>10.606060606061</v>
      </c>
      <c r="H45" s="275">
        <f>ROUND(F45*G45,2)</f>
        <v/>
      </c>
    </row>
    <row r="46">
      <c r="A46" s="427" t="n">
        <v>32</v>
      </c>
      <c r="B46" s="394" t="n"/>
      <c r="C46" s="293" t="inlineStr">
        <is>
          <t>91.06.06-014</t>
        </is>
      </c>
      <c r="D46" s="408" t="inlineStr">
        <is>
          <t>Автогидроподъемники, высота подъема 28 м</t>
        </is>
      </c>
      <c r="E46" s="401" t="inlineStr">
        <is>
          <t>маш.час</t>
        </is>
      </c>
      <c r="F46" s="228" t="n">
        <v>7.14</v>
      </c>
      <c r="G46" s="410" t="n">
        <v>184.46212121212</v>
      </c>
      <c r="H46" s="275">
        <f>ROUND(F46*G46,2)</f>
        <v/>
      </c>
    </row>
    <row r="47" ht="25.5" customHeight="1" s="348">
      <c r="A47" s="427" t="n">
        <v>33</v>
      </c>
      <c r="B47" s="394" t="n"/>
      <c r="C47" s="293" t="inlineStr">
        <is>
          <t>91.06.05-011</t>
        </is>
      </c>
      <c r="D47" s="408" t="inlineStr">
        <is>
          <t>Погрузчики, грузоподъемность 5 т</t>
        </is>
      </c>
      <c r="E47" s="401" t="inlineStr">
        <is>
          <t>маш.час</t>
        </is>
      </c>
      <c r="F47" s="228" t="n">
        <v>8.49</v>
      </c>
      <c r="G47" s="410" t="n">
        <v>68.174242424242</v>
      </c>
      <c r="H47" s="275">
        <f>ROUND(F47*G47,2)</f>
        <v/>
      </c>
    </row>
    <row r="48" ht="25.5" customHeight="1" s="348">
      <c r="A48" s="427" t="n">
        <v>34</v>
      </c>
      <c r="B48" s="394" t="n"/>
      <c r="C48" s="293" t="inlineStr">
        <is>
          <t>91.06.09-101</t>
        </is>
      </c>
      <c r="D48" s="408" t="inlineStr">
        <is>
          <t>Стрелы монтажные А-образные для подъема опор ВЛ, высота до 22 м</t>
        </is>
      </c>
      <c r="E48" s="401" t="inlineStr">
        <is>
          <t>маш.час</t>
        </is>
      </c>
      <c r="F48" s="228" t="n">
        <v>107.16</v>
      </c>
      <c r="G48" s="410" t="n">
        <v>4.7272727272727</v>
      </c>
      <c r="H48" s="275">
        <f>ROUND(F48*G48,2)</f>
        <v/>
      </c>
    </row>
    <row r="49" ht="25.5" customHeight="1" s="348">
      <c r="A49" s="427" t="n">
        <v>35</v>
      </c>
      <c r="B49" s="394" t="n"/>
      <c r="C49" s="293" t="inlineStr">
        <is>
          <t>91.06.05-057</t>
        </is>
      </c>
      <c r="D49" s="408" t="inlineStr">
        <is>
          <t>Погрузчики одноковшовые универсальные фронтальные пневмоколесные, грузоподъемность 3 т</t>
        </is>
      </c>
      <c r="E49" s="401" t="inlineStr">
        <is>
          <t>маш.час</t>
        </is>
      </c>
      <c r="F49" s="228" t="n">
        <v>6.79</v>
      </c>
      <c r="G49" s="410" t="n">
        <v>68.484848484848</v>
      </c>
      <c r="H49" s="275">
        <f>ROUND(F49*G49,2)</f>
        <v/>
      </c>
    </row>
    <row r="50" ht="25.5" customHeight="1" s="348">
      <c r="A50" s="427" t="n">
        <v>36</v>
      </c>
      <c r="B50" s="394" t="n"/>
      <c r="C50" s="293" t="inlineStr">
        <is>
          <t>91.08.09-023</t>
        </is>
      </c>
      <c r="D50" s="408" t="inlineStr">
        <is>
          <t>Трамбовки пневматические при работе от передвижных компрессорных станций</t>
        </is>
      </c>
      <c r="E50" s="401" t="inlineStr">
        <is>
          <t>маш.час</t>
        </is>
      </c>
      <c r="F50" s="228" t="n">
        <v>1067.35</v>
      </c>
      <c r="G50" s="410" t="n">
        <v>0.41666666666667</v>
      </c>
      <c r="H50" s="275">
        <f>ROUND(F50*G50,2)</f>
        <v/>
      </c>
    </row>
    <row r="51" ht="25.5" customHeight="1" s="348">
      <c r="A51" s="427" t="n">
        <v>37</v>
      </c>
      <c r="B51" s="394" t="n"/>
      <c r="C51" s="293" t="inlineStr">
        <is>
          <t>91.14.04-002</t>
        </is>
      </c>
      <c r="D51" s="408" t="inlineStr">
        <is>
          <t>Тягачи седельные, грузоподъемность 15 т</t>
        </is>
      </c>
      <c r="E51" s="401" t="inlineStr">
        <is>
          <t>маш.час</t>
        </is>
      </c>
      <c r="F51" s="228" t="n">
        <v>5.47</v>
      </c>
      <c r="G51" s="410" t="n">
        <v>71.5</v>
      </c>
      <c r="H51" s="275">
        <f>ROUND(F51*G51,2)</f>
        <v/>
      </c>
    </row>
    <row r="52" ht="25.5" customHeight="1" s="348">
      <c r="A52" s="427" t="n">
        <v>38</v>
      </c>
      <c r="B52" s="394" t="n"/>
      <c r="C52" s="293" t="inlineStr">
        <is>
          <t>91.01.04-003</t>
        </is>
      </c>
      <c r="D52" s="408" t="inlineStr">
        <is>
          <t>Установки однобаровые на тракторе, мощность 79 кВт (108 л.с.), ширина щели 14 см</t>
        </is>
      </c>
      <c r="E52" s="401" t="inlineStr">
        <is>
          <t>маш.час</t>
        </is>
      </c>
      <c r="F52" s="228" t="n">
        <v>3.94</v>
      </c>
      <c r="G52" s="410" t="n">
        <v>96.931818181818</v>
      </c>
      <c r="H52" s="275" t="n"/>
      <c r="I52" s="322" t="n"/>
    </row>
    <row r="53" ht="25.5" customHeight="1" s="348">
      <c r="A53" s="427" t="n">
        <v>39</v>
      </c>
      <c r="B53" s="394" t="n"/>
      <c r="C53" s="293" t="inlineStr">
        <is>
          <t>91.01.02-004</t>
        </is>
      </c>
      <c r="D53" s="408" t="inlineStr">
        <is>
          <t>Автогрейдеры среднего типа, мощность 99 кВт (135 л.с.)</t>
        </is>
      </c>
      <c r="E53" s="401" t="inlineStr">
        <is>
          <t>маш.час</t>
        </is>
      </c>
      <c r="F53" s="228" t="n">
        <v>2.7</v>
      </c>
      <c r="G53" s="410" t="n">
        <v>93.181818181818</v>
      </c>
      <c r="H53" s="275">
        <f>ROUND(F53*G53,2)</f>
        <v/>
      </c>
    </row>
    <row r="54" ht="25.5" customHeight="1" s="348">
      <c r="A54" s="427" t="n">
        <v>40</v>
      </c>
      <c r="B54" s="394" t="n"/>
      <c r="C54" s="293" t="inlineStr">
        <is>
          <t>91.04.01-032</t>
        </is>
      </c>
      <c r="D54" s="408" t="inlineStr">
        <is>
          <t>Машины бурильно-крановые глубина бурения 1,5-3 м, мощность 66 кВт (90 л.с.)</t>
        </is>
      </c>
      <c r="E54" s="401" t="inlineStr">
        <is>
          <t>маш.час</t>
        </is>
      </c>
      <c r="F54" s="228" t="n">
        <v>2.16</v>
      </c>
      <c r="G54" s="410" t="n">
        <v>106.7803030303</v>
      </c>
      <c r="H54" s="275">
        <f>ROUND(F54*G54,2)</f>
        <v/>
      </c>
    </row>
    <row r="55" ht="25.5" customHeight="1" s="348">
      <c r="A55" s="427" t="n">
        <v>41</v>
      </c>
      <c r="B55" s="394" t="n"/>
      <c r="C55" s="293" t="inlineStr">
        <is>
          <t>91.08.09-024</t>
        </is>
      </c>
      <c r="D55" s="408" t="inlineStr">
        <is>
          <t>Трамбовки пневматические при работе от стационарного компрессора</t>
        </is>
      </c>
      <c r="E55" s="401" t="inlineStr">
        <is>
          <t>маш.час</t>
        </is>
      </c>
      <c r="F55" s="228" t="n">
        <v>36.8</v>
      </c>
      <c r="G55" s="410" t="n">
        <v>3.719696969697</v>
      </c>
      <c r="H55" s="275">
        <f>ROUND(F55*G55,2)</f>
        <v/>
      </c>
    </row>
    <row r="56" ht="25.5" customHeight="1" s="348">
      <c r="A56" s="427" t="n">
        <v>42</v>
      </c>
      <c r="B56" s="394" t="n"/>
      <c r="C56" s="293" t="inlineStr">
        <is>
          <t>91.12.07-001</t>
        </is>
      </c>
      <c r="D56" s="408" t="inlineStr">
        <is>
          <t>Агрегаты для травосеяния на откосах автомобильных и железных дорог</t>
        </is>
      </c>
      <c r="E56" s="401" t="inlineStr">
        <is>
          <t>маш.час</t>
        </is>
      </c>
      <c r="F56" s="228" t="n">
        <v>7.14</v>
      </c>
      <c r="G56" s="410" t="n">
        <v>19.015151515152</v>
      </c>
      <c r="H56" s="275">
        <f>ROUND(F56*G56,2)</f>
        <v/>
      </c>
    </row>
    <row r="57">
      <c r="A57" s="427" t="n">
        <v>43</v>
      </c>
      <c r="B57" s="394" t="n"/>
      <c r="C57" s="293" t="inlineStr">
        <is>
          <t>91.06.01-002</t>
        </is>
      </c>
      <c r="D57" s="408" t="inlineStr">
        <is>
          <t>Домкраты гидравлические, грузоподъемность 6,3-25 т</t>
        </is>
      </c>
      <c r="E57" s="401" t="inlineStr">
        <is>
          <t>маш.час</t>
        </is>
      </c>
      <c r="F57" s="228" t="n">
        <v>283.22</v>
      </c>
      <c r="G57" s="410" t="n">
        <v>0.36363636363636</v>
      </c>
      <c r="H57" s="275">
        <f>ROUND(F57*G57,2)</f>
        <v/>
      </c>
    </row>
    <row r="58" ht="25.5" customHeight="1" s="348">
      <c r="A58" s="427" t="n">
        <v>44</v>
      </c>
      <c r="B58" s="394" t="n"/>
      <c r="C58" s="293" t="inlineStr">
        <is>
          <t>91.14.05-012</t>
        </is>
      </c>
      <c r="D58" s="408" t="inlineStr">
        <is>
          <t>Полуприцепы общего назначения, грузоподъемность 15 т</t>
        </is>
      </c>
      <c r="E58" s="401" t="inlineStr">
        <is>
          <t>маш.час</t>
        </is>
      </c>
      <c r="F58" s="228" t="n">
        <v>5.47</v>
      </c>
      <c r="G58" s="410" t="n">
        <v>14.969696969697</v>
      </c>
      <c r="H58" s="275">
        <f>ROUND(F58*G58,2)</f>
        <v/>
      </c>
    </row>
    <row r="59">
      <c r="A59" s="427" t="n">
        <v>45</v>
      </c>
      <c r="B59" s="394" t="n"/>
      <c r="C59" s="293" t="inlineStr">
        <is>
          <t>91.01.01-034</t>
        </is>
      </c>
      <c r="D59" s="408" t="inlineStr">
        <is>
          <t>Бульдозеры, мощность 59 кВт (80 л.с.)</t>
        </is>
      </c>
      <c r="E59" s="401" t="inlineStr">
        <is>
          <t>маш.час</t>
        </is>
      </c>
      <c r="F59" s="228" t="n">
        <v>1.13</v>
      </c>
      <c r="G59" s="410" t="n">
        <v>45.05303030303</v>
      </c>
      <c r="H59" s="275">
        <f>ROUND(F59*G59,2)</f>
        <v/>
      </c>
    </row>
    <row r="60">
      <c r="A60" s="427" t="n">
        <v>46</v>
      </c>
      <c r="B60" s="394" t="n"/>
      <c r="C60" s="293" t="inlineStr">
        <is>
          <t>91.01.01-035</t>
        </is>
      </c>
      <c r="D60" s="408" t="inlineStr">
        <is>
          <t>Бульдозеры, мощность 79 кВт (108 л.с.)</t>
        </is>
      </c>
      <c r="E60" s="401" t="inlineStr">
        <is>
          <t>маш.час</t>
        </is>
      </c>
      <c r="F60" s="228" t="n">
        <v>0.68</v>
      </c>
      <c r="G60" s="410" t="n">
        <v>59.901515151515</v>
      </c>
      <c r="H60" s="275">
        <f>ROUND(F60*G60,2)</f>
        <v/>
      </c>
    </row>
    <row r="61">
      <c r="A61" s="427" t="n">
        <v>47</v>
      </c>
      <c r="B61" s="394" t="n"/>
      <c r="C61" s="293" t="inlineStr">
        <is>
          <t>91.14.02-002</t>
        </is>
      </c>
      <c r="D61" s="408" t="inlineStr">
        <is>
          <t>Автомобили бортовые, грузоподъемность до 8 т</t>
        </is>
      </c>
      <c r="E61" s="401" t="inlineStr">
        <is>
          <t>маш.час</t>
        </is>
      </c>
      <c r="F61" s="228" t="n">
        <v>0.54</v>
      </c>
      <c r="G61" s="410" t="n">
        <v>65.030303030303</v>
      </c>
      <c r="H61" s="275">
        <f>ROUND(F61*G61,2)</f>
        <v/>
      </c>
    </row>
    <row r="62" ht="25.5" customHeight="1" s="348">
      <c r="A62" s="427" t="n">
        <v>48</v>
      </c>
      <c r="B62" s="394" t="n"/>
      <c r="C62" s="293" t="inlineStr">
        <is>
          <t>91.17.04-171</t>
        </is>
      </c>
      <c r="D62" s="408" t="inlineStr">
        <is>
          <t>Преобразователи сварочные номинальным сварочным током 315-500 А</t>
        </is>
      </c>
      <c r="E62" s="401" t="inlineStr">
        <is>
          <t>маш.час</t>
        </is>
      </c>
      <c r="F62" s="228" t="n">
        <v>1.5</v>
      </c>
      <c r="G62" s="410" t="n">
        <v>9.325757575757599</v>
      </c>
      <c r="H62" s="275">
        <f>ROUND(F62*G62,2)</f>
        <v/>
      </c>
    </row>
    <row r="63">
      <c r="A63" s="427" t="n">
        <v>49</v>
      </c>
      <c r="B63" s="394" t="n"/>
      <c r="C63" s="293" t="inlineStr">
        <is>
          <t>91.21.16-012</t>
        </is>
      </c>
      <c r="D63" s="408" t="inlineStr">
        <is>
          <t>Прессы гидравлические с электроприводом</t>
        </is>
      </c>
      <c r="E63" s="401" t="inlineStr">
        <is>
          <t>маш.час</t>
        </is>
      </c>
      <c r="F63" s="228" t="n">
        <v>9.18</v>
      </c>
      <c r="G63" s="410" t="n">
        <v>0.8409090909090901</v>
      </c>
      <c r="H63" s="275">
        <f>ROUND(F63*G63,2)</f>
        <v/>
      </c>
    </row>
    <row r="64" ht="25.5" customHeight="1" s="348">
      <c r="A64" s="427" t="n">
        <v>50</v>
      </c>
      <c r="B64" s="394" t="n"/>
      <c r="C64" s="293" t="inlineStr">
        <is>
          <t>91.21.01-012</t>
        </is>
      </c>
      <c r="D64" s="408" t="inlineStr">
        <is>
          <t>Агрегаты окрасочные высокого давления для окраски поверхностей конструкций, мощность 1 кВт</t>
        </is>
      </c>
      <c r="E64" s="401" t="inlineStr">
        <is>
          <t>маш.час</t>
        </is>
      </c>
      <c r="F64" s="228" t="n">
        <v>0.29</v>
      </c>
      <c r="G64" s="410" t="n">
        <v>5.1666666666667</v>
      </c>
      <c r="H64" s="275">
        <f>ROUND(F64*G64,2)</f>
        <v/>
      </c>
    </row>
    <row r="65">
      <c r="A65" s="393" t="inlineStr">
        <is>
          <t>Материалы</t>
        </is>
      </c>
      <c r="B65" s="472" t="n"/>
      <c r="C65" s="472" t="n"/>
      <c r="D65" s="472" t="n"/>
      <c r="E65" s="473" t="n"/>
      <c r="F65" s="393" t="n"/>
      <c r="G65" s="250" t="n"/>
      <c r="H65" s="276">
        <f>SUM(H66:H135)</f>
        <v/>
      </c>
      <c r="I65" s="476" t="n"/>
      <c r="J65" s="476" t="n"/>
    </row>
    <row r="66" ht="25.5" customHeight="1" s="348">
      <c r="A66" s="281" t="n">
        <v>51</v>
      </c>
      <c r="B66" s="394" t="n"/>
      <c r="C66" s="299" t="inlineStr">
        <is>
          <t>Прайс из СД ОП</t>
        </is>
      </c>
      <c r="D66" s="300" t="inlineStr">
        <is>
          <t>Опоры стальные решетчатые, анкерно-угловые класс напряжения 220 кВ</t>
        </is>
      </c>
      <c r="E66" s="301" t="inlineStr">
        <is>
          <t>т</t>
        </is>
      </c>
      <c r="F66" s="427" t="n">
        <v>85.2</v>
      </c>
      <c r="G66" s="296" t="n">
        <v>24464.94</v>
      </c>
      <c r="H66" s="275">
        <f>ROUND(F66*G66,2)</f>
        <v/>
      </c>
      <c r="I66" s="476" t="n"/>
      <c r="J66" s="476" t="n"/>
      <c r="K66" s="260" t="n"/>
    </row>
    <row r="67" ht="25.5" customHeight="1" s="348">
      <c r="A67" s="281" t="n">
        <v>52</v>
      </c>
      <c r="B67" s="394" t="n"/>
      <c r="C67" s="299" t="inlineStr">
        <is>
          <t>Прайс из СД ОП</t>
        </is>
      </c>
      <c r="D67" s="300" t="inlineStr">
        <is>
          <t>Провод АСТ 300/39</t>
        </is>
      </c>
      <c r="E67" s="301" t="inlineStr">
        <is>
          <t>км</t>
        </is>
      </c>
      <c r="F67" s="427" t="n">
        <v>7.368</v>
      </c>
      <c r="G67" s="296" t="n">
        <v>103536.59</v>
      </c>
      <c r="H67" s="275">
        <f>ROUND(F67*G67,2)</f>
        <v/>
      </c>
    </row>
    <row r="68" ht="25.5" customHeight="1" s="348">
      <c r="A68" s="281" t="n">
        <v>53</v>
      </c>
      <c r="B68" s="394" t="n"/>
      <c r="C68" s="401" t="inlineStr">
        <is>
          <t>01.7.15.03-0036</t>
        </is>
      </c>
      <c r="D68" s="279" t="inlineStr">
        <is>
          <t>Болты с гайками и шайбами оцинкованные, диаметр 24 мм</t>
        </is>
      </c>
      <c r="E68" s="427" t="inlineStr">
        <is>
          <t>кг</t>
        </is>
      </c>
      <c r="F68" s="427" t="n">
        <v>8560</v>
      </c>
      <c r="G68" s="296" t="n">
        <v>24.79</v>
      </c>
      <c r="H68" s="275">
        <f>ROUND(F68*G68,2)</f>
        <v/>
      </c>
    </row>
    <row r="69">
      <c r="A69" s="281" t="n">
        <v>54</v>
      </c>
      <c r="B69" s="394" t="n"/>
      <c r="C69" s="401" t="inlineStr">
        <is>
          <t>05.1.05.16-0221</t>
        </is>
      </c>
      <c r="D69" s="279" t="inlineStr">
        <is>
          <t>Фундаменты сборные железобетонные ВЛ и ОРУ</t>
        </is>
      </c>
      <c r="E69" s="427" t="inlineStr">
        <is>
          <t>м3</t>
        </is>
      </c>
      <c r="F69" s="427" t="n">
        <v>145.44</v>
      </c>
      <c r="G69" s="296" t="n">
        <v>1597.37</v>
      </c>
      <c r="H69" s="275">
        <f>ROUND(F69*G69,2)</f>
        <v/>
      </c>
    </row>
    <row r="70">
      <c r="A70" s="281" t="n">
        <v>55</v>
      </c>
      <c r="B70" s="394" t="n"/>
      <c r="C70" s="401" t="inlineStr">
        <is>
          <t>22.2.02.07-0041</t>
        </is>
      </c>
      <c r="D70" s="279" t="inlineStr">
        <is>
          <t>Ростверки стальные массой до 0,2т</t>
        </is>
      </c>
      <c r="E70" s="427" t="inlineStr">
        <is>
          <t>т</t>
        </is>
      </c>
      <c r="F70" s="427" t="n">
        <v>27.9336</v>
      </c>
      <c r="G70" s="296" t="n">
        <v>8200</v>
      </c>
      <c r="H70" s="275">
        <f>ROUND(F70*G70,2)</f>
        <v/>
      </c>
    </row>
    <row r="71">
      <c r="A71" s="281" t="n">
        <v>56</v>
      </c>
      <c r="B71" s="394" t="n"/>
      <c r="C71" s="299" t="inlineStr">
        <is>
          <t>Прайс из СД ОП</t>
        </is>
      </c>
      <c r="D71" s="279" t="inlineStr">
        <is>
          <t>Кабель ОКГТ-с-1-24(G652)-20/248 км</t>
        </is>
      </c>
      <c r="E71" s="427" t="inlineStr">
        <is>
          <t>км</t>
        </is>
      </c>
      <c r="F71" s="427" t="n">
        <v>1.556</v>
      </c>
      <c r="G71" s="296" t="n">
        <v>96497.97</v>
      </c>
      <c r="H71" s="275">
        <f>ROUND(F71*G71,2)</f>
        <v/>
      </c>
    </row>
    <row r="72">
      <c r="A72" s="281" t="n">
        <v>57</v>
      </c>
      <c r="B72" s="394" t="n"/>
      <c r="C72" s="401" t="inlineStr">
        <is>
          <t>02.2.04.03-0003</t>
        </is>
      </c>
      <c r="D72" s="279" t="inlineStr">
        <is>
          <t>Смесь песчано-гравийная природная</t>
        </is>
      </c>
      <c r="E72" s="427" t="inlineStr">
        <is>
          <t>м3</t>
        </is>
      </c>
      <c r="F72" s="427" t="n">
        <v>2726.2</v>
      </c>
      <c r="G72" s="296" t="n">
        <v>60</v>
      </c>
      <c r="H72" s="275">
        <f>ROUND(F72*G72,2)</f>
        <v/>
      </c>
    </row>
    <row r="73" ht="25.5" customHeight="1" s="348">
      <c r="A73" s="281" t="n">
        <v>58</v>
      </c>
      <c r="B73" s="394" t="n"/>
      <c r="C73" s="401" t="inlineStr">
        <is>
          <t>22.2.01.03-0002</t>
        </is>
      </c>
      <c r="D73" s="279" t="inlineStr">
        <is>
          <t>Изолятор подвесной стеклянный ПСВ-160А (прим. ПС400Б)</t>
        </is>
      </c>
      <c r="E73" s="427" t="inlineStr">
        <is>
          <t>шт</t>
        </is>
      </c>
      <c r="F73" s="427" t="n">
        <v>227</v>
      </c>
      <c r="G73" s="296" t="n">
        <v>284.68</v>
      </c>
      <c r="H73" s="275">
        <f>ROUND(F73*G73,2)</f>
        <v/>
      </c>
    </row>
    <row r="74">
      <c r="A74" s="281" t="n">
        <v>59</v>
      </c>
      <c r="B74" s="394" t="n"/>
      <c r="C74" s="401" t="inlineStr">
        <is>
          <t>01.2.03.07-0001</t>
        </is>
      </c>
      <c r="D74" s="279" t="inlineStr">
        <is>
          <t>Композиция полимерно-битумная Гидроизол</t>
        </is>
      </c>
      <c r="E74" s="427" t="inlineStr">
        <is>
          <t>л</t>
        </is>
      </c>
      <c r="F74" s="427" t="n">
        <v>1038.24</v>
      </c>
      <c r="G74" s="296" t="n">
        <v>42.83</v>
      </c>
      <c r="H74" s="275">
        <f>ROUND(F74*G74,2)</f>
        <v/>
      </c>
    </row>
    <row r="75">
      <c r="A75" s="281" t="n">
        <v>60</v>
      </c>
      <c r="B75" s="394" t="n"/>
      <c r="C75" s="401" t="inlineStr">
        <is>
          <t>16.2.01.02-0001</t>
        </is>
      </c>
      <c r="D75" s="279" t="inlineStr">
        <is>
          <t>Земля растительная</t>
        </is>
      </c>
      <c r="E75" s="427" t="inlineStr">
        <is>
          <t>м3</t>
        </is>
      </c>
      <c r="F75" s="427" t="n">
        <v>296.6924</v>
      </c>
      <c r="G75" s="296" t="n">
        <v>135.6</v>
      </c>
      <c r="H75" s="275">
        <f>ROUND(F75*G75,2)</f>
        <v/>
      </c>
    </row>
    <row r="76" ht="25.5" customHeight="1" s="348">
      <c r="A76" s="281" t="n">
        <v>61</v>
      </c>
      <c r="B76" s="394" t="n"/>
      <c r="C76" s="401" t="inlineStr">
        <is>
          <t>10.1.02.03-0001</t>
        </is>
      </c>
      <c r="D76" s="279" t="inlineStr">
        <is>
          <t>Проволока алюминиевая, марка АМЦ, диаметр 1,4-1,8 мм</t>
        </is>
      </c>
      <c r="E76" s="427" t="inlineStr">
        <is>
          <t>т</t>
        </is>
      </c>
      <c r="F76" s="427" t="n">
        <v>1.2819538</v>
      </c>
      <c r="G76" s="296" t="n">
        <v>30090</v>
      </c>
      <c r="H76" s="275">
        <f>ROUND(F76*G76,2)</f>
        <v/>
      </c>
    </row>
    <row r="77">
      <c r="A77" s="281" t="n">
        <v>62</v>
      </c>
      <c r="B77" s="394" t="n"/>
      <c r="C77" s="401" t="inlineStr">
        <is>
          <t>05.1.03.13-0183</t>
        </is>
      </c>
      <c r="D77" s="279" t="inlineStr">
        <is>
          <t>Ригели сборные железобетонные ВЛ и ОРУ</t>
        </is>
      </c>
      <c r="E77" s="427" t="inlineStr">
        <is>
          <t>м3</t>
        </is>
      </c>
      <c r="F77" s="427" t="n">
        <v>19.392</v>
      </c>
      <c r="G77" s="296" t="n">
        <v>1733.42</v>
      </c>
      <c r="H77" s="275">
        <f>ROUND(F77*G77,2)</f>
        <v/>
      </c>
    </row>
    <row r="78">
      <c r="A78" s="281" t="n">
        <v>63</v>
      </c>
      <c r="B78" s="394" t="n"/>
      <c r="C78" s="401" t="inlineStr">
        <is>
          <t>20.1.02.22-0021</t>
        </is>
      </c>
      <c r="D78" s="279" t="inlineStr">
        <is>
          <t>Ушко: У1-40-28</t>
        </is>
      </c>
      <c r="E78" s="427" t="inlineStr">
        <is>
          <t>шт</t>
        </is>
      </c>
      <c r="F78" s="427" t="n">
        <v>19</v>
      </c>
      <c r="G78" s="296" t="n">
        <v>1205.48</v>
      </c>
      <c r="H78" s="275">
        <f>ROUND(F78*G78,2)</f>
        <v/>
      </c>
    </row>
    <row r="79">
      <c r="A79" s="281" t="n">
        <v>64</v>
      </c>
      <c r="B79" s="394" t="n"/>
      <c r="C79" s="401" t="inlineStr">
        <is>
          <t>08.1.02.25-0012</t>
        </is>
      </c>
      <c r="D79" s="279" t="inlineStr">
        <is>
          <t>Детали крепления стальные (Д-12. Д-13)</t>
        </is>
      </c>
      <c r="E79" s="427" t="inlineStr">
        <is>
          <t>т</t>
        </is>
      </c>
      <c r="F79" s="427" t="n">
        <v>2.016</v>
      </c>
      <c r="G79" s="296" t="n">
        <v>10100</v>
      </c>
      <c r="H79" s="275">
        <f>ROUND(F79*G79,2)</f>
        <v/>
      </c>
    </row>
    <row r="80" ht="25.5" customHeight="1" s="348">
      <c r="A80" s="281" t="n">
        <v>65</v>
      </c>
      <c r="B80" s="394" t="n"/>
      <c r="C80" s="401" t="inlineStr">
        <is>
          <t>01.7.15.03-0039</t>
        </is>
      </c>
      <c r="D80" s="279" t="inlineStr">
        <is>
          <t>Болты с гайками и шайбами оцинкованные, диаметр 42 мм</t>
        </is>
      </c>
      <c r="E80" s="427" t="inlineStr">
        <is>
          <t>кг</t>
        </is>
      </c>
      <c r="F80" s="427" t="n">
        <v>768</v>
      </c>
      <c r="G80" s="296" t="n">
        <v>24.43</v>
      </c>
      <c r="H80" s="275">
        <f>ROUND(F80*G80,2)</f>
        <v/>
      </c>
    </row>
    <row r="81">
      <c r="A81" s="281" t="n">
        <v>66</v>
      </c>
      <c r="B81" s="394" t="n"/>
      <c r="C81" s="401" t="inlineStr">
        <is>
          <t>20.1.02.05-0007</t>
        </is>
      </c>
      <c r="D81" s="279" t="inlineStr">
        <is>
          <t>Коромысло: 3К2-21-3 (прим.  3КБ-120-1 )</t>
        </is>
      </c>
      <c r="E81" s="427" t="inlineStr">
        <is>
          <t>шт</t>
        </is>
      </c>
      <c r="F81" s="427" t="n">
        <v>6</v>
      </c>
      <c r="G81" s="296" t="n">
        <v>2845.09</v>
      </c>
      <c r="H81" s="275">
        <f>ROUND(F81*G81,2)</f>
        <v/>
      </c>
    </row>
    <row r="82">
      <c r="A82" s="281" t="n">
        <v>67</v>
      </c>
      <c r="B82" s="394" t="n"/>
      <c r="C82" s="401" t="inlineStr">
        <is>
          <t>20.1.02.05-0007</t>
        </is>
      </c>
      <c r="D82" s="279" t="inlineStr">
        <is>
          <t>Коромысло: 3К2-21-3 (прим. 3КД2-120 )</t>
        </is>
      </c>
      <c r="E82" s="427" t="inlineStr">
        <is>
          <t>шт</t>
        </is>
      </c>
      <c r="F82" s="427" t="n">
        <v>6</v>
      </c>
      <c r="G82" s="296" t="n">
        <v>2845.09</v>
      </c>
      <c r="H82" s="275">
        <f>ROUND(F82*G82,2)</f>
        <v/>
      </c>
    </row>
    <row r="83" ht="51" customHeight="1" s="348">
      <c r="A83" s="281" t="n">
        <v>68</v>
      </c>
      <c r="B83" s="394" t="n"/>
      <c r="C83" s="401" t="inlineStr">
        <is>
          <t>20.2.04.01-0012</t>
        </is>
      </c>
      <c r="D83" s="279" t="inlineStr">
        <is>
          <t>Короб кабельный блочный сборный прямой сейсмостойкий ККБС 0,95/0,6-2, горячеоцинкованный (прим. Барабан для кабеля  ОКГТ-с-1-24(G652)-20/248)</t>
        </is>
      </c>
      <c r="E83" s="427" t="inlineStr">
        <is>
          <t>шт</t>
        </is>
      </c>
      <c r="F83" s="427" t="n">
        <v>2</v>
      </c>
      <c r="G83" s="296" t="n">
        <v>5784.18</v>
      </c>
      <c r="H83" s="275">
        <f>ROUND(F83*G83,2)</f>
        <v/>
      </c>
    </row>
    <row r="84">
      <c r="A84" s="281" t="n">
        <v>69</v>
      </c>
      <c r="B84" s="394" t="n"/>
      <c r="C84" s="401" t="inlineStr">
        <is>
          <t>01.7.15.11-0051</t>
        </is>
      </c>
      <c r="D84" s="279" t="inlineStr">
        <is>
          <t>Шайбы оцинкованные, диаметр 22 мм</t>
        </is>
      </c>
      <c r="E84" s="427" t="inlineStr">
        <is>
          <t>кг</t>
        </is>
      </c>
      <c r="F84" s="427" t="n">
        <v>384</v>
      </c>
      <c r="G84" s="296" t="n">
        <v>29.38</v>
      </c>
      <c r="H84" s="275">
        <f>ROUND(F84*G84,2)</f>
        <v/>
      </c>
    </row>
    <row r="85">
      <c r="A85" s="281" t="n">
        <v>70</v>
      </c>
      <c r="B85" s="394" t="n"/>
      <c r="C85" s="401" t="inlineStr">
        <is>
          <t>01.2.03.02-0022</t>
        </is>
      </c>
      <c r="D85" s="279" t="inlineStr">
        <is>
          <t>Грунтовка полиуретановая "Праймер 1101"</t>
        </is>
      </c>
      <c r="E85" s="427" t="inlineStr">
        <is>
          <t>кг</t>
        </is>
      </c>
      <c r="F85" s="427" t="n">
        <v>370.8</v>
      </c>
      <c r="G85" s="296" t="n">
        <v>26.96</v>
      </c>
      <c r="H85" s="275">
        <f>ROUND(F85*G85,2)</f>
        <v/>
      </c>
    </row>
    <row r="86" ht="25.5" customHeight="1" s="348">
      <c r="A86" s="281" t="n">
        <v>71</v>
      </c>
      <c r="B86" s="394" t="n"/>
      <c r="C86" s="401" t="inlineStr">
        <is>
          <t>01.7.15.05-0027</t>
        </is>
      </c>
      <c r="D86" s="279" t="inlineStr">
        <is>
          <t>Гайки шестигранные, диаметр резьбы 24 мм, оцинкованные</t>
        </is>
      </c>
      <c r="E86" s="427" t="inlineStr">
        <is>
          <t>т</t>
        </is>
      </c>
      <c r="F86" s="427" t="n">
        <v>0.48</v>
      </c>
      <c r="G86" s="296" t="n">
        <v>19978.06</v>
      </c>
      <c r="H86" s="275">
        <f>ROUND(F86*G86,2)</f>
        <v/>
      </c>
    </row>
    <row r="87">
      <c r="A87" s="281" t="n">
        <v>72</v>
      </c>
      <c r="B87" s="394" t="n"/>
      <c r="C87" s="401" t="inlineStr">
        <is>
          <t>16.2.02.07-0161</t>
        </is>
      </c>
      <c r="D87" s="279" t="inlineStr">
        <is>
          <t>Семена газонных трав (смесь)</t>
        </is>
      </c>
      <c r="E87" s="427" t="inlineStr">
        <is>
          <t>кг</t>
        </is>
      </c>
      <c r="F87" s="427" t="n">
        <v>50.7</v>
      </c>
      <c r="G87" s="296" t="n">
        <v>146.25</v>
      </c>
      <c r="H87" s="275">
        <f>ROUND(F87*G87,2)</f>
        <v/>
      </c>
    </row>
    <row r="88">
      <c r="A88" s="281" t="n">
        <v>73</v>
      </c>
      <c r="B88" s="394" t="n"/>
      <c r="C88" s="401" t="inlineStr">
        <is>
          <t>02.2.05.04-1567</t>
        </is>
      </c>
      <c r="D88" s="279" t="inlineStr">
        <is>
          <t>Щебень М 400, фракция 5(3)-10 мм, группа 2</t>
        </is>
      </c>
      <c r="E88" s="427" t="inlineStr">
        <is>
          <t>м3</t>
        </is>
      </c>
      <c r="F88" s="427" t="n">
        <v>54.05</v>
      </c>
      <c r="G88" s="296" t="n">
        <v>131.08</v>
      </c>
      <c r="H88" s="275">
        <f>ROUND(F88*G88,2)</f>
        <v/>
      </c>
    </row>
    <row r="89" ht="25.5" customHeight="1" s="348">
      <c r="A89" s="281" t="n">
        <v>74</v>
      </c>
      <c r="B89" s="394" t="n"/>
      <c r="C89" s="401" t="inlineStr">
        <is>
          <t>20.1.02.21-0037</t>
        </is>
      </c>
      <c r="D89" s="279" t="inlineStr">
        <is>
          <t>Узел крепления КГН-16-5 (прим. Узел крепления КГН-60-5)</t>
        </is>
      </c>
      <c r="E89" s="427" t="inlineStr">
        <is>
          <t>шт</t>
        </is>
      </c>
      <c r="F89" s="427" t="n">
        <v>20</v>
      </c>
      <c r="G89" s="296" t="n">
        <v>326.1</v>
      </c>
      <c r="H89" s="275">
        <f>ROUND(F89*G89,2)</f>
        <v/>
      </c>
    </row>
    <row r="90" ht="25.5" customHeight="1" s="348">
      <c r="A90" s="281" t="n">
        <v>75</v>
      </c>
      <c r="B90" s="394" t="n"/>
      <c r="C90" s="401" t="inlineStr">
        <is>
          <t>22.2.02.04-0020</t>
        </is>
      </c>
      <c r="D90" s="279" t="inlineStr">
        <is>
          <t>Звено промежуточное прямое двойное 2ПР-21-1 (прим. 2ПР-45-1)</t>
        </is>
      </c>
      <c r="E90" s="427" t="inlineStr">
        <is>
          <t>шт</t>
        </is>
      </c>
      <c r="F90" s="427" t="n">
        <v>19</v>
      </c>
      <c r="G90" s="296" t="n">
        <v>314.56</v>
      </c>
      <c r="H90" s="275">
        <f>ROUND(F90*G90,2)</f>
        <v/>
      </c>
    </row>
    <row r="91" ht="25.5" customHeight="1" s="348">
      <c r="A91" s="281" t="n">
        <v>76</v>
      </c>
      <c r="B91" s="394" t="n"/>
      <c r="C91" s="401" t="inlineStr">
        <is>
          <t>22.2.02.04-0040</t>
        </is>
      </c>
      <c r="D91" s="279" t="inlineStr">
        <is>
          <t>Звено промежуточное регулируемое ПРР-21-1 (прим.  ПРР-60-1)</t>
        </is>
      </c>
      <c r="E91" s="427" t="inlineStr">
        <is>
          <t>шт</t>
        </is>
      </c>
      <c r="F91" s="427" t="n">
        <v>12</v>
      </c>
      <c r="G91" s="296" t="n">
        <v>492.77</v>
      </c>
      <c r="H91" s="275">
        <f>ROUND(F91*G91,2)</f>
        <v/>
      </c>
    </row>
    <row r="92" ht="25.5" customHeight="1" s="348">
      <c r="A92" s="281" t="n">
        <v>77</v>
      </c>
      <c r="B92" s="394" t="n"/>
      <c r="C92" s="401" t="inlineStr">
        <is>
          <t>22.2.02.04-0016</t>
        </is>
      </c>
      <c r="D92" s="279" t="inlineStr">
        <is>
          <t>Звено промежуточное монтажное ПТМ-21-3А (прим. ПТМ-60-2)</t>
        </is>
      </c>
      <c r="E92" s="427" t="inlineStr">
        <is>
          <t>шт</t>
        </is>
      </c>
      <c r="F92" s="427" t="n">
        <v>12</v>
      </c>
      <c r="G92" s="296" t="n">
        <v>421.33</v>
      </c>
      <c r="H92" s="275">
        <f>ROUND(F92*G92,2)</f>
        <v/>
      </c>
    </row>
    <row r="93" ht="25.5" customHeight="1" s="348">
      <c r="A93" s="281" t="n">
        <v>78</v>
      </c>
      <c r="B93" s="394" t="n"/>
      <c r="C93" s="401" t="inlineStr">
        <is>
          <t>08.4.03.02-0006</t>
        </is>
      </c>
      <c r="D93" s="279" t="inlineStr">
        <is>
          <t>Сталь арматурная, горячекатаная, гладкая, класс А-I, диаметр 16-18 мм</t>
        </is>
      </c>
      <c r="E93" s="427" t="inlineStr">
        <is>
          <t>т</t>
        </is>
      </c>
      <c r="F93" s="427" t="n">
        <v>0.8080000000000001</v>
      </c>
      <c r="G93" s="296" t="n">
        <v>5650</v>
      </c>
      <c r="H93" s="275">
        <f>ROUND(F93*G93,2)</f>
        <v/>
      </c>
    </row>
    <row r="94">
      <c r="A94" s="281" t="n">
        <v>79</v>
      </c>
      <c r="B94" s="394" t="n"/>
      <c r="C94" s="401" t="inlineStr">
        <is>
          <t>01.7.15.10-0035</t>
        </is>
      </c>
      <c r="D94" s="279" t="inlineStr">
        <is>
          <t>Скобы СК-21-1А (прим. Скоба  СК-60-1А)</t>
        </is>
      </c>
      <c r="E94" s="427" t="inlineStr">
        <is>
          <t>шт</t>
        </is>
      </c>
      <c r="F94" s="427" t="n">
        <v>39</v>
      </c>
      <c r="G94" s="296" t="n">
        <v>116.92</v>
      </c>
      <c r="H94" s="275">
        <f>ROUND(F94*G94,2)</f>
        <v/>
      </c>
    </row>
    <row r="95" ht="25.5" customHeight="1" s="348">
      <c r="A95" s="281" t="n">
        <v>80</v>
      </c>
      <c r="B95" s="394" t="n"/>
      <c r="C95" s="401" t="inlineStr">
        <is>
          <t>22.2.02.04-0040</t>
        </is>
      </c>
      <c r="D95" s="279" t="inlineStr">
        <is>
          <t>Звено промежуточное регулируемое ПРР-21-1 (прим.  ПРР-30-1)</t>
        </is>
      </c>
      <c r="E95" s="427" t="inlineStr">
        <is>
          <t>шт</t>
        </is>
      </c>
      <c r="F95" s="427" t="n">
        <v>8</v>
      </c>
      <c r="G95" s="296" t="n">
        <v>492.77</v>
      </c>
      <c r="H95" s="275">
        <f>ROUND(F95*G95,2)</f>
        <v/>
      </c>
    </row>
    <row r="96">
      <c r="A96" s="281" t="n">
        <v>81</v>
      </c>
      <c r="B96" s="394" t="n"/>
      <c r="C96" s="401" t="inlineStr">
        <is>
          <t>01.7.11.07-0032</t>
        </is>
      </c>
      <c r="D96" s="279" t="inlineStr">
        <is>
          <t>Электроды сварочные Э42, диаметр 4 мм</t>
        </is>
      </c>
      <c r="E96" s="427" t="inlineStr">
        <is>
          <t>т</t>
        </is>
      </c>
      <c r="F96" s="427" t="n">
        <v>0.337592</v>
      </c>
      <c r="G96" s="296" t="n">
        <v>10315.01</v>
      </c>
      <c r="H96" s="275">
        <f>ROUND(F96*G96,2)</f>
        <v/>
      </c>
    </row>
    <row r="97" ht="25.5" customHeight="1" s="348">
      <c r="A97" s="281" t="n">
        <v>82</v>
      </c>
      <c r="B97" s="394" t="n"/>
      <c r="C97" s="401" t="inlineStr">
        <is>
          <t>22.2.02.04-0016</t>
        </is>
      </c>
      <c r="D97" s="279" t="inlineStr">
        <is>
          <t>Звено промежуточное монтажное ПТМ-21-3А (прим. ПТМ-30-2)</t>
        </is>
      </c>
      <c r="E97" s="427" t="inlineStr">
        <is>
          <t>шт</t>
        </is>
      </c>
      <c r="F97" s="427" t="n">
        <v>8</v>
      </c>
      <c r="G97" s="296" t="n">
        <v>421.33</v>
      </c>
      <c r="H97" s="275">
        <f>ROUND(F97*G97,2)</f>
        <v/>
      </c>
    </row>
    <row r="98">
      <c r="A98" s="281" t="n">
        <v>83</v>
      </c>
      <c r="B98" s="394" t="n"/>
      <c r="C98" s="401" t="inlineStr">
        <is>
          <t>02.3.01.02-1012</t>
        </is>
      </c>
      <c r="D98" s="279" t="inlineStr">
        <is>
          <t>Песок природный II класс, средний, круглые сита</t>
        </is>
      </c>
      <c r="E98" s="427" t="inlineStr">
        <is>
          <t>м3</t>
        </is>
      </c>
      <c r="F98" s="427" t="n">
        <v>55</v>
      </c>
      <c r="G98" s="296" t="n">
        <v>59.99</v>
      </c>
      <c r="H98" s="275">
        <f>ROUND(F98*G98,2)</f>
        <v/>
      </c>
    </row>
    <row r="99">
      <c r="A99" s="281" t="n">
        <v>84</v>
      </c>
      <c r="B99" s="394" t="n"/>
      <c r="C99" s="401" t="inlineStr">
        <is>
          <t>14.5.09.11-0102</t>
        </is>
      </c>
      <c r="D99" s="279" t="inlineStr">
        <is>
          <t>Уайт-спирит</t>
        </is>
      </c>
      <c r="E99" s="427" t="inlineStr">
        <is>
          <t>кг</t>
        </is>
      </c>
      <c r="F99" s="427" t="n">
        <v>424.488</v>
      </c>
      <c r="G99" s="296" t="n">
        <v>6.67</v>
      </c>
      <c r="H99" s="275">
        <f>ROUND(F99*G99,2)</f>
        <v/>
      </c>
    </row>
    <row r="100" ht="25.5" customHeight="1" s="348">
      <c r="A100" s="281" t="n">
        <v>85</v>
      </c>
      <c r="B100" s="394" t="n"/>
      <c r="C100" s="401" t="inlineStr">
        <is>
          <t>22.2.02.04-0052</t>
        </is>
      </c>
      <c r="D100" s="279" t="inlineStr">
        <is>
          <t>Звено промежуточное трехлапчатое ПРТ-21-1 (прим. ПРТ-45-1)</t>
        </is>
      </c>
      <c r="E100" s="427" t="inlineStr">
        <is>
          <t>шт</t>
        </is>
      </c>
      <c r="F100" s="427" t="n">
        <v>19</v>
      </c>
      <c r="G100" s="296" t="n">
        <v>137.02</v>
      </c>
      <c r="H100" s="275">
        <f>ROUND(F100*G100,2)</f>
        <v/>
      </c>
    </row>
    <row r="101" ht="25.5" customHeight="1" s="348">
      <c r="A101" s="281" t="n">
        <v>86</v>
      </c>
      <c r="B101" s="394" t="n"/>
      <c r="C101" s="401" t="inlineStr">
        <is>
          <t>08.4.03.02-0004</t>
        </is>
      </c>
      <c r="D101" s="279" t="inlineStr">
        <is>
          <t>Сталь арматурная, горячекатаная, гладкая, класс А-I, диаметр 12 мм</t>
        </is>
      </c>
      <c r="E101" s="427" t="inlineStr">
        <is>
          <t>т</t>
        </is>
      </c>
      <c r="F101" s="427" t="n">
        <v>0.1152</v>
      </c>
      <c r="G101" s="296" t="n">
        <v>6508.75</v>
      </c>
      <c r="H101" s="275">
        <f>ROUND(F101*G101,2)</f>
        <v/>
      </c>
    </row>
    <row r="102">
      <c r="A102" s="281" t="n">
        <v>87</v>
      </c>
      <c r="B102" s="394" t="n"/>
      <c r="C102" s="401" t="inlineStr">
        <is>
          <t>20.1.02.05-0012</t>
        </is>
      </c>
      <c r="D102" s="279" t="inlineStr">
        <is>
          <t>Коромысло: универсальное 2КУ-12-2 (прим. 2КУ-45-1)</t>
        </is>
      </c>
      <c r="E102" s="427" t="inlineStr">
        <is>
          <t>шт</t>
        </is>
      </c>
      <c r="F102" s="427" t="n">
        <v>4</v>
      </c>
      <c r="G102" s="296" t="n">
        <v>508.52</v>
      </c>
      <c r="H102" s="275">
        <f>ROUND(F102*G102,2)</f>
        <v/>
      </c>
    </row>
    <row r="103" ht="25.5" customHeight="1" s="348">
      <c r="A103" s="281" t="n">
        <v>88</v>
      </c>
      <c r="B103" s="394" t="n"/>
      <c r="C103" s="401" t="inlineStr">
        <is>
          <t>22.2.02.04-0004</t>
        </is>
      </c>
      <c r="D103" s="279" t="inlineStr">
        <is>
          <t>Звено промежуточное вывернутое ПРВ-21-1 (прим. ПРВ-60-1)</t>
        </is>
      </c>
      <c r="E103" s="427" t="inlineStr">
        <is>
          <t>шт</t>
        </is>
      </c>
      <c r="F103" s="427" t="n">
        <v>19</v>
      </c>
      <c r="G103" s="296" t="n">
        <v>83.93000000000001</v>
      </c>
      <c r="H103" s="275">
        <f>ROUND(F103*G103,2)</f>
        <v/>
      </c>
    </row>
    <row r="104">
      <c r="A104" s="281" t="n">
        <v>89</v>
      </c>
      <c r="B104" s="394" t="n"/>
      <c r="C104" s="401" t="inlineStr">
        <is>
          <t>22.2.02.01-0010</t>
        </is>
      </c>
      <c r="D104" s="279" t="inlineStr">
        <is>
          <t>Гаситель вибрации ГВ-6645-02 (прим. ГВ-6545-02М)</t>
        </is>
      </c>
      <c r="E104" s="427" t="inlineStr">
        <is>
          <t>шт</t>
        </is>
      </c>
      <c r="F104" s="427" t="n">
        <v>6</v>
      </c>
      <c r="G104" s="296" t="n">
        <v>253.83</v>
      </c>
      <c r="H104" s="275">
        <f>ROUND(F104*G104,2)</f>
        <v/>
      </c>
    </row>
    <row r="105">
      <c r="A105" s="281" t="n">
        <v>90</v>
      </c>
      <c r="B105" s="394" t="n"/>
      <c r="C105" s="401" t="inlineStr">
        <is>
          <t>22.2.02.01-0010</t>
        </is>
      </c>
      <c r="D105" s="279" t="inlineStr">
        <is>
          <t>Гаситель вибрации ГВ-6645-02 (прим. ГВ-6845-02М )</t>
        </is>
      </c>
      <c r="E105" s="427" t="inlineStr">
        <is>
          <t>шт</t>
        </is>
      </c>
      <c r="F105" s="427" t="n">
        <v>6</v>
      </c>
      <c r="G105" s="296" t="n">
        <v>253.83</v>
      </c>
      <c r="H105" s="275">
        <f>ROUND(F105*G105,2)</f>
        <v/>
      </c>
    </row>
    <row r="106" ht="38.25" customHeight="1" s="348">
      <c r="A106" s="281" t="n">
        <v>91</v>
      </c>
      <c r="B106" s="394" t="n"/>
      <c r="C106" s="401" t="inlineStr">
        <is>
          <t>20.5.04.04-0055</t>
        </is>
      </c>
      <c r="D106" s="279" t="inlineStr">
        <is>
          <t>Зажим натяжной спиральный НСО-13,0П-01 (прим. Зажим натяжной спиральный для троса (коуш РК-450) НСО-20.ОП-32(240)</t>
        </is>
      </c>
      <c r="E106" s="427" t="inlineStr">
        <is>
          <t>шт</t>
        </is>
      </c>
      <c r="F106" s="427" t="n">
        <v>4</v>
      </c>
      <c r="G106" s="296" t="n">
        <v>374.45</v>
      </c>
      <c r="H106" s="275">
        <f>ROUND(F106*G106,2)</f>
        <v/>
      </c>
    </row>
    <row r="107">
      <c r="A107" s="281" t="n">
        <v>92</v>
      </c>
      <c r="B107" s="394" t="n"/>
      <c r="C107" s="401" t="inlineStr">
        <is>
          <t>01.7.15.10-0035</t>
        </is>
      </c>
      <c r="D107" s="279" t="inlineStr">
        <is>
          <t>Скобы СК-21-1А (прим. Скоба  СК-45-1А)</t>
        </is>
      </c>
      <c r="E107" s="427" t="inlineStr">
        <is>
          <t>шт</t>
        </is>
      </c>
      <c r="F107" s="427" t="n">
        <v>12</v>
      </c>
      <c r="G107" s="296" t="n">
        <v>116.92</v>
      </c>
      <c r="H107" s="275">
        <f>ROUND(F107*G107,2)</f>
        <v/>
      </c>
    </row>
    <row r="108">
      <c r="A108" s="281" t="n">
        <v>93</v>
      </c>
      <c r="B108" s="394" t="n"/>
      <c r="C108" s="401" t="inlineStr">
        <is>
          <t>20.1.02.14-1008</t>
        </is>
      </c>
      <c r="D108" s="279" t="inlineStr">
        <is>
          <t>Серьга СР-21-20 (прим. Серьга СР-40-28)</t>
        </is>
      </c>
      <c r="E108" s="427" t="inlineStr">
        <is>
          <t>шт</t>
        </is>
      </c>
      <c r="F108" s="427" t="n">
        <v>19</v>
      </c>
      <c r="G108" s="296" t="n">
        <v>68.73</v>
      </c>
      <c r="H108" s="275">
        <f>ROUND(F108*G108,2)</f>
        <v/>
      </c>
    </row>
    <row r="109" ht="25.5" customHeight="1" s="348">
      <c r="A109" s="281" t="n">
        <v>94</v>
      </c>
      <c r="B109" s="394" t="n"/>
      <c r="C109" s="401" t="inlineStr">
        <is>
          <t>22.2.02.04-0020</t>
        </is>
      </c>
      <c r="D109" s="279" t="inlineStr">
        <is>
          <t>Звено промежуточное прямое двойное 2ПР-21-1 (прим. 2ПР-45-1 )</t>
        </is>
      </c>
      <c r="E109" s="427" t="inlineStr">
        <is>
          <t>шт</t>
        </is>
      </c>
      <c r="F109" s="427" t="n">
        <v>4</v>
      </c>
      <c r="G109" s="296" t="n">
        <v>314.56</v>
      </c>
      <c r="H109" s="275">
        <f>ROUND(F109*G109,2)</f>
        <v/>
      </c>
    </row>
    <row r="110" ht="25.5" customHeight="1" s="348">
      <c r="A110" s="281" t="n">
        <v>95</v>
      </c>
      <c r="B110" s="394" t="n"/>
      <c r="C110" s="401" t="inlineStr">
        <is>
          <t>22.2.02.04-0052</t>
        </is>
      </c>
      <c r="D110" s="279" t="inlineStr">
        <is>
          <t>Звено промежуточное трехлапчатое ПРТ-21-1 (прим. ПРТ-45/30-2 )</t>
        </is>
      </c>
      <c r="E110" s="427" t="inlineStr">
        <is>
          <t>шт</t>
        </is>
      </c>
      <c r="F110" s="427" t="n">
        <v>8</v>
      </c>
      <c r="G110" s="296" t="n">
        <v>137.02</v>
      </c>
      <c r="H110" s="275">
        <f>ROUND(F110*G110,2)</f>
        <v/>
      </c>
    </row>
    <row r="111">
      <c r="A111" s="281" t="n">
        <v>96</v>
      </c>
      <c r="B111" s="394" t="n"/>
      <c r="C111" s="401" t="inlineStr">
        <is>
          <t>14.2.01.05-0003</t>
        </is>
      </c>
      <c r="D111" s="279" t="inlineStr">
        <is>
          <t>Композиция цинконаполненная (Цинол)</t>
        </is>
      </c>
      <c r="E111" s="427" t="inlineStr">
        <is>
          <t>кг</t>
        </is>
      </c>
      <c r="F111" s="427" t="n">
        <v>8.426</v>
      </c>
      <c r="G111" s="296" t="n">
        <v>114.42</v>
      </c>
      <c r="H111" s="275">
        <f>ROUND(F111*G111,2)</f>
        <v/>
      </c>
    </row>
    <row r="112">
      <c r="A112" s="281" t="n">
        <v>97</v>
      </c>
      <c r="B112" s="394" t="n"/>
      <c r="C112" s="401" t="inlineStr">
        <is>
          <t>01.7.15.10-0035</t>
        </is>
      </c>
      <c r="D112" s="279" t="inlineStr">
        <is>
          <t>Скобы СК-21-1А (прим. Скоба  СК-30-1А)</t>
        </is>
      </c>
      <c r="E112" s="427" t="inlineStr">
        <is>
          <t>шт</t>
        </is>
      </c>
      <c r="F112" s="427" t="n">
        <v>8</v>
      </c>
      <c r="G112" s="296" t="n">
        <v>116.92</v>
      </c>
      <c r="H112" s="275">
        <f>ROUND(F112*G112,2)</f>
        <v/>
      </c>
    </row>
    <row r="113">
      <c r="A113" s="281" t="n">
        <v>98</v>
      </c>
      <c r="B113" s="394" t="n"/>
      <c r="C113" s="401" t="inlineStr">
        <is>
          <t>01.3.01.03-0002</t>
        </is>
      </c>
      <c r="D113" s="279" t="inlineStr">
        <is>
          <t>Керосин для технических целей</t>
        </is>
      </c>
      <c r="E113" s="427" t="inlineStr">
        <is>
          <t>т</t>
        </is>
      </c>
      <c r="F113" s="427" t="n">
        <v>0.355968</v>
      </c>
      <c r="G113" s="296" t="n">
        <v>2606.9</v>
      </c>
      <c r="H113" s="275">
        <f>ROUND(F113*G113,2)</f>
        <v/>
      </c>
    </row>
    <row r="114">
      <c r="A114" s="281" t="n">
        <v>99</v>
      </c>
      <c r="B114" s="394" t="n"/>
      <c r="C114" s="401" t="inlineStr">
        <is>
          <t>22.2.02.01-0009</t>
        </is>
      </c>
      <c r="D114" s="279" t="inlineStr">
        <is>
          <t>Гаситель вибрации ГВ-5534-02 (прим. ГВ-5644-02М)</t>
        </is>
      </c>
      <c r="E114" s="427" t="inlineStr">
        <is>
          <t>шт</t>
        </is>
      </c>
      <c r="F114" s="427" t="n">
        <v>4</v>
      </c>
      <c r="G114" s="296" t="n">
        <v>185.23</v>
      </c>
      <c r="H114" s="275">
        <f>ROUND(F114*G114,2)</f>
        <v/>
      </c>
    </row>
    <row r="115">
      <c r="A115" s="281" t="n">
        <v>100</v>
      </c>
      <c r="B115" s="394" t="n"/>
      <c r="C115" s="401" t="inlineStr">
        <is>
          <t>01.7.15.10-0035</t>
        </is>
      </c>
      <c r="D115" s="279" t="inlineStr">
        <is>
          <t>Скобы СК-21-1А (прим. Скоба СК-120-1)</t>
        </is>
      </c>
      <c r="E115" s="427" t="inlineStr">
        <is>
          <t>шт</t>
        </is>
      </c>
      <c r="F115" s="427" t="n">
        <v>6</v>
      </c>
      <c r="G115" s="296" t="n">
        <v>116.92</v>
      </c>
      <c r="H115" s="275">
        <f>ROUND(F115*G115,2)</f>
        <v/>
      </c>
    </row>
    <row r="116" ht="25.5" customHeight="1" s="348">
      <c r="A116" s="281" t="n">
        <v>101</v>
      </c>
      <c r="B116" s="394" t="n"/>
      <c r="C116" s="401" t="inlineStr">
        <is>
          <t>22.2.02.04-0004</t>
        </is>
      </c>
      <c r="D116" s="279" t="inlineStr">
        <is>
          <t>Звено промежуточное вывернутое ПРВ-21-1 (прим. ПРВ-30-1)</t>
        </is>
      </c>
      <c r="E116" s="427" t="inlineStr">
        <is>
          <t>шт</t>
        </is>
      </c>
      <c r="F116" s="427" t="n">
        <v>8</v>
      </c>
      <c r="G116" s="296" t="n">
        <v>83.93000000000001</v>
      </c>
      <c r="H116" s="275">
        <f>ROUND(F116*G116,2)</f>
        <v/>
      </c>
    </row>
    <row r="117">
      <c r="A117" s="281" t="n">
        <v>102</v>
      </c>
      <c r="B117" s="394" t="n"/>
      <c r="C117" s="401" t="inlineStr">
        <is>
          <t>22.2.02.01-0008</t>
        </is>
      </c>
      <c r="D117" s="279" t="inlineStr">
        <is>
          <t>Гаситель вибрации ГВ-4543-02 (прим. ГВ-4644-02М)</t>
        </is>
      </c>
      <c r="E117" s="427" t="inlineStr">
        <is>
          <t>шт</t>
        </is>
      </c>
      <c r="F117" s="427" t="n">
        <v>4</v>
      </c>
      <c r="G117" s="296" t="n">
        <v>141.47</v>
      </c>
      <c r="H117" s="275">
        <f>ROUND(F117*G117,2)</f>
        <v/>
      </c>
    </row>
    <row r="118" ht="38.25" customHeight="1" s="348">
      <c r="A118" s="281" t="n">
        <v>103</v>
      </c>
      <c r="B118" s="394" t="n"/>
      <c r="C118" s="401" t="inlineStr">
        <is>
          <t>11.1.02.01-0031</t>
        </is>
      </c>
      <c r="D118" s="279" t="inlineStr">
        <is>
          <t>Лесоматериалы лиственных пород для строительства, круглые, длина 3-6,5 м, диаметр 12-24 см</t>
        </is>
      </c>
      <c r="E118" s="427" t="inlineStr">
        <is>
          <t>м3</t>
        </is>
      </c>
      <c r="F118" s="427" t="n">
        <v>1.51</v>
      </c>
      <c r="G118" s="296" t="n">
        <v>365</v>
      </c>
      <c r="H118" s="275">
        <f>ROUND(F118*G118,2)</f>
        <v/>
      </c>
    </row>
    <row r="119" ht="25.5" customHeight="1" s="348">
      <c r="A119" s="281" t="n">
        <v>104</v>
      </c>
      <c r="B119" s="394" t="n"/>
      <c r="C119" s="401" t="inlineStr">
        <is>
          <t>20.5.04.04-0020</t>
        </is>
      </c>
      <c r="D119" s="279" t="inlineStr">
        <is>
          <t>Зажим натяжной НС-50-3 (НС-37.5-52(510)-НП(75)-АЖС)</t>
        </is>
      </c>
      <c r="E119" s="427" t="inlineStr">
        <is>
          <t>шт</t>
        </is>
      </c>
      <c r="F119" s="427" t="n">
        <v>6</v>
      </c>
      <c r="G119" s="296" t="n">
        <v>84.87</v>
      </c>
      <c r="H119" s="275">
        <f>ROUND(F119*G119,2)</f>
        <v/>
      </c>
    </row>
    <row r="120" ht="25.5" customHeight="1" s="348">
      <c r="A120" s="281" t="n">
        <v>105</v>
      </c>
      <c r="B120" s="394" t="n"/>
      <c r="C120" s="401" t="inlineStr">
        <is>
          <t>22.2.02.04-0054</t>
        </is>
      </c>
      <c r="D120" s="279" t="inlineStr">
        <is>
          <t>Звено промежуточное трехлапчатое ПРТ-21/16-2 (прим. ПРТ-120/60)</t>
        </is>
      </c>
      <c r="E120" s="427" t="inlineStr">
        <is>
          <t>шт</t>
        </is>
      </c>
      <c r="F120" s="427" t="n">
        <v>6</v>
      </c>
      <c r="G120" s="296" t="n">
        <v>80.09999999999999</v>
      </c>
      <c r="H120" s="275">
        <f>ROUND(F120*G120,2)</f>
        <v/>
      </c>
    </row>
    <row r="121">
      <c r="A121" s="281" t="n">
        <v>106</v>
      </c>
      <c r="B121" s="394" t="n"/>
      <c r="C121" s="401" t="inlineStr">
        <is>
          <t>20.1.01.02-0055</t>
        </is>
      </c>
      <c r="D121" s="279" t="inlineStr">
        <is>
          <t>Зажим аппаратный прессуемый: А2А-700-2</t>
        </is>
      </c>
      <c r="E121" s="427" t="inlineStr">
        <is>
          <t>100 шт</t>
        </is>
      </c>
      <c r="F121" s="427" t="n">
        <v>0.06</v>
      </c>
      <c r="G121" s="296" t="n">
        <v>6182</v>
      </c>
      <c r="H121" s="275">
        <f>ROUND(F121*G121,2)</f>
        <v/>
      </c>
    </row>
    <row r="122" ht="25.5" customHeight="1" s="348">
      <c r="A122" s="281" t="n">
        <v>107</v>
      </c>
      <c r="B122" s="394" t="n"/>
      <c r="C122" s="401" t="inlineStr">
        <is>
          <t>20.1.02.11-0007</t>
        </is>
      </c>
      <c r="D122" s="279" t="inlineStr">
        <is>
          <t>Протектор защитный спиральный ПЗС-18,8-31 (прим. ПЗС-20.0/20.3-13)</t>
        </is>
      </c>
      <c r="E122" s="427" t="inlineStr">
        <is>
          <t>шт</t>
        </is>
      </c>
      <c r="F122" s="427" t="n">
        <v>4</v>
      </c>
      <c r="G122" s="296" t="n">
        <v>91.05</v>
      </c>
      <c r="H122" s="275">
        <f>ROUND(F122*G122,2)</f>
        <v/>
      </c>
    </row>
    <row r="123" ht="25.5" customHeight="1" s="348">
      <c r="A123" s="281" t="n">
        <v>108</v>
      </c>
      <c r="B123" s="394" t="n"/>
      <c r="C123" s="401" t="inlineStr">
        <is>
          <t>22.2.02.04-0004</t>
        </is>
      </c>
      <c r="D123" s="279" t="inlineStr">
        <is>
          <t>Звено промежуточное вывернутое ПРВ-21-1 (прим. ПРВ-45-1 )</t>
        </is>
      </c>
      <c r="E123" s="427" t="inlineStr">
        <is>
          <t>шт</t>
        </is>
      </c>
      <c r="F123" s="427" t="n">
        <v>4</v>
      </c>
      <c r="G123" s="296" t="n">
        <v>83.93000000000001</v>
      </c>
      <c r="H123" s="275">
        <f>ROUND(F123*G123,2)</f>
        <v/>
      </c>
    </row>
    <row r="124">
      <c r="A124" s="281" t="n">
        <v>109</v>
      </c>
      <c r="B124" s="394" t="n"/>
      <c r="C124" s="401" t="inlineStr">
        <is>
          <t>20.1.01.02-0053</t>
        </is>
      </c>
      <c r="D124" s="279" t="inlineStr">
        <is>
          <t>Зажим аппаратный прессуемый: А2А-300-2</t>
        </is>
      </c>
      <c r="E124" s="427" t="inlineStr">
        <is>
          <t>100 шт</t>
        </is>
      </c>
      <c r="F124" s="427" t="n">
        <v>0.06</v>
      </c>
      <c r="G124" s="296" t="n">
        <v>4668</v>
      </c>
      <c r="H124" s="275">
        <f>ROUND(F124*G124,2)</f>
        <v/>
      </c>
    </row>
    <row r="125" ht="25.5" customHeight="1" s="348">
      <c r="A125" s="281" t="n">
        <v>110</v>
      </c>
      <c r="B125" s="394" t="n"/>
      <c r="C125" s="401" t="inlineStr">
        <is>
          <t>14.2.01.05-0001</t>
        </is>
      </c>
      <c r="D125" s="279" t="inlineStr">
        <is>
          <t>Композиция на основе термопластичных полимеров (Алпол)</t>
        </is>
      </c>
      <c r="E125" s="427" t="inlineStr">
        <is>
          <t>кг</t>
        </is>
      </c>
      <c r="F125" s="427" t="n">
        <v>4.063</v>
      </c>
      <c r="G125" s="296" t="n">
        <v>54.99</v>
      </c>
      <c r="H125" s="275">
        <f>ROUND(F125*G125,2)</f>
        <v/>
      </c>
    </row>
    <row r="126">
      <c r="A126" s="281" t="n">
        <v>111</v>
      </c>
      <c r="B126" s="394" t="n"/>
      <c r="C126" s="401" t="inlineStr">
        <is>
          <t>01.7.15.03-0042</t>
        </is>
      </c>
      <c r="D126" s="279" t="inlineStr">
        <is>
          <t>Болты с гайками и шайбами строительные</t>
        </is>
      </c>
      <c r="E126" s="427" t="inlineStr">
        <is>
          <t>кг</t>
        </is>
      </c>
      <c r="F126" s="427" t="n">
        <v>17</v>
      </c>
      <c r="G126" s="296" t="n">
        <v>9.039999999999999</v>
      </c>
      <c r="H126" s="275">
        <f>ROUND(F126*G126,2)</f>
        <v/>
      </c>
    </row>
    <row r="127" ht="25.5" customHeight="1" s="348">
      <c r="A127" s="281" t="n">
        <v>112</v>
      </c>
      <c r="B127" s="394" t="n"/>
      <c r="C127" s="401" t="inlineStr">
        <is>
          <t>16.3.02.03-0004</t>
        </is>
      </c>
      <c r="D127" s="279" t="inlineStr">
        <is>
          <t>Удобрения сложно-смешанные гранулированные насыпью</t>
        </is>
      </c>
      <c r="E127" s="427" t="inlineStr">
        <is>
          <t>т</t>
        </is>
      </c>
      <c r="F127" s="427" t="n">
        <v>0.0638452</v>
      </c>
      <c r="G127" s="296" t="n">
        <v>1480</v>
      </c>
      <c r="H127" s="275">
        <f>ROUND(F127*G127,2)</f>
        <v/>
      </c>
    </row>
    <row r="128">
      <c r="A128" s="281" t="n">
        <v>113</v>
      </c>
      <c r="B128" s="394" t="n"/>
      <c r="C128" s="401" t="inlineStr">
        <is>
          <t>08.3.03.04-0012</t>
        </is>
      </c>
      <c r="D128" s="279" t="inlineStr">
        <is>
          <t>Проволока светлая, диаметр 1,1 мм</t>
        </is>
      </c>
      <c r="E128" s="427" t="inlineStr">
        <is>
          <t>т</t>
        </is>
      </c>
      <c r="F128" s="427" t="n">
        <v>0.008999999999999999</v>
      </c>
      <c r="G128" s="296" t="n">
        <v>10200</v>
      </c>
      <c r="H128" s="275">
        <f>ROUND(F128*G128,2)</f>
        <v/>
      </c>
    </row>
    <row r="129">
      <c r="A129" s="281" t="n">
        <v>114</v>
      </c>
      <c r="B129" s="394" t="n"/>
      <c r="C129" s="401" t="inlineStr">
        <is>
          <t>08.3.07.01-0044</t>
        </is>
      </c>
      <c r="D129" s="279" t="inlineStr">
        <is>
          <t>Сталь полосовая: 40х6 мм, марка Ст3сп</t>
        </is>
      </c>
      <c r="E129" s="427" t="inlineStr">
        <is>
          <t>т</t>
        </is>
      </c>
      <c r="F129" s="427" t="n">
        <v>0.00715</v>
      </c>
      <c r="G129" s="296" t="n">
        <v>6674.64</v>
      </c>
      <c r="H129" s="275">
        <f>ROUND(F129*G129,2)</f>
        <v/>
      </c>
    </row>
    <row r="130">
      <c r="A130" s="281" t="n">
        <v>115</v>
      </c>
      <c r="B130" s="394" t="n"/>
      <c r="C130" s="401" t="inlineStr">
        <is>
          <t>01.7.03.01-0001</t>
        </is>
      </c>
      <c r="D130" s="279" t="inlineStr">
        <is>
          <t>Вода</t>
        </is>
      </c>
      <c r="E130" s="427" t="inlineStr">
        <is>
          <t>м3</t>
        </is>
      </c>
      <c r="F130" s="427" t="n">
        <v>14.55</v>
      </c>
      <c r="G130" s="296" t="n">
        <v>2.44</v>
      </c>
      <c r="H130" s="275">
        <f>ROUND(F130*G130,2)</f>
        <v/>
      </c>
    </row>
    <row r="131">
      <c r="A131" s="281" t="n">
        <v>116</v>
      </c>
      <c r="B131" s="394" t="n"/>
      <c r="C131" s="401" t="inlineStr">
        <is>
          <t>01.7.15.03-0042</t>
        </is>
      </c>
      <c r="D131" s="279" t="inlineStr">
        <is>
          <t>Болты с гайками и шайбами строительные</t>
        </is>
      </c>
      <c r="E131" s="427" t="inlineStr">
        <is>
          <t>кг</t>
        </is>
      </c>
      <c r="F131" s="427" t="n">
        <v>2.1</v>
      </c>
      <c r="G131" s="296" t="n">
        <v>9.039999999999999</v>
      </c>
      <c r="H131" s="275">
        <f>ROUND(F131*G131,2)</f>
        <v/>
      </c>
    </row>
    <row r="132">
      <c r="A132" s="281" t="n">
        <v>117</v>
      </c>
      <c r="B132" s="394" t="n"/>
      <c r="C132" s="401" t="inlineStr">
        <is>
          <t>01.7.11.07-0036</t>
        </is>
      </c>
      <c r="D132" s="279" t="inlineStr">
        <is>
          <t>Электроды сварочные Э46, диаметр 4 мм</t>
        </is>
      </c>
      <c r="E132" s="427" t="inlineStr">
        <is>
          <t>кг</t>
        </is>
      </c>
      <c r="F132" s="427" t="n">
        <v>1.4547</v>
      </c>
      <c r="G132" s="296" t="n">
        <v>10.75</v>
      </c>
      <c r="H132" s="275">
        <f>ROUND(F132*G132,2)</f>
        <v/>
      </c>
    </row>
    <row r="133">
      <c r="A133" s="281" t="n">
        <v>118</v>
      </c>
      <c r="B133" s="394" t="n"/>
      <c r="C133" s="401" t="inlineStr">
        <is>
          <t>01.7.20.08-0051</t>
        </is>
      </c>
      <c r="D133" s="279" t="inlineStr">
        <is>
          <t>Ветошь</t>
        </is>
      </c>
      <c r="E133" s="427" t="inlineStr">
        <is>
          <t>кг</t>
        </is>
      </c>
      <c r="F133" s="427" t="n">
        <v>1.4832</v>
      </c>
      <c r="G133" s="296" t="n">
        <v>1.82</v>
      </c>
      <c r="H133" s="275">
        <f>ROUND(F133*G133,2)</f>
        <v/>
      </c>
    </row>
    <row r="134">
      <c r="A134" s="281" t="n">
        <v>119</v>
      </c>
      <c r="B134" s="394" t="n"/>
      <c r="C134" s="401" t="inlineStr">
        <is>
          <t>14.5.09.07-0030</t>
        </is>
      </c>
      <c r="D134" s="279" t="inlineStr">
        <is>
          <t>Растворитель Р-4</t>
        </is>
      </c>
      <c r="E134" s="427" t="inlineStr">
        <is>
          <t>кг</t>
        </is>
      </c>
      <c r="F134" s="427" t="n">
        <v>0.004</v>
      </c>
      <c r="G134" s="296" t="n">
        <v>9.42</v>
      </c>
      <c r="H134" s="275">
        <f>ROUND(F134*G134,2)</f>
        <v/>
      </c>
    </row>
    <row r="135">
      <c r="A135" s="281" t="n">
        <v>120</v>
      </c>
      <c r="B135" s="394" t="n"/>
      <c r="C135" s="401" t="inlineStr">
        <is>
          <t>14.5.09.02-0002</t>
        </is>
      </c>
      <c r="D135" s="279" t="inlineStr">
        <is>
          <t>Ксилол нефтяной, марка А</t>
        </is>
      </c>
      <c r="E135" s="427" t="inlineStr">
        <is>
          <t>т</t>
        </is>
      </c>
      <c r="F135" s="427" t="n">
        <v>8e-07</v>
      </c>
      <c r="G135" s="296" t="n">
        <v>7640</v>
      </c>
      <c r="H135" s="275">
        <f>ROUND(F135*G135,2)</f>
        <v/>
      </c>
    </row>
    <row r="138">
      <c r="B138" s="322" t="inlineStr">
        <is>
          <t>Составил ______________________     Е. М. Добровольская</t>
        </is>
      </c>
    </row>
    <row r="139">
      <c r="B139" s="319" t="inlineStr">
        <is>
          <t xml:space="preserve">                         (подпись, инициалы, фамилия)</t>
        </is>
      </c>
    </row>
    <row r="141">
      <c r="B141" s="322" t="inlineStr">
        <is>
          <t>Проверил ______________________        А.В. Костянецкая</t>
        </is>
      </c>
    </row>
    <row r="142">
      <c r="B142" s="319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A12:E12"/>
    <mergeCell ref="A65:E65"/>
    <mergeCell ref="A29:E29"/>
    <mergeCell ref="C9:C10"/>
    <mergeCell ref="A7:H7"/>
    <mergeCell ref="A9:A10"/>
    <mergeCell ref="D9:D10"/>
    <mergeCell ref="E9:E10"/>
    <mergeCell ref="F9:F10"/>
    <mergeCell ref="C5:H5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D45" sqref="D45"/>
    </sheetView>
  </sheetViews>
  <sheetFormatPr baseColWidth="8" defaultRowHeight="15"/>
  <cols>
    <col width="4.140625" customWidth="1" style="348" min="1" max="1"/>
    <col width="36.28515625" customWidth="1" style="348" min="2" max="2"/>
    <col width="18.85546875" customWidth="1" style="348" min="3" max="3"/>
    <col width="18.28515625" customWidth="1" style="348" min="4" max="4"/>
    <col width="18.85546875" customWidth="1" style="348" min="5" max="5"/>
    <col width="9.140625" customWidth="1" style="348" min="6" max="6"/>
    <col width="13.42578125" customWidth="1" style="348" min="7" max="7"/>
    <col width="9.140625" customWidth="1" style="348" min="8" max="11"/>
    <col width="13.5703125" customWidth="1" style="348" min="12" max="12"/>
    <col width="9.140625" customWidth="1" style="348" min="13" max="13"/>
  </cols>
  <sheetData>
    <row r="1">
      <c r="B1" s="336" t="n"/>
      <c r="C1" s="336" t="n"/>
      <c r="D1" s="336" t="n"/>
      <c r="E1" s="336" t="n"/>
    </row>
    <row r="2">
      <c r="B2" s="336" t="n"/>
      <c r="C2" s="336" t="n"/>
      <c r="D2" s="336" t="n"/>
      <c r="E2" s="422" t="inlineStr">
        <is>
          <t>Приложение № 4</t>
        </is>
      </c>
    </row>
    <row r="3">
      <c r="B3" s="336" t="n"/>
      <c r="C3" s="336" t="n"/>
      <c r="D3" s="336" t="n"/>
      <c r="E3" s="336" t="n"/>
    </row>
    <row r="4">
      <c r="B4" s="336" t="n"/>
      <c r="C4" s="336" t="n"/>
      <c r="D4" s="336" t="n"/>
      <c r="E4" s="336" t="n"/>
    </row>
    <row r="5">
      <c r="B5" s="372" t="inlineStr">
        <is>
          <t>Ресурсная модель</t>
        </is>
      </c>
    </row>
    <row r="6">
      <c r="B6" s="265" t="n"/>
      <c r="C6" s="336" t="n"/>
      <c r="D6" s="336" t="n"/>
      <c r="E6" s="336" t="n"/>
    </row>
    <row r="7" ht="25.5" customHeight="1" s="348">
      <c r="B7" s="385">
        <f>'Прил.1 Сравнит табл'!B7:D7</f>
        <v/>
      </c>
    </row>
    <row r="8">
      <c r="B8" s="397" t="inlineStr">
        <is>
          <t>Единица измерения  — 1 переход</t>
        </is>
      </c>
    </row>
    <row r="9">
      <c r="B9" s="265" t="n"/>
      <c r="C9" s="336" t="n"/>
      <c r="D9" s="336" t="n"/>
      <c r="E9" s="336" t="n"/>
    </row>
    <row r="10" ht="51" customHeight="1" s="348">
      <c r="B10" s="401" t="inlineStr">
        <is>
          <t>Наименование</t>
        </is>
      </c>
      <c r="C10" s="401" t="inlineStr">
        <is>
          <t>Сметная стоимость в ценах на 01.01.2023
 (руб.)</t>
        </is>
      </c>
      <c r="D10" s="401" t="inlineStr">
        <is>
          <t>Удельный вес, 
(в СМР)</t>
        </is>
      </c>
      <c r="E10" s="401" t="inlineStr">
        <is>
          <t>Удельный вес, % 
(от всего по РМ)</t>
        </is>
      </c>
    </row>
    <row r="11">
      <c r="B11" s="257" t="inlineStr">
        <is>
          <t>Оплата труда рабочих</t>
        </is>
      </c>
      <c r="C11" s="341">
        <f>'Прил.5 Расчет СМР и ОБ'!J14</f>
        <v/>
      </c>
      <c r="D11" s="259">
        <f>C11/$C$24</f>
        <v/>
      </c>
      <c r="E11" s="259">
        <f>C11/$C$40</f>
        <v/>
      </c>
    </row>
    <row r="12">
      <c r="B12" s="257" t="inlineStr">
        <is>
          <t>Эксплуатация машин основных</t>
        </is>
      </c>
      <c r="C12" s="341">
        <f>'Прил.5 Расчет СМР и ОБ'!J28</f>
        <v/>
      </c>
      <c r="D12" s="259">
        <f>C12/$C$24</f>
        <v/>
      </c>
      <c r="E12" s="259">
        <f>C12/$C$40</f>
        <v/>
      </c>
    </row>
    <row r="13">
      <c r="B13" s="257" t="inlineStr">
        <is>
          <t>Эксплуатация машин прочих</t>
        </is>
      </c>
      <c r="C13" s="341">
        <f>'Прил.5 Расчет СМР и ОБ'!J55</f>
        <v/>
      </c>
      <c r="D13" s="259">
        <f>C13/$C$24</f>
        <v/>
      </c>
      <c r="E13" s="259">
        <f>C13/$C$40</f>
        <v/>
      </c>
    </row>
    <row r="14">
      <c r="B14" s="257" t="inlineStr">
        <is>
          <t>ЭКСПЛУАТАЦИЯ МАШИН, ВСЕГО:</t>
        </is>
      </c>
      <c r="C14" s="341">
        <f>C13+C12</f>
        <v/>
      </c>
      <c r="D14" s="259">
        <f>C14/$C$24</f>
        <v/>
      </c>
      <c r="E14" s="259">
        <f>C14/$C$40</f>
        <v/>
      </c>
    </row>
    <row r="15">
      <c r="B15" s="257" t="inlineStr">
        <is>
          <t>в том числе зарплата машинистов</t>
        </is>
      </c>
      <c r="C15" s="341">
        <f>'Прил.5 Расчет СМР и ОБ'!J16</f>
        <v/>
      </c>
      <c r="D15" s="259">
        <f>C15/$C$24</f>
        <v/>
      </c>
      <c r="E15" s="259">
        <f>C15/$C$40</f>
        <v/>
      </c>
    </row>
    <row r="16">
      <c r="B16" s="257" t="inlineStr">
        <is>
          <t>Материалы основные</t>
        </is>
      </c>
      <c r="C16" s="341">
        <f>'Прил.5 Расчет СМР и ОБ'!J71</f>
        <v/>
      </c>
      <c r="D16" s="259">
        <f>C16/$C$24</f>
        <v/>
      </c>
      <c r="E16" s="259">
        <f>C16/$C$40</f>
        <v/>
      </c>
    </row>
    <row r="17">
      <c r="B17" s="257" t="inlineStr">
        <is>
          <t>Материалы прочие</t>
        </is>
      </c>
      <c r="C17" s="341">
        <f>'Прил.5 Расчет СМР и ОБ'!J136</f>
        <v/>
      </c>
      <c r="D17" s="259">
        <f>C17/$C$24</f>
        <v/>
      </c>
      <c r="E17" s="259">
        <f>C17/$C$40</f>
        <v/>
      </c>
      <c r="G17" s="263" t="n"/>
    </row>
    <row r="18">
      <c r="B18" s="257" t="inlineStr">
        <is>
          <t>МАТЕРИАЛЫ, ВСЕГО:</t>
        </is>
      </c>
      <c r="C18" s="341">
        <f>C17+C16</f>
        <v/>
      </c>
      <c r="D18" s="259">
        <f>C18/$C$24</f>
        <v/>
      </c>
      <c r="E18" s="259">
        <f>C18/$C$40</f>
        <v/>
      </c>
    </row>
    <row r="19">
      <c r="B19" s="257" t="inlineStr">
        <is>
          <t>ИТОГО</t>
        </is>
      </c>
      <c r="C19" s="341">
        <f>C18+C14+C11</f>
        <v/>
      </c>
      <c r="D19" s="259" t="n"/>
      <c r="E19" s="257" t="n"/>
    </row>
    <row r="20">
      <c r="B20" s="257" t="inlineStr">
        <is>
          <t>Сметная прибыль, руб.</t>
        </is>
      </c>
      <c r="C20" s="341">
        <f>ROUND(C21*(C11+C15),2)</f>
        <v/>
      </c>
      <c r="D20" s="259">
        <f>C20/$C$24</f>
        <v/>
      </c>
      <c r="E20" s="259">
        <f>C20/$C$40</f>
        <v/>
      </c>
    </row>
    <row r="21">
      <c r="B21" s="257" t="inlineStr">
        <is>
          <t>Сметная прибыль, %</t>
        </is>
      </c>
      <c r="C21" s="262">
        <f>'Прил.5 Расчет СМР и ОБ'!D140</f>
        <v/>
      </c>
      <c r="D21" s="259" t="n"/>
      <c r="E21" s="257" t="n"/>
    </row>
    <row r="22">
      <c r="B22" s="257" t="inlineStr">
        <is>
          <t>Накладные расходы, руб.</t>
        </is>
      </c>
      <c r="C22" s="341">
        <f>ROUND(C23*(C11+C15),2)</f>
        <v/>
      </c>
      <c r="D22" s="259">
        <f>C22/$C$24</f>
        <v/>
      </c>
      <c r="E22" s="259">
        <f>C22/$C$40</f>
        <v/>
      </c>
    </row>
    <row r="23">
      <c r="B23" s="257" t="inlineStr">
        <is>
          <t>Накладные расходы, %</t>
        </is>
      </c>
      <c r="C23" s="262">
        <f>'Прил.5 Расчет СМР и ОБ'!D139</f>
        <v/>
      </c>
      <c r="D23" s="259" t="n"/>
      <c r="E23" s="257" t="n"/>
    </row>
    <row r="24">
      <c r="B24" s="257" t="inlineStr">
        <is>
          <t>ВСЕГО СМР с НР и СП</t>
        </is>
      </c>
      <c r="C24" s="341">
        <f>C19+C20+C22</f>
        <v/>
      </c>
      <c r="D24" s="259">
        <f>C24/$C$24</f>
        <v/>
      </c>
      <c r="E24" s="259">
        <f>C24/$C$40</f>
        <v/>
      </c>
    </row>
    <row r="25" ht="25.5" customHeight="1" s="348">
      <c r="B25" s="257" t="inlineStr">
        <is>
          <t>ВСЕГО стоимость оборудования, в том числе</t>
        </is>
      </c>
      <c r="C25" s="341">
        <f>'Прил.5 Расчет СМР и ОБ'!J61</f>
        <v/>
      </c>
      <c r="D25" s="259" t="n"/>
      <c r="E25" s="259">
        <f>C25/$C$40</f>
        <v/>
      </c>
    </row>
    <row r="26" ht="25.5" customHeight="1" s="348">
      <c r="B26" s="257" t="inlineStr">
        <is>
          <t>стоимость оборудования технологического</t>
        </is>
      </c>
      <c r="C26" s="341">
        <f>'Прил.5 Расчет СМР и ОБ'!J62</f>
        <v/>
      </c>
      <c r="D26" s="259" t="n"/>
      <c r="E26" s="259">
        <f>C26/$C$40</f>
        <v/>
      </c>
    </row>
    <row r="27">
      <c r="B27" s="257" t="inlineStr">
        <is>
          <t>ИТОГО (СМР + ОБОРУДОВАНИЕ)</t>
        </is>
      </c>
      <c r="C27" s="261">
        <f>C24+C25</f>
        <v/>
      </c>
      <c r="D27" s="259" t="n"/>
      <c r="E27" s="259">
        <f>C27/$C$40</f>
        <v/>
      </c>
      <c r="G27" s="260" t="n"/>
    </row>
    <row r="28" ht="33" customHeight="1" s="348">
      <c r="B28" s="257" t="inlineStr">
        <is>
          <t>ПРОЧ. ЗАТР., УЧТЕННЫЕ ПОКАЗАТЕЛЕМ,  в том числе</t>
        </is>
      </c>
      <c r="C28" s="257" t="n"/>
      <c r="D28" s="257" t="n"/>
      <c r="E28" s="257" t="n"/>
    </row>
    <row r="29" ht="25.5" customHeight="1" s="348">
      <c r="B29" s="257" t="inlineStr">
        <is>
          <t>Временные здания и сооружения - 3,3%</t>
        </is>
      </c>
      <c r="C29" s="261">
        <f>ROUND(C24*3.3%,2)</f>
        <v/>
      </c>
      <c r="D29" s="257" t="n"/>
      <c r="E29" s="259" t="n">
        <v>0.033</v>
      </c>
    </row>
    <row r="30" ht="38.25" customHeight="1" s="348">
      <c r="B30" s="257" t="inlineStr">
        <is>
          <t>Дополнительные затраты при производстве строительно-монтажных работ в зимнее время - 1%</t>
        </is>
      </c>
      <c r="C30" s="261">
        <f>ROUND((C24+C29)*1%,2)</f>
        <v/>
      </c>
      <c r="D30" s="257" t="n"/>
      <c r="E30" s="259" t="n">
        <v>0.01</v>
      </c>
    </row>
    <row r="31">
      <c r="B31" s="257" t="inlineStr">
        <is>
          <t>Пусконаладочные работы</t>
        </is>
      </c>
      <c r="C31" s="261" t="n">
        <v>0</v>
      </c>
      <c r="D31" s="257" t="n"/>
      <c r="E31" s="259">
        <f>C31/$C$40</f>
        <v/>
      </c>
    </row>
    <row r="32" ht="25.5" customHeight="1" s="348">
      <c r="B32" s="257" t="inlineStr">
        <is>
          <t>Затраты по перевозке работников к месту работы и обратно</t>
        </is>
      </c>
      <c r="C32" s="261" t="n">
        <v>0</v>
      </c>
      <c r="D32" s="257" t="n"/>
      <c r="E32" s="259">
        <f>C32/$C$40</f>
        <v/>
      </c>
    </row>
    <row r="33" ht="25.5" customHeight="1" s="348">
      <c r="B33" s="257" t="inlineStr">
        <is>
          <t>Затраты, связанные с осуществлением работ вахтовым методом</t>
        </is>
      </c>
      <c r="C33" s="261">
        <f>ROUND(C27*0%,2)</f>
        <v/>
      </c>
      <c r="D33" s="257" t="n"/>
      <c r="E33" s="259">
        <f>C33/$C$40</f>
        <v/>
      </c>
    </row>
    <row r="34" ht="51" customHeight="1" s="348">
      <c r="B34" s="2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1" t="n">
        <v>0</v>
      </c>
      <c r="D34" s="257" t="n"/>
      <c r="E34" s="259">
        <f>C34/$C$40</f>
        <v/>
      </c>
    </row>
    <row r="35" ht="76.5" customHeight="1" s="348">
      <c r="B35" s="2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1">
        <f>ROUND(C27*0%,2)</f>
        <v/>
      </c>
      <c r="D35" s="257" t="n"/>
      <c r="E35" s="259">
        <f>C35/$C$40</f>
        <v/>
      </c>
    </row>
    <row r="36" ht="25.5" customHeight="1" s="348">
      <c r="B36" s="257" t="inlineStr">
        <is>
          <t>Строительный контроль и содержание службы заказчика - 2,14%</t>
        </is>
      </c>
      <c r="C36" s="261">
        <f>ROUND((C27+C32+C33+C34+C35+C29+C31+C30)*2.14%,2)</f>
        <v/>
      </c>
      <c r="D36" s="257" t="n"/>
      <c r="E36" s="259">
        <f>C36/$C$40</f>
        <v/>
      </c>
      <c r="L36" s="260" t="n"/>
    </row>
    <row r="37">
      <c r="B37" s="257" t="inlineStr">
        <is>
          <t>Авторский надзор - 0,2%</t>
        </is>
      </c>
      <c r="C37" s="261">
        <f>ROUND((C27+C32+C33+C34+C35+C29+C31+C30)*0.2%,2)</f>
        <v/>
      </c>
      <c r="D37" s="257" t="n"/>
      <c r="E37" s="259">
        <f>C37/$C$40</f>
        <v/>
      </c>
      <c r="L37" s="260" t="n"/>
    </row>
    <row r="38" ht="38.25" customHeight="1" s="348">
      <c r="B38" s="257" t="inlineStr">
        <is>
          <t>ИТОГО (СМР+ОБОРУДОВАНИЕ+ПРОЧ. ЗАТР., УЧТЕННЫЕ ПОКАЗАТЕЛЕМ)</t>
        </is>
      </c>
      <c r="C38" s="341">
        <f>C27+C32+C33+C34+C35+C29+C31+C30+C36+C37</f>
        <v/>
      </c>
      <c r="D38" s="257" t="n"/>
      <c r="E38" s="259">
        <f>C38/$C$40</f>
        <v/>
      </c>
    </row>
    <row r="39" ht="13.5" customHeight="1" s="348">
      <c r="B39" s="257" t="inlineStr">
        <is>
          <t>Непредвиденные расходы</t>
        </is>
      </c>
      <c r="C39" s="341">
        <f>ROUND(C38*3%,2)</f>
        <v/>
      </c>
      <c r="D39" s="257" t="n"/>
      <c r="E39" s="259">
        <f>C39/$C$38</f>
        <v/>
      </c>
    </row>
    <row r="40">
      <c r="B40" s="257" t="inlineStr">
        <is>
          <t>ВСЕГО:</t>
        </is>
      </c>
      <c r="C40" s="341">
        <f>C39+C38</f>
        <v/>
      </c>
      <c r="D40" s="257" t="n"/>
      <c r="E40" s="259">
        <f>C40/$C$40</f>
        <v/>
      </c>
    </row>
    <row r="41">
      <c r="B41" s="257" t="inlineStr">
        <is>
          <t>ИТОГО ПОКАЗАТЕЛЬ НА ЕД. ИЗМ.</t>
        </is>
      </c>
      <c r="C41" s="341">
        <f>C40/'Прил.5 Расчет СМР и ОБ'!E143</f>
        <v/>
      </c>
      <c r="D41" s="257" t="n"/>
      <c r="E41" s="257" t="n"/>
      <c r="G41" s="260" t="n"/>
    </row>
    <row r="42">
      <c r="B42" s="343" t="n"/>
      <c r="C42" s="336" t="n"/>
      <c r="D42" s="336" t="n"/>
      <c r="E42" s="336" t="n"/>
      <c r="G42" s="260" t="n"/>
    </row>
    <row r="43">
      <c r="B43" s="343" t="inlineStr">
        <is>
          <t>Составил ____________________________  Е. М. Добровольская</t>
        </is>
      </c>
      <c r="C43" s="336" t="n"/>
      <c r="D43" s="336" t="n"/>
      <c r="E43" s="336" t="n"/>
      <c r="G43" s="283" t="n"/>
    </row>
    <row r="44">
      <c r="B44" s="343" t="inlineStr">
        <is>
          <t xml:space="preserve">(должность, подпись, инициалы, фамилия) </t>
        </is>
      </c>
      <c r="C44" s="336" t="n"/>
      <c r="D44" s="336" t="n"/>
      <c r="E44" s="336" t="n"/>
    </row>
    <row r="45">
      <c r="B45" s="343" t="n"/>
      <c r="C45" s="336" t="n"/>
      <c r="D45" s="336" t="n"/>
      <c r="E45" s="336" t="n"/>
    </row>
    <row r="46">
      <c r="B46" s="343" t="inlineStr">
        <is>
          <t>Проверил ____________________________ А.В. Костянецкая</t>
        </is>
      </c>
      <c r="C46" s="336" t="n"/>
      <c r="D46" s="336" t="n"/>
      <c r="E46" s="336" t="n"/>
    </row>
    <row r="47">
      <c r="B47" s="397" t="inlineStr">
        <is>
          <t>(должность, подпись, инициалы, фамилия)</t>
        </is>
      </c>
      <c r="D47" s="336" t="n"/>
      <c r="E47" s="336" t="n"/>
    </row>
    <row r="49">
      <c r="B49" s="336" t="n"/>
      <c r="C49" s="336" t="n"/>
      <c r="D49" s="336" t="n"/>
      <c r="E49" s="336" t="n"/>
    </row>
    <row r="50">
      <c r="B50" s="336" t="n"/>
      <c r="C50" s="336" t="n"/>
      <c r="D50" s="336" t="n"/>
      <c r="E50" s="33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49"/>
  <sheetViews>
    <sheetView tabSelected="1" view="pageBreakPreview" zoomScale="85" zoomScaleSheetLayoutView="85" workbookViewId="0">
      <selection activeCell="K19" sqref="K19"/>
    </sheetView>
  </sheetViews>
  <sheetFormatPr baseColWidth="8" defaultColWidth="9.140625" defaultRowHeight="15" outlineLevelRow="1"/>
  <cols>
    <col width="5.7109375" customWidth="1" style="346" min="1" max="1"/>
    <col width="22.5703125" customWidth="1" style="346" min="2" max="2"/>
    <col width="41.42578125" customWidth="1" style="346" min="3" max="3"/>
    <col width="10.7109375" customWidth="1" style="346" min="4" max="4"/>
    <col width="16" customWidth="1" style="346" min="5" max="5"/>
    <col width="14.5703125" customWidth="1" style="346" min="6" max="6"/>
    <col width="13.42578125" customWidth="1" style="346" min="7" max="7"/>
    <col width="12.7109375" customWidth="1" style="346" min="8" max="8"/>
    <col width="13.85546875" customWidth="1" style="346" min="9" max="9"/>
    <col width="17.5703125" customWidth="1" style="346" min="10" max="10"/>
    <col width="14.5703125" customWidth="1" style="346" min="11" max="11"/>
    <col width="13.85546875" customWidth="1" style="346" min="12" max="12"/>
    <col width="9.140625" customWidth="1" style="348" min="13" max="13"/>
  </cols>
  <sheetData>
    <row r="1" s="348">
      <c r="A1" s="346" t="n"/>
      <c r="B1" s="346" t="n"/>
      <c r="C1" s="346" t="n"/>
      <c r="D1" s="346" t="n"/>
      <c r="E1" s="346" t="n"/>
      <c r="F1" s="346" t="n"/>
      <c r="G1" s="346" t="n"/>
      <c r="H1" s="346" t="n"/>
      <c r="I1" s="346" t="n"/>
      <c r="J1" s="346" t="n"/>
      <c r="K1" s="346" t="n"/>
      <c r="L1" s="346" t="n"/>
      <c r="M1" s="346" t="n"/>
      <c r="N1" s="346" t="n"/>
    </row>
    <row r="2" ht="15.75" customHeight="1" s="348">
      <c r="A2" s="346" t="n"/>
      <c r="B2" s="346" t="n"/>
      <c r="C2" s="346" t="n"/>
      <c r="D2" s="346" t="n"/>
      <c r="E2" s="346" t="n"/>
      <c r="F2" s="346" t="n"/>
      <c r="G2" s="346" t="n"/>
      <c r="H2" s="398" t="inlineStr">
        <is>
          <t>Приложение №5</t>
        </is>
      </c>
      <c r="K2" s="346" t="n"/>
      <c r="L2" s="346" t="n"/>
      <c r="M2" s="346" t="n"/>
      <c r="N2" s="346" t="n"/>
    </row>
    <row r="3" s="348">
      <c r="A3" s="346" t="n"/>
      <c r="B3" s="346" t="n"/>
      <c r="C3" s="346" t="n"/>
      <c r="D3" s="346" t="n"/>
      <c r="E3" s="346" t="n"/>
      <c r="F3" s="346" t="n"/>
      <c r="G3" s="346" t="n"/>
      <c r="H3" s="346" t="n"/>
      <c r="I3" s="346" t="n"/>
      <c r="J3" s="346" t="n"/>
      <c r="K3" s="346" t="n"/>
      <c r="L3" s="346" t="n"/>
      <c r="M3" s="346" t="n"/>
      <c r="N3" s="346" t="n"/>
    </row>
    <row r="4" ht="12.75" customFormat="1" customHeight="1" s="336">
      <c r="A4" s="372" t="inlineStr">
        <is>
          <t>Расчет стоимости СМР и оборудования</t>
        </is>
      </c>
    </row>
    <row r="5" ht="12.75" customFormat="1" customHeight="1" s="336">
      <c r="A5" s="372" t="n"/>
      <c r="B5" s="372" t="n"/>
      <c r="C5" s="429" t="n"/>
      <c r="D5" s="372" t="n"/>
      <c r="E5" s="372" t="n"/>
      <c r="F5" s="372" t="n"/>
      <c r="G5" s="372" t="n"/>
      <c r="H5" s="372" t="n"/>
      <c r="I5" s="372" t="n"/>
      <c r="J5" s="372" t="n"/>
    </row>
    <row r="6" ht="27" customFormat="1" customHeight="1" s="336">
      <c r="A6" s="289" t="inlineStr">
        <is>
          <t>Наименование разрабатываемого показателя УНЦ</t>
        </is>
      </c>
      <c r="B6" s="230" t="n"/>
      <c r="C6" s="288" t="n"/>
      <c r="D6" s="375" t="inlineStr">
        <is>
          <t xml:space="preserve">Большие переходы ВЛ. Длина перехода от 600 до 1000 м., 110 кВ </t>
        </is>
      </c>
    </row>
    <row r="7" ht="12.75" customFormat="1" customHeight="1" s="336">
      <c r="A7" s="375" t="inlineStr">
        <is>
          <t>Единица измерения  — 1 переход</t>
        </is>
      </c>
      <c r="I7" s="385" t="n"/>
      <c r="J7" s="385" t="n"/>
    </row>
    <row r="8" ht="13.5" customFormat="1" customHeight="1" s="336">
      <c r="A8" s="375" t="n"/>
    </row>
    <row r="9" ht="27" customHeight="1" s="348">
      <c r="A9" s="401" t="inlineStr">
        <is>
          <t>№ пп.</t>
        </is>
      </c>
      <c r="B9" s="401" t="inlineStr">
        <is>
          <t>Код ресурса</t>
        </is>
      </c>
      <c r="C9" s="401" t="inlineStr">
        <is>
          <t>Наименование</t>
        </is>
      </c>
      <c r="D9" s="401" t="inlineStr">
        <is>
          <t>Ед. изм.</t>
        </is>
      </c>
      <c r="E9" s="401" t="inlineStr">
        <is>
          <t>Кол-во единиц по проектным данным</t>
        </is>
      </c>
      <c r="F9" s="401" t="inlineStr">
        <is>
          <t>Сметная стоимость в ценах на 01.01.2000 (руб.)</t>
        </is>
      </c>
      <c r="G9" s="473" t="n"/>
      <c r="H9" s="401" t="inlineStr">
        <is>
          <t>Удельный вес, %</t>
        </is>
      </c>
      <c r="I9" s="401" t="inlineStr">
        <is>
          <t>Сметная стоимость в ценах на 01.01.2023 (руб.)</t>
        </is>
      </c>
      <c r="J9" s="473" t="n"/>
      <c r="K9" s="346" t="n"/>
      <c r="L9" s="346" t="n"/>
      <c r="M9" s="346" t="n"/>
      <c r="N9" s="346" t="n"/>
    </row>
    <row r="10" ht="28.5" customHeight="1" s="348">
      <c r="A10" s="475" t="n"/>
      <c r="B10" s="475" t="n"/>
      <c r="C10" s="475" t="n"/>
      <c r="D10" s="475" t="n"/>
      <c r="E10" s="475" t="n"/>
      <c r="F10" s="401" t="inlineStr">
        <is>
          <t>на ед. изм.</t>
        </is>
      </c>
      <c r="G10" s="401" t="inlineStr">
        <is>
          <t>общая</t>
        </is>
      </c>
      <c r="H10" s="475" t="n"/>
      <c r="I10" s="401" t="inlineStr">
        <is>
          <t>на ед. изм.</t>
        </is>
      </c>
      <c r="J10" s="401" t="inlineStr">
        <is>
          <t>общая</t>
        </is>
      </c>
      <c r="K10" s="346" t="n"/>
      <c r="L10" s="346" t="n"/>
      <c r="M10" s="346" t="n"/>
      <c r="N10" s="346" t="n"/>
    </row>
    <row r="11" s="348">
      <c r="A11" s="401" t="n">
        <v>1</v>
      </c>
      <c r="B11" s="401" t="n">
        <v>2</v>
      </c>
      <c r="C11" s="401" t="n">
        <v>3</v>
      </c>
      <c r="D11" s="401" t="n">
        <v>4</v>
      </c>
      <c r="E11" s="401" t="n">
        <v>5</v>
      </c>
      <c r="F11" s="401" t="n">
        <v>6</v>
      </c>
      <c r="G11" s="401" t="n">
        <v>7</v>
      </c>
      <c r="H11" s="401" t="n">
        <v>8</v>
      </c>
      <c r="I11" s="402" t="n">
        <v>9</v>
      </c>
      <c r="J11" s="402" t="n">
        <v>10</v>
      </c>
      <c r="K11" s="346" t="n"/>
      <c r="L11" s="346" t="n"/>
      <c r="M11" s="346" t="n"/>
      <c r="N11" s="346" t="n"/>
    </row>
    <row r="12">
      <c r="A12" s="401" t="n"/>
      <c r="B12" s="392" t="inlineStr">
        <is>
          <t>Затраты труда рабочих-строителей</t>
        </is>
      </c>
      <c r="C12" s="472" t="n"/>
      <c r="D12" s="472" t="n"/>
      <c r="E12" s="472" t="n"/>
      <c r="F12" s="472" t="n"/>
      <c r="G12" s="472" t="n"/>
      <c r="H12" s="473" t="n"/>
      <c r="I12" s="218" t="n"/>
      <c r="J12" s="218" t="n"/>
    </row>
    <row r="13" ht="25.5" customHeight="1" s="348">
      <c r="A13" s="401" t="n">
        <v>1</v>
      </c>
      <c r="B13" s="293" t="inlineStr">
        <is>
          <t>1-3-8</t>
        </is>
      </c>
      <c r="C13" s="408" t="inlineStr">
        <is>
          <t>Затраты труда рабочих-строителей среднего разряда (3,8)</t>
        </is>
      </c>
      <c r="D13" s="401" t="inlineStr">
        <is>
          <t>чел.-ч.</t>
        </is>
      </c>
      <c r="E13" s="228">
        <f>G13/F13</f>
        <v/>
      </c>
      <c r="F13" s="226" t="n">
        <v>9.4</v>
      </c>
      <c r="G13" s="226">
        <f>Прил.3!H12</f>
        <v/>
      </c>
      <c r="H13" s="286">
        <f>G13/G14</f>
        <v/>
      </c>
      <c r="I13" s="226">
        <f>ФОТр.тек.!E13</f>
        <v/>
      </c>
      <c r="J13" s="226">
        <f>ROUND(I13*E13,2)</f>
        <v/>
      </c>
      <c r="K13" s="369" t="n"/>
    </row>
    <row r="14" ht="25.5" customFormat="1" customHeight="1" s="346">
      <c r="A14" s="401" t="n"/>
      <c r="B14" s="401" t="n"/>
      <c r="C14" s="392" t="inlineStr">
        <is>
          <t>Итого по разделу "Затраты труда рабочих-строителей"</t>
        </is>
      </c>
      <c r="D14" s="401" t="inlineStr">
        <is>
          <t>чел.-ч.</t>
        </is>
      </c>
      <c r="E14" s="228">
        <f>SUM(E13:E13)</f>
        <v/>
      </c>
      <c r="F14" s="226" t="n"/>
      <c r="G14" s="226">
        <f>SUM(G13:G13)</f>
        <v/>
      </c>
      <c r="H14" s="411" t="n">
        <v>1</v>
      </c>
      <c r="I14" s="218" t="n"/>
      <c r="J14" s="226">
        <f>SUM(J13:J13)</f>
        <v/>
      </c>
    </row>
    <row r="15" ht="14.25" customFormat="1" customHeight="1" s="346">
      <c r="A15" s="401" t="n"/>
      <c r="B15" s="408" t="inlineStr">
        <is>
          <t>Затраты труда машинистов</t>
        </is>
      </c>
      <c r="C15" s="472" t="n"/>
      <c r="D15" s="472" t="n"/>
      <c r="E15" s="472" t="n"/>
      <c r="F15" s="472" t="n"/>
      <c r="G15" s="472" t="n"/>
      <c r="H15" s="473" t="n"/>
      <c r="I15" s="218" t="n"/>
      <c r="J15" s="218" t="n"/>
    </row>
    <row r="16" ht="14.25" customFormat="1" customHeight="1" s="346">
      <c r="A16" s="401" t="n">
        <v>2</v>
      </c>
      <c r="B16" s="401" t="n">
        <v>2</v>
      </c>
      <c r="C16" s="408" t="inlineStr">
        <is>
          <t>Затраты труда машинистов</t>
        </is>
      </c>
      <c r="D16" s="401" t="inlineStr">
        <is>
          <t>чел.-ч.</t>
        </is>
      </c>
      <c r="E16" s="228">
        <f>Прил.3!F28</f>
        <v/>
      </c>
      <c r="F16" s="226">
        <f>G16/E16</f>
        <v/>
      </c>
      <c r="G16" s="226">
        <f>Прил.3!H27</f>
        <v/>
      </c>
      <c r="H16" s="411" t="n">
        <v>1</v>
      </c>
      <c r="I16" s="226">
        <f>ROUND(F16*Прил.10!D11,2)</f>
        <v/>
      </c>
      <c r="J16" s="226">
        <f>ROUND(I16*E16,2)</f>
        <v/>
      </c>
      <c r="K16" s="367" t="n"/>
    </row>
    <row r="17" ht="14.25" customFormat="1" customHeight="1" s="346">
      <c r="A17" s="401" t="n"/>
      <c r="B17" s="392" t="inlineStr">
        <is>
          <t>Машины и механизмы</t>
        </is>
      </c>
      <c r="C17" s="472" t="n"/>
      <c r="D17" s="472" t="n"/>
      <c r="E17" s="472" t="n"/>
      <c r="F17" s="472" t="n"/>
      <c r="G17" s="472" t="n"/>
      <c r="H17" s="473" t="n"/>
      <c r="I17" s="218" t="n"/>
      <c r="J17" s="218" t="n"/>
    </row>
    <row r="18" ht="14.25" customFormat="1" customHeight="1" s="346">
      <c r="A18" s="401" t="n"/>
      <c r="B18" s="408" t="inlineStr">
        <is>
          <t>Основные машины и механизмы</t>
        </is>
      </c>
      <c r="C18" s="472" t="n"/>
      <c r="D18" s="472" t="n"/>
      <c r="E18" s="472" t="n"/>
      <c r="F18" s="472" t="n"/>
      <c r="G18" s="472" t="n"/>
      <c r="H18" s="473" t="n"/>
      <c r="I18" s="218" t="n"/>
      <c r="J18" s="218" t="n"/>
    </row>
    <row r="19" ht="25.5" customFormat="1" customHeight="1" s="346">
      <c r="A19" s="401" t="n">
        <v>3</v>
      </c>
      <c r="B19" s="293" t="inlineStr">
        <is>
          <t>91.15.02-029</t>
        </is>
      </c>
      <c r="C19" s="408" t="inlineStr">
        <is>
          <t>Тракторы на гусеничном ходу с лебедкой 132 кВт (180 л.с.)</t>
        </is>
      </c>
      <c r="D19" s="401" t="inlineStr">
        <is>
          <t>маш.час</t>
        </is>
      </c>
      <c r="E19" s="228" t="n">
        <v>559.8</v>
      </c>
      <c r="F19" s="410" t="n">
        <v>111.68939393939</v>
      </c>
      <c r="G19" s="226">
        <f>ROUND(E19*F19,2)</f>
        <v/>
      </c>
      <c r="H19" s="286">
        <f>G19/$G$56</f>
        <v/>
      </c>
      <c r="I19" s="410">
        <f>ROUND(F19*Прил.10!$D$12,2)</f>
        <v/>
      </c>
      <c r="J19" s="226">
        <f>ROUND(I19*E19,2)</f>
        <v/>
      </c>
    </row>
    <row r="20" ht="25.5" customFormat="1" customHeight="1" s="346">
      <c r="A20" s="401" t="n">
        <v>4</v>
      </c>
      <c r="B20" s="293" t="inlineStr">
        <is>
          <t>91.13.03-111</t>
        </is>
      </c>
      <c r="C20" s="408" t="inlineStr">
        <is>
          <t>Спецавтомобили-вездеходы, грузоподъемность до 8 т</t>
        </is>
      </c>
      <c r="D20" s="401" t="inlineStr">
        <is>
          <t>маш.час</t>
        </is>
      </c>
      <c r="E20" s="228" t="n">
        <v>347.38</v>
      </c>
      <c r="F20" s="410" t="n">
        <v>143.90151515152</v>
      </c>
      <c r="G20" s="226">
        <f>ROUND(E20*F20,2)</f>
        <v/>
      </c>
      <c r="H20" s="286">
        <f>G20/$G$56</f>
        <v/>
      </c>
      <c r="I20" s="410">
        <f>ROUND(F20*Прил.10!$D$12,2)</f>
        <v/>
      </c>
      <c r="J20" s="226">
        <f>ROUND(I20*E20,2)</f>
        <v/>
      </c>
    </row>
    <row r="21" ht="30" customFormat="1" customHeight="1" s="346">
      <c r="A21" s="401" t="n">
        <v>5</v>
      </c>
      <c r="B21" s="293" t="inlineStr">
        <is>
          <t>91.21.22-447</t>
        </is>
      </c>
      <c r="C21" s="408" t="inlineStr">
        <is>
          <t>Установки электрометаллизационные</t>
        </is>
      </c>
      <c r="D21" s="401" t="inlineStr">
        <is>
          <t>маш.час</t>
        </is>
      </c>
      <c r="E21" s="228" t="n">
        <v>798.04</v>
      </c>
      <c r="F21" s="410" t="n">
        <v>56.242424242424</v>
      </c>
      <c r="G21" s="226">
        <f>ROUND(E21*F21,2)</f>
        <v/>
      </c>
      <c r="H21" s="286">
        <f>G21/$G$56</f>
        <v/>
      </c>
      <c r="I21" s="410">
        <f>ROUND(F21*Прил.10!$D$12,2)</f>
        <v/>
      </c>
      <c r="J21" s="226">
        <f>ROUND(I21*E21,2)</f>
        <v/>
      </c>
    </row>
    <row r="22" ht="25.5" customFormat="1" customHeight="1" s="346">
      <c r="A22" s="401" t="n">
        <v>6</v>
      </c>
      <c r="B22" s="293" t="inlineStr">
        <is>
          <t>91.05.05-015</t>
        </is>
      </c>
      <c r="C22" s="408" t="inlineStr">
        <is>
          <t>Краны на автомобильном ходу, грузоподъемность 16 т</t>
        </is>
      </c>
      <c r="D22" s="401" t="inlineStr">
        <is>
          <t>маш.час</t>
        </is>
      </c>
      <c r="E22" s="228" t="n">
        <v>240.67</v>
      </c>
      <c r="F22" s="410" t="n">
        <v>87.424242424242</v>
      </c>
      <c r="G22" s="226">
        <f>ROUND(E22*F22,2)</f>
        <v/>
      </c>
      <c r="H22" s="286">
        <f>G22/$G$56</f>
        <v/>
      </c>
      <c r="I22" s="410">
        <f>ROUND(F22*Прил.10!$D$12,2)</f>
        <v/>
      </c>
      <c r="J22" s="226">
        <f>ROUND(I22*E22,2)</f>
        <v/>
      </c>
    </row>
    <row r="23" ht="38.25" customFormat="1" customHeight="1" s="346">
      <c r="A23" s="401" t="n">
        <v>7</v>
      </c>
      <c r="B23" s="293" t="inlineStr">
        <is>
          <t>91.18.01-007</t>
        </is>
      </c>
      <c r="C23" s="40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401" t="inlineStr">
        <is>
          <t>маш.час</t>
        </is>
      </c>
      <c r="E23" s="228" t="n">
        <v>266.53</v>
      </c>
      <c r="F23" s="410" t="n">
        <v>68.181818181818</v>
      </c>
      <c r="G23" s="226">
        <f>ROUND(E23*F23,2)</f>
        <v/>
      </c>
      <c r="H23" s="286">
        <f>G23/$G$56</f>
        <v/>
      </c>
      <c r="I23" s="410">
        <f>ROUND(F23*Прил.10!$D$12,2)</f>
        <v/>
      </c>
      <c r="J23" s="226">
        <f>ROUND(I23*E23,2)</f>
        <v/>
      </c>
    </row>
    <row r="24" ht="51" customFormat="1" customHeight="1" s="346">
      <c r="A24" s="401" t="n">
        <v>8</v>
      </c>
      <c r="B24" s="293" t="inlineStr">
        <is>
          <t>91.05.14-516</t>
        </is>
      </c>
      <c r="C24" s="408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4" s="401" t="inlineStr">
        <is>
          <t>маш.час</t>
        </is>
      </c>
      <c r="E24" s="228" t="n">
        <v>283.22</v>
      </c>
      <c r="F24" s="410" t="n">
        <v>58.818181818182</v>
      </c>
      <c r="G24" s="226">
        <f>ROUND(E24*F24,2)</f>
        <v/>
      </c>
      <c r="H24" s="286">
        <f>G24/$G$56</f>
        <v/>
      </c>
      <c r="I24" s="410">
        <f>ROUND(F24*Прил.10!$D$12,2)</f>
        <v/>
      </c>
      <c r="J24" s="226">
        <f>ROUND(I24*E24,2)</f>
        <v/>
      </c>
    </row>
    <row r="25" ht="14.25" customFormat="1" customHeight="1" s="346">
      <c r="A25" s="401" t="n">
        <v>9</v>
      </c>
      <c r="B25" s="293" t="inlineStr">
        <is>
          <t>91.01.01-036</t>
        </is>
      </c>
      <c r="C25" s="408" t="inlineStr">
        <is>
          <t>Бульдозеры, мощность 96 кВт (130 л.с.)</t>
        </is>
      </c>
      <c r="D25" s="401" t="inlineStr">
        <is>
          <t>маш.час</t>
        </is>
      </c>
      <c r="E25" s="228" t="n">
        <v>202.52</v>
      </c>
      <c r="F25" s="410" t="n">
        <v>71.25</v>
      </c>
      <c r="G25" s="226">
        <f>ROUND(E25*F25,2)</f>
        <v/>
      </c>
      <c r="H25" s="286">
        <f>G25/$G$56</f>
        <v/>
      </c>
      <c r="I25" s="410">
        <f>ROUND(F25*Прил.10!$D$12,2)</f>
        <v/>
      </c>
      <c r="J25" s="226">
        <f>ROUND(I25*E25,2)</f>
        <v/>
      </c>
    </row>
    <row r="26" ht="25.5" customFormat="1" customHeight="1" s="346">
      <c r="A26" s="401" t="n">
        <v>10</v>
      </c>
      <c r="B26" s="293" t="inlineStr">
        <is>
          <t>91.01.05-085</t>
        </is>
      </c>
      <c r="C26" s="408" t="inlineStr">
        <is>
          <t>Экскаваторы одноковшовые дизельные на гусеничном ходу, емкость ковша 0,5 м3</t>
        </is>
      </c>
      <c r="D26" s="401" t="inlineStr">
        <is>
          <t>маш.час</t>
        </is>
      </c>
      <c r="E26" s="228" t="n">
        <v>181.76</v>
      </c>
      <c r="F26" s="410" t="n">
        <v>75.75757575757601</v>
      </c>
      <c r="G26" s="226">
        <f>ROUND(E26*F26,2)</f>
        <v/>
      </c>
      <c r="H26" s="286">
        <f>G26/$G$56</f>
        <v/>
      </c>
      <c r="I26" s="410">
        <f>ROUND(F26*Прил.10!$D$12,2)</f>
        <v/>
      </c>
      <c r="J26" s="226">
        <f>ROUND(I26*E26,2)</f>
        <v/>
      </c>
    </row>
    <row r="27" ht="25.5" customFormat="1" customHeight="1" s="346">
      <c r="A27" s="401" t="n">
        <v>11</v>
      </c>
      <c r="B27" s="293" t="inlineStr">
        <is>
          <t>91.05.08-007</t>
        </is>
      </c>
      <c r="C27" s="408" t="inlineStr">
        <is>
          <t>Краны на пневмоколесном ходу, грузоподъемность 25 т</t>
        </is>
      </c>
      <c r="D27" s="401" t="inlineStr">
        <is>
          <t>маш.час</t>
        </is>
      </c>
      <c r="E27" s="228" t="n">
        <v>139.68</v>
      </c>
      <c r="F27" s="410" t="n">
        <v>77.65909090909101</v>
      </c>
      <c r="G27" s="226">
        <f>ROUND(E27*F27,2)</f>
        <v/>
      </c>
      <c r="H27" s="286">
        <f>G27/$G$56</f>
        <v/>
      </c>
      <c r="I27" s="410">
        <f>ROUND(F27*Прил.10!$D$12,2)</f>
        <v/>
      </c>
      <c r="J27" s="226">
        <f>ROUND(I27*E27,2)</f>
        <v/>
      </c>
    </row>
    <row r="28" ht="14.25" customFormat="1" customHeight="1" s="346">
      <c r="A28" s="401" t="n"/>
      <c r="B28" s="401" t="n"/>
      <c r="C28" s="408" t="inlineStr">
        <is>
          <t>Итого основные машины и механизмы</t>
        </is>
      </c>
      <c r="D28" s="401" t="n"/>
      <c r="E28" s="228" t="n"/>
      <c r="F28" s="226" t="n"/>
      <c r="G28" s="226">
        <f>SUM(G19:G27)</f>
        <v/>
      </c>
      <c r="H28" s="411">
        <f>G28/G56</f>
        <v/>
      </c>
      <c r="I28" s="219" t="n"/>
      <c r="J28" s="226">
        <f>SUM(J19:J27)</f>
        <v/>
      </c>
    </row>
    <row r="29" hidden="1" outlineLevel="1" ht="25.5" customFormat="1" customHeight="1" s="346">
      <c r="A29" s="401" t="n">
        <v>12</v>
      </c>
      <c r="B29" s="293" t="inlineStr">
        <is>
          <t>91.05.14-023</t>
        </is>
      </c>
      <c r="C29" s="408" t="inlineStr">
        <is>
          <t>Краны на тракторе, мощность 121 кВт (165 л.с.), грузоподъемность 5 т</t>
        </is>
      </c>
      <c r="D29" s="401" t="inlineStr">
        <is>
          <t>маш.час</t>
        </is>
      </c>
      <c r="E29" s="228" t="n">
        <v>59.14</v>
      </c>
      <c r="F29" s="410" t="n">
        <v>138.48484848485</v>
      </c>
      <c r="G29" s="226">
        <f>ROUND(E29*F29,2)</f>
        <v/>
      </c>
      <c r="H29" s="286">
        <f>G29/$G$56</f>
        <v/>
      </c>
      <c r="I29" s="410">
        <f>ROUND(F29*Прил.10!$D$12,2)</f>
        <v/>
      </c>
      <c r="J29" s="226">
        <f>ROUND(I29*E29,2)</f>
        <v/>
      </c>
    </row>
    <row r="30" hidden="1" outlineLevel="1" ht="14.25" customFormat="1" customHeight="1" s="346">
      <c r="A30" s="401" t="n">
        <v>13</v>
      </c>
      <c r="B30" s="293" t="inlineStr">
        <is>
          <t>91.19.08-004</t>
        </is>
      </c>
      <c r="C30" s="408" t="inlineStr">
        <is>
          <t>Насосы, мощность 4 кВт</t>
        </is>
      </c>
      <c r="D30" s="401" t="inlineStr">
        <is>
          <t>маш.час</t>
        </is>
      </c>
      <c r="E30" s="228" t="n">
        <v>3394.56</v>
      </c>
      <c r="F30" s="410" t="n">
        <v>2.2424242424242</v>
      </c>
      <c r="G30" s="226">
        <f>ROUND(E30*F30,2)</f>
        <v/>
      </c>
      <c r="H30" s="286">
        <f>G30/$G$56</f>
        <v/>
      </c>
      <c r="I30" s="410">
        <f>ROUND(F30*Прил.10!$D$12,2)</f>
        <v/>
      </c>
      <c r="J30" s="226">
        <f>ROUND(I30*E30,2)</f>
        <v/>
      </c>
    </row>
    <row r="31" hidden="1" outlineLevel="1" ht="25.5" customFormat="1" customHeight="1" s="346">
      <c r="A31" s="401" t="n">
        <v>14</v>
      </c>
      <c r="B31" s="293" t="inlineStr">
        <is>
          <t>91.05.05-016</t>
        </is>
      </c>
      <c r="C31" s="408" t="inlineStr">
        <is>
          <t>Краны на автомобильном ходу, грузоподъемность 25 т</t>
        </is>
      </c>
      <c r="D31" s="401" t="inlineStr">
        <is>
          <t>маш.час</t>
        </is>
      </c>
      <c r="E31" s="228" t="n">
        <v>15.51</v>
      </c>
      <c r="F31" s="410" t="n">
        <v>360.93181818182</v>
      </c>
      <c r="G31" s="226">
        <f>ROUND(E31*F31,2)</f>
        <v/>
      </c>
      <c r="H31" s="286">
        <f>G31/$G$56</f>
        <v/>
      </c>
      <c r="I31" s="410">
        <f>ROUND(F31*Прил.10!$D$12,2)</f>
        <v/>
      </c>
      <c r="J31" s="226">
        <f>ROUND(I31*E31,2)</f>
        <v/>
      </c>
    </row>
    <row r="32" hidden="1" outlineLevel="1" ht="25.5" customFormat="1" customHeight="1" s="346">
      <c r="A32" s="401" t="n">
        <v>15</v>
      </c>
      <c r="B32" s="293" t="inlineStr">
        <is>
          <t>91.01.05-086</t>
        </is>
      </c>
      <c r="C32" s="408" t="inlineStr">
        <is>
          <t>Экскаваторы одноковшовые дизельные на гусеничном ходу, емкость ковша 0,65 м3</t>
        </is>
      </c>
      <c r="D32" s="401" t="inlineStr">
        <is>
          <t>маш.час</t>
        </is>
      </c>
      <c r="E32" s="228" t="n">
        <v>40.74</v>
      </c>
      <c r="F32" s="410" t="n">
        <v>87.325757575758</v>
      </c>
      <c r="G32" s="226">
        <f>ROUND(E32*F32,2)</f>
        <v/>
      </c>
      <c r="H32" s="286">
        <f>G32/$G$56</f>
        <v/>
      </c>
      <c r="I32" s="410">
        <f>ROUND(F32*Прил.10!$D$12,2)</f>
        <v/>
      </c>
      <c r="J32" s="226">
        <f>ROUND(I32*E32,2)</f>
        <v/>
      </c>
    </row>
    <row r="33" hidden="1" outlineLevel="1" ht="25.5" customFormat="1" customHeight="1" s="346">
      <c r="A33" s="401" t="n">
        <v>16</v>
      </c>
      <c r="B33" s="293" t="inlineStr">
        <is>
          <t>91.14.02-001</t>
        </is>
      </c>
      <c r="C33" s="408" t="inlineStr">
        <is>
          <t>Автомобили бортовые, грузоподъемность до 5 т</t>
        </is>
      </c>
      <c r="D33" s="401" t="inlineStr">
        <is>
          <t>маш.час</t>
        </is>
      </c>
      <c r="E33" s="228" t="n">
        <v>53.91</v>
      </c>
      <c r="F33" s="410" t="n">
        <v>49.780303030303</v>
      </c>
      <c r="G33" s="226">
        <f>ROUND(E33*F33,2)</f>
        <v/>
      </c>
      <c r="H33" s="286">
        <f>G33/$G$56</f>
        <v/>
      </c>
      <c r="I33" s="410">
        <f>ROUND(F33*Прил.10!$D$12,2)</f>
        <v/>
      </c>
      <c r="J33" s="226">
        <f>ROUND(I33*E33,2)</f>
        <v/>
      </c>
    </row>
    <row r="34" hidden="1" outlineLevel="1" ht="25.5" customFormat="1" customHeight="1" s="346">
      <c r="A34" s="401" t="n">
        <v>17</v>
      </c>
      <c r="B34" s="293" t="inlineStr">
        <is>
          <t>91.11.02-021</t>
        </is>
      </c>
      <c r="C34" s="408" t="inlineStr">
        <is>
          <t>Комплексы для монтажа проводов методом "под тяжением"</t>
        </is>
      </c>
      <c r="D34" s="401" t="inlineStr">
        <is>
          <t>маш.час</t>
        </is>
      </c>
      <c r="E34" s="228" t="n">
        <v>4.73</v>
      </c>
      <c r="F34" s="410" t="n">
        <v>483.15151515152</v>
      </c>
      <c r="G34" s="226">
        <f>ROUND(E34*F34,2)</f>
        <v/>
      </c>
      <c r="H34" s="286">
        <f>G34/$G$56</f>
        <v/>
      </c>
      <c r="I34" s="410">
        <f>ROUND(F34*Прил.10!$D$12,2)</f>
        <v/>
      </c>
      <c r="J34" s="226">
        <f>ROUND(I34*E34,2)</f>
        <v/>
      </c>
    </row>
    <row r="35" hidden="1" outlineLevel="1" ht="38.25" customFormat="1" customHeight="1" s="346">
      <c r="A35" s="401" t="n">
        <v>18</v>
      </c>
      <c r="B35" s="293" t="inlineStr">
        <is>
          <t>91.17.04-036</t>
        </is>
      </c>
      <c r="C35" s="408" t="inlineStr">
        <is>
          <t>Агрегаты сварочные передвижные с дизельным двигателем, номинальный сварочный ток 250-400 А</t>
        </is>
      </c>
      <c r="D35" s="401" t="inlineStr">
        <is>
          <t>маш.час</t>
        </is>
      </c>
      <c r="E35" s="228" t="n">
        <v>129.78</v>
      </c>
      <c r="F35" s="410" t="n">
        <v>10.606060606061</v>
      </c>
      <c r="G35" s="226">
        <f>ROUND(E35*F35,2)</f>
        <v/>
      </c>
      <c r="H35" s="286">
        <f>G35/$G$56</f>
        <v/>
      </c>
      <c r="I35" s="410">
        <f>ROUND(F35*Прил.10!$D$12,2)</f>
        <v/>
      </c>
      <c r="J35" s="226">
        <f>ROUND(I35*E35,2)</f>
        <v/>
      </c>
    </row>
    <row r="36" hidden="1" outlineLevel="1" ht="25.5" customFormat="1" customHeight="1" s="346">
      <c r="A36" s="401" t="n">
        <v>19</v>
      </c>
      <c r="B36" s="293" t="inlineStr">
        <is>
          <t>91.06.06-014</t>
        </is>
      </c>
      <c r="C36" s="408" t="inlineStr">
        <is>
          <t>Автогидроподъемники, высота подъема 28 м</t>
        </is>
      </c>
      <c r="D36" s="401" t="inlineStr">
        <is>
          <t>маш.час</t>
        </is>
      </c>
      <c r="E36" s="228" t="n">
        <v>7.14</v>
      </c>
      <c r="F36" s="410" t="n">
        <v>184.46212121212</v>
      </c>
      <c r="G36" s="226">
        <f>ROUND(E36*F36,2)</f>
        <v/>
      </c>
      <c r="H36" s="286">
        <f>G36/$G$56</f>
        <v/>
      </c>
      <c r="I36" s="410">
        <f>ROUND(F36*Прил.10!$D$12,2)</f>
        <v/>
      </c>
      <c r="J36" s="226">
        <f>ROUND(I36*E36,2)</f>
        <v/>
      </c>
    </row>
    <row r="37" hidden="1" outlineLevel="1" ht="14.25" customFormat="1" customHeight="1" s="346">
      <c r="A37" s="401" t="n">
        <v>20</v>
      </c>
      <c r="B37" s="293" t="inlineStr">
        <is>
          <t>91.06.05-011</t>
        </is>
      </c>
      <c r="C37" s="408" t="inlineStr">
        <is>
          <t>Погрузчики, грузоподъемность 5 т</t>
        </is>
      </c>
      <c r="D37" s="401" t="inlineStr">
        <is>
          <t>маш.час</t>
        </is>
      </c>
      <c r="E37" s="228" t="n">
        <v>8.49</v>
      </c>
      <c r="F37" s="410" t="n">
        <v>68.174242424242</v>
      </c>
      <c r="G37" s="226">
        <f>ROUND(E37*F37,2)</f>
        <v/>
      </c>
      <c r="H37" s="286">
        <f>G37/$G$56</f>
        <v/>
      </c>
      <c r="I37" s="410">
        <f>ROUND(F37*Прил.10!$D$12,2)</f>
        <v/>
      </c>
      <c r="J37" s="226">
        <f>ROUND(I37*E37,2)</f>
        <v/>
      </c>
    </row>
    <row r="38" hidden="1" outlineLevel="1" ht="25.5" customFormat="1" customHeight="1" s="346">
      <c r="A38" s="401" t="n">
        <v>21</v>
      </c>
      <c r="B38" s="293" t="inlineStr">
        <is>
          <t>91.06.09-101</t>
        </is>
      </c>
      <c r="C38" s="408" t="inlineStr">
        <is>
          <t>Стрелы монтажные А-образные для подъема опор ВЛ, высота до 22 м</t>
        </is>
      </c>
      <c r="D38" s="401" t="inlineStr">
        <is>
          <t>маш.час</t>
        </is>
      </c>
      <c r="E38" s="228" t="n">
        <v>107.16</v>
      </c>
      <c r="F38" s="410" t="n">
        <v>4.7272727272727</v>
      </c>
      <c r="G38" s="226">
        <f>ROUND(E38*F38,2)</f>
        <v/>
      </c>
      <c r="H38" s="286">
        <f>G38/$G$56</f>
        <v/>
      </c>
      <c r="I38" s="410">
        <f>ROUND(F38*Прил.10!$D$12,2)</f>
        <v/>
      </c>
      <c r="J38" s="226">
        <f>ROUND(I38*E38,2)</f>
        <v/>
      </c>
    </row>
    <row r="39" hidden="1" outlineLevel="1" ht="38.25" customFormat="1" customHeight="1" s="346">
      <c r="A39" s="401" t="n">
        <v>22</v>
      </c>
      <c r="B39" s="293" t="inlineStr">
        <is>
          <t>91.06.05-057</t>
        </is>
      </c>
      <c r="C39" s="408" t="inlineStr">
        <is>
          <t>Погрузчики одноковшовые универсальные фронтальные пневмоколесные, грузоподъемность 3 т</t>
        </is>
      </c>
      <c r="D39" s="401" t="inlineStr">
        <is>
          <t>маш.час</t>
        </is>
      </c>
      <c r="E39" s="228" t="n">
        <v>6.79</v>
      </c>
      <c r="F39" s="410" t="n">
        <v>68.484848484848</v>
      </c>
      <c r="G39" s="226">
        <f>ROUND(E39*F39,2)</f>
        <v/>
      </c>
      <c r="H39" s="286">
        <f>G39/$G$56</f>
        <v/>
      </c>
      <c r="I39" s="410">
        <f>ROUND(F39*Прил.10!$D$12,2)</f>
        <v/>
      </c>
      <c r="J39" s="226">
        <f>ROUND(I39*E39,2)</f>
        <v/>
      </c>
    </row>
    <row r="40" hidden="1" outlineLevel="1" ht="25.5" customFormat="1" customHeight="1" s="346">
      <c r="A40" s="401" t="n">
        <v>23</v>
      </c>
      <c r="B40" s="293" t="inlineStr">
        <is>
          <t>91.08.09-023</t>
        </is>
      </c>
      <c r="C40" s="408" t="inlineStr">
        <is>
          <t>Трамбовки пневматические при работе от передвижных компрессорных станций</t>
        </is>
      </c>
      <c r="D40" s="401" t="inlineStr">
        <is>
          <t>маш.час</t>
        </is>
      </c>
      <c r="E40" s="228" t="n">
        <v>1067.35</v>
      </c>
      <c r="F40" s="410" t="n">
        <v>0.41666666666667</v>
      </c>
      <c r="G40" s="226">
        <f>ROUND(E40*F40,2)</f>
        <v/>
      </c>
      <c r="H40" s="286">
        <f>G40/$G$56</f>
        <v/>
      </c>
      <c r="I40" s="410">
        <f>ROUND(F40*Прил.10!$D$12,2)</f>
        <v/>
      </c>
      <c r="J40" s="226">
        <f>ROUND(I40*E40,2)</f>
        <v/>
      </c>
    </row>
    <row r="41" hidden="1" outlineLevel="1" ht="14.25" customFormat="1" customHeight="1" s="346">
      <c r="A41" s="401" t="n">
        <v>24</v>
      </c>
      <c r="B41" s="293" t="inlineStr">
        <is>
          <t>91.14.04-002</t>
        </is>
      </c>
      <c r="C41" s="408" t="inlineStr">
        <is>
          <t>Тягачи седельные, грузоподъемность 15 т</t>
        </is>
      </c>
      <c r="D41" s="401" t="inlineStr">
        <is>
          <t>маш.час</t>
        </is>
      </c>
      <c r="E41" s="228" t="n">
        <v>5.47</v>
      </c>
      <c r="F41" s="410" t="n">
        <v>71.5</v>
      </c>
      <c r="G41" s="226">
        <f>ROUND(E41*F41,2)</f>
        <v/>
      </c>
      <c r="H41" s="286">
        <f>G41/$G$56</f>
        <v/>
      </c>
      <c r="I41" s="410">
        <f>ROUND(F41*Прил.10!$D$12,2)</f>
        <v/>
      </c>
      <c r="J41" s="226">
        <f>ROUND(I41*E41,2)</f>
        <v/>
      </c>
    </row>
    <row r="42" hidden="1" outlineLevel="1" ht="38.25" customFormat="1" customHeight="1" s="346">
      <c r="A42" s="401" t="n">
        <v>25</v>
      </c>
      <c r="B42" s="293" t="inlineStr">
        <is>
          <t>91.01.04-003</t>
        </is>
      </c>
      <c r="C42" s="408" t="inlineStr">
        <is>
          <t>Установки однобаровые на тракторе, мощность 79 кВт (108 л.с.), ширина щели 14 см</t>
        </is>
      </c>
      <c r="D42" s="401" t="inlineStr">
        <is>
          <t>маш.час</t>
        </is>
      </c>
      <c r="E42" s="228" t="n">
        <v>3.94</v>
      </c>
      <c r="F42" s="410" t="n">
        <v>96.931818181818</v>
      </c>
      <c r="G42" s="226">
        <f>ROUND(E42*F42,2)</f>
        <v/>
      </c>
      <c r="H42" s="286">
        <f>G42/$G$56</f>
        <v/>
      </c>
      <c r="I42" s="410">
        <f>ROUND(F42*Прил.10!$D$12,2)</f>
        <v/>
      </c>
      <c r="J42" s="226">
        <f>ROUND(I42*E42,2)</f>
        <v/>
      </c>
    </row>
    <row r="43" hidden="1" outlineLevel="1" ht="25.5" customFormat="1" customHeight="1" s="346">
      <c r="A43" s="401" t="n">
        <v>26</v>
      </c>
      <c r="B43" s="293" t="inlineStr">
        <is>
          <t>91.01.02-004</t>
        </is>
      </c>
      <c r="C43" s="408" t="inlineStr">
        <is>
          <t>Автогрейдеры среднего типа, мощность 99 кВт (135 л.с.)</t>
        </is>
      </c>
      <c r="D43" s="401" t="inlineStr">
        <is>
          <t>маш.час</t>
        </is>
      </c>
      <c r="E43" s="228" t="n">
        <v>2.7</v>
      </c>
      <c r="F43" s="410" t="n">
        <v>93.181818181818</v>
      </c>
      <c r="G43" s="226">
        <f>ROUND(E43*F43,2)</f>
        <v/>
      </c>
      <c r="H43" s="286">
        <f>G43/$G$56</f>
        <v/>
      </c>
      <c r="I43" s="410">
        <f>ROUND(F43*Прил.10!$D$12,2)</f>
        <v/>
      </c>
      <c r="J43" s="226">
        <f>ROUND(I43*E43,2)</f>
        <v/>
      </c>
    </row>
    <row r="44" hidden="1" outlineLevel="1" ht="25.5" customFormat="1" customHeight="1" s="346">
      <c r="A44" s="401" t="n">
        <v>27</v>
      </c>
      <c r="B44" s="293" t="inlineStr">
        <is>
          <t>91.04.01-032</t>
        </is>
      </c>
      <c r="C44" s="408" t="inlineStr">
        <is>
          <t>Машины бурильно-крановые глубина бурения 1,5-3 м, мощность 66 кВт (90 л.с.)</t>
        </is>
      </c>
      <c r="D44" s="401" t="inlineStr">
        <is>
          <t>маш.час</t>
        </is>
      </c>
      <c r="E44" s="228" t="n">
        <v>2.16</v>
      </c>
      <c r="F44" s="410" t="n">
        <v>106.7803030303</v>
      </c>
      <c r="G44" s="226">
        <f>ROUND(E44*F44,2)</f>
        <v/>
      </c>
      <c r="H44" s="286">
        <f>G44/$G$56</f>
        <v/>
      </c>
      <c r="I44" s="410">
        <f>ROUND(F44*Прил.10!$D$12,2)</f>
        <v/>
      </c>
      <c r="J44" s="226">
        <f>ROUND(I44*E44,2)</f>
        <v/>
      </c>
    </row>
    <row r="45" hidden="1" outlineLevel="1" ht="25.5" customFormat="1" customHeight="1" s="346">
      <c r="A45" s="401" t="n">
        <v>28</v>
      </c>
      <c r="B45" s="293" t="inlineStr">
        <is>
          <t>91.08.09-024</t>
        </is>
      </c>
      <c r="C45" s="408" t="inlineStr">
        <is>
          <t>Трамбовки пневматические при работе от стационарного компрессора</t>
        </is>
      </c>
      <c r="D45" s="401" t="inlineStr">
        <is>
          <t>маш.час</t>
        </is>
      </c>
      <c r="E45" s="228" t="n">
        <v>36.8</v>
      </c>
      <c r="F45" s="410" t="n">
        <v>3.719696969697</v>
      </c>
      <c r="G45" s="226">
        <f>ROUND(E45*F45,2)</f>
        <v/>
      </c>
      <c r="H45" s="286">
        <f>G45/$G$56</f>
        <v/>
      </c>
      <c r="I45" s="410">
        <f>ROUND(F45*Прил.10!$D$12,2)</f>
        <v/>
      </c>
      <c r="J45" s="226">
        <f>ROUND(I45*E45,2)</f>
        <v/>
      </c>
    </row>
    <row r="46" hidden="1" outlineLevel="1" ht="25.5" customFormat="1" customHeight="1" s="346">
      <c r="A46" s="401" t="n">
        <v>29</v>
      </c>
      <c r="B46" s="293" t="inlineStr">
        <is>
          <t>91.12.07-001</t>
        </is>
      </c>
      <c r="C46" s="408" t="inlineStr">
        <is>
          <t>Агрегаты для травосеяния на откосах автомобильных и железных дорог</t>
        </is>
      </c>
      <c r="D46" s="401" t="inlineStr">
        <is>
          <t>маш.час</t>
        </is>
      </c>
      <c r="E46" s="228" t="n">
        <v>7.14</v>
      </c>
      <c r="F46" s="410" t="n">
        <v>19.015151515152</v>
      </c>
      <c r="G46" s="226">
        <f>ROUND(E46*F46,2)</f>
        <v/>
      </c>
      <c r="H46" s="286">
        <f>G46/$G$56</f>
        <v/>
      </c>
      <c r="I46" s="410">
        <f>ROUND(F46*Прил.10!$D$12,2)</f>
        <v/>
      </c>
      <c r="J46" s="226">
        <f>ROUND(I46*E46,2)</f>
        <v/>
      </c>
    </row>
    <row r="47" hidden="1" outlineLevel="1" ht="25.5" customFormat="1" customHeight="1" s="346">
      <c r="A47" s="401" t="n">
        <v>30</v>
      </c>
      <c r="B47" s="293" t="inlineStr">
        <is>
          <t>91.06.01-002</t>
        </is>
      </c>
      <c r="C47" s="408" t="inlineStr">
        <is>
          <t>Домкраты гидравлические, грузоподъемность 6,3-25 т</t>
        </is>
      </c>
      <c r="D47" s="401" t="inlineStr">
        <is>
          <t>маш.час</t>
        </is>
      </c>
      <c r="E47" s="228" t="n">
        <v>283.22</v>
      </c>
      <c r="F47" s="410" t="n">
        <v>0.36363636363636</v>
      </c>
      <c r="G47" s="226">
        <f>ROUND(E47*F47,2)</f>
        <v/>
      </c>
      <c r="H47" s="286">
        <f>G47/$G$56</f>
        <v/>
      </c>
      <c r="I47" s="410">
        <f>ROUND(F47*Прил.10!$D$12,2)</f>
        <v/>
      </c>
      <c r="J47" s="226">
        <f>ROUND(I47*E47,2)</f>
        <v/>
      </c>
    </row>
    <row r="48" hidden="1" outlineLevel="1" ht="25.5" customFormat="1" customHeight="1" s="346">
      <c r="A48" s="401" t="n">
        <v>31</v>
      </c>
      <c r="B48" s="293" t="inlineStr">
        <is>
          <t>91.14.05-012</t>
        </is>
      </c>
      <c r="C48" s="408" t="inlineStr">
        <is>
          <t>Полуприцепы общего назначения, грузоподъемность 15 т</t>
        </is>
      </c>
      <c r="D48" s="401" t="inlineStr">
        <is>
          <t>маш.час</t>
        </is>
      </c>
      <c r="E48" s="228" t="n">
        <v>5.47</v>
      </c>
      <c r="F48" s="410" t="n">
        <v>14.969696969697</v>
      </c>
      <c r="G48" s="226">
        <f>ROUND(E48*F48,2)</f>
        <v/>
      </c>
      <c r="H48" s="286">
        <f>G48/$G$56</f>
        <v/>
      </c>
      <c r="I48" s="410">
        <f>ROUND(F48*Прил.10!$D$12,2)</f>
        <v/>
      </c>
      <c r="J48" s="226">
        <f>ROUND(I48*E48,2)</f>
        <v/>
      </c>
    </row>
    <row r="49" hidden="1" outlineLevel="1" ht="14.25" customFormat="1" customHeight="1" s="346">
      <c r="A49" s="401" t="n">
        <v>32</v>
      </c>
      <c r="B49" s="293" t="inlineStr">
        <is>
          <t>91.01.01-034</t>
        </is>
      </c>
      <c r="C49" s="408" t="inlineStr">
        <is>
          <t>Бульдозеры, мощность 59 кВт (80 л.с.)</t>
        </is>
      </c>
      <c r="D49" s="401" t="inlineStr">
        <is>
          <t>маш.час</t>
        </is>
      </c>
      <c r="E49" s="228" t="n">
        <v>1.13</v>
      </c>
      <c r="F49" s="410" t="n">
        <v>45.05303030303</v>
      </c>
      <c r="G49" s="226">
        <f>ROUND(E49*F49,2)</f>
        <v/>
      </c>
      <c r="H49" s="286">
        <f>G49/$G$56</f>
        <v/>
      </c>
      <c r="I49" s="410">
        <f>ROUND(F49*Прил.10!$D$12,2)</f>
        <v/>
      </c>
      <c r="J49" s="226">
        <f>ROUND(I49*E49,2)</f>
        <v/>
      </c>
    </row>
    <row r="50" hidden="1" outlineLevel="1" ht="14.25" customFormat="1" customHeight="1" s="346">
      <c r="A50" s="401" t="n">
        <v>33</v>
      </c>
      <c r="B50" s="293" t="inlineStr">
        <is>
          <t>91.01.01-035</t>
        </is>
      </c>
      <c r="C50" s="408" t="inlineStr">
        <is>
          <t>Бульдозеры, мощность 79 кВт (108 л.с.)</t>
        </is>
      </c>
      <c r="D50" s="401" t="inlineStr">
        <is>
          <t>маш.час</t>
        </is>
      </c>
      <c r="E50" s="228" t="n">
        <v>0.68</v>
      </c>
      <c r="F50" s="410" t="n">
        <v>59.901515151515</v>
      </c>
      <c r="G50" s="226">
        <f>ROUND(E50*F50,2)</f>
        <v/>
      </c>
      <c r="H50" s="286">
        <f>G50/$G$56</f>
        <v/>
      </c>
      <c r="I50" s="410">
        <f>ROUND(F50*Прил.10!$D$12,2)</f>
        <v/>
      </c>
      <c r="J50" s="226">
        <f>ROUND(I50*E50,2)</f>
        <v/>
      </c>
    </row>
    <row r="51" hidden="1" outlineLevel="1" ht="25.5" customFormat="1" customHeight="1" s="346">
      <c r="A51" s="401" t="n">
        <v>34</v>
      </c>
      <c r="B51" s="293" t="inlineStr">
        <is>
          <t>91.14.02-002</t>
        </is>
      </c>
      <c r="C51" s="408" t="inlineStr">
        <is>
          <t>Автомобили бортовые, грузоподъемность до 8 т</t>
        </is>
      </c>
      <c r="D51" s="401" t="inlineStr">
        <is>
          <t>маш.час</t>
        </is>
      </c>
      <c r="E51" s="228" t="n">
        <v>0.54</v>
      </c>
      <c r="F51" s="410" t="n">
        <v>65.030303030303</v>
      </c>
      <c r="G51" s="226">
        <f>ROUND(E51*F51,2)</f>
        <v/>
      </c>
      <c r="H51" s="286">
        <f>G51/$G$56</f>
        <v/>
      </c>
      <c r="I51" s="410">
        <f>ROUND(F51*Прил.10!$D$12,2)</f>
        <v/>
      </c>
      <c r="J51" s="226">
        <f>ROUND(I51*E51,2)</f>
        <v/>
      </c>
    </row>
    <row r="52" hidden="1" outlineLevel="1" ht="25.5" customFormat="1" customHeight="1" s="346">
      <c r="A52" s="401" t="n">
        <v>35</v>
      </c>
      <c r="B52" s="293" t="inlineStr">
        <is>
          <t>91.17.04-171</t>
        </is>
      </c>
      <c r="C52" s="408" t="inlineStr">
        <is>
          <t>Преобразователи сварочные номинальным сварочным током 315-500 А</t>
        </is>
      </c>
      <c r="D52" s="401" t="inlineStr">
        <is>
          <t>маш.час</t>
        </is>
      </c>
      <c r="E52" s="228" t="n">
        <v>1.5</v>
      </c>
      <c r="F52" s="410" t="n">
        <v>9.325757575757599</v>
      </c>
      <c r="G52" s="226">
        <f>ROUND(E52*F52,2)</f>
        <v/>
      </c>
      <c r="H52" s="286">
        <f>G52/$G$56</f>
        <v/>
      </c>
      <c r="I52" s="410">
        <f>ROUND(F52*Прил.10!$D$12,2)</f>
        <v/>
      </c>
      <c r="J52" s="226">
        <f>ROUND(I52*E52,2)</f>
        <v/>
      </c>
    </row>
    <row r="53" hidden="1" outlineLevel="1" ht="14.25" customFormat="1" customHeight="1" s="346">
      <c r="A53" s="401" t="n">
        <v>36</v>
      </c>
      <c r="B53" s="293" t="inlineStr">
        <is>
          <t>91.21.16-012</t>
        </is>
      </c>
      <c r="C53" s="408" t="inlineStr">
        <is>
          <t>Прессы гидравлические с электроприводом</t>
        </is>
      </c>
      <c r="D53" s="401" t="inlineStr">
        <is>
          <t>маш.час</t>
        </is>
      </c>
      <c r="E53" s="228" t="n">
        <v>9.18</v>
      </c>
      <c r="F53" s="410" t="n">
        <v>0.8409090909090901</v>
      </c>
      <c r="G53" s="226">
        <f>ROUND(E53*F53,2)</f>
        <v/>
      </c>
      <c r="H53" s="286">
        <f>G53/$G$56</f>
        <v/>
      </c>
      <c r="I53" s="410">
        <f>ROUND(F53*Прил.10!$D$12,2)</f>
        <v/>
      </c>
      <c r="J53" s="226">
        <f>ROUND(I53*E53,2)</f>
        <v/>
      </c>
    </row>
    <row r="54" hidden="1" outlineLevel="1" ht="38.25" customFormat="1" customHeight="1" s="346">
      <c r="A54" s="401" t="n">
        <v>37</v>
      </c>
      <c r="B54" s="293" t="inlineStr">
        <is>
          <t>91.21.01-012</t>
        </is>
      </c>
      <c r="C54" s="408" t="inlineStr">
        <is>
          <t>Агрегаты окрасочные высокого давления для окраски поверхностей конструкций, мощность 1 кВт</t>
        </is>
      </c>
      <c r="D54" s="401" t="inlineStr">
        <is>
          <t>маш.час</t>
        </is>
      </c>
      <c r="E54" s="228" t="n">
        <v>0.29</v>
      </c>
      <c r="F54" s="410" t="n">
        <v>5.1666666666667</v>
      </c>
      <c r="G54" s="226">
        <f>ROUND(E54*F54,2)</f>
        <v/>
      </c>
      <c r="H54" s="286">
        <f>G54/$G$56</f>
        <v/>
      </c>
      <c r="I54" s="410">
        <f>ROUND(F54*Прил.10!$D$12,2)</f>
        <v/>
      </c>
      <c r="J54" s="226">
        <f>ROUND(I54*E54,2)</f>
        <v/>
      </c>
    </row>
    <row r="55" collapsed="1" ht="14.25" customFormat="1" customHeight="1" s="346">
      <c r="A55" s="401" t="n"/>
      <c r="B55" s="401" t="n"/>
      <c r="C55" s="408" t="inlineStr">
        <is>
          <t>Итого прочие машины и механизмы</t>
        </is>
      </c>
      <c r="D55" s="401" t="n"/>
      <c r="E55" s="409" t="n"/>
      <c r="F55" s="226" t="n"/>
      <c r="G55" s="219">
        <f>SUM(G29:G54)</f>
        <v/>
      </c>
      <c r="H55" s="286">
        <f>G55/G56</f>
        <v/>
      </c>
      <c r="I55" s="226" t="n"/>
      <c r="J55" s="219">
        <f>SUM(J29:J54)</f>
        <v/>
      </c>
    </row>
    <row r="56" ht="25.5" customFormat="1" customHeight="1" s="346">
      <c r="A56" s="401" t="n"/>
      <c r="B56" s="401" t="n"/>
      <c r="C56" s="392" t="inlineStr">
        <is>
          <t>Итого по разделу «Машины и механизмы»</t>
        </is>
      </c>
      <c r="D56" s="401" t="n"/>
      <c r="E56" s="409" t="n"/>
      <c r="F56" s="226" t="n"/>
      <c r="G56" s="226">
        <f>G55+G28</f>
        <v/>
      </c>
      <c r="H56" s="212" t="n">
        <v>1</v>
      </c>
      <c r="I56" s="213" t="n"/>
      <c r="J56" s="233">
        <f>J55+J28</f>
        <v/>
      </c>
      <c r="K56" s="369" t="n"/>
    </row>
    <row r="57" ht="14.25" customFormat="1" customHeight="1" s="346">
      <c r="A57" s="401" t="n"/>
      <c r="B57" s="392" t="inlineStr">
        <is>
          <t>Оборудование</t>
        </is>
      </c>
      <c r="C57" s="472" t="n"/>
      <c r="D57" s="472" t="n"/>
      <c r="E57" s="472" t="n"/>
      <c r="F57" s="472" t="n"/>
      <c r="G57" s="472" t="n"/>
      <c r="H57" s="473" t="n"/>
      <c r="I57" s="218" t="n"/>
      <c r="J57" s="218" t="n"/>
      <c r="K57" s="368" t="n"/>
    </row>
    <row r="58">
      <c r="A58" s="401" t="n"/>
      <c r="B58" s="404" t="inlineStr">
        <is>
          <t>Основное оборудование</t>
        </is>
      </c>
      <c r="C58" s="477" t="n"/>
      <c r="D58" s="477" t="n"/>
      <c r="E58" s="477" t="n"/>
      <c r="F58" s="477" t="n"/>
      <c r="G58" s="477" t="n"/>
      <c r="H58" s="478" t="n"/>
      <c r="I58" s="218" t="n"/>
      <c r="J58" s="218" t="n"/>
      <c r="K58" s="346" t="n"/>
      <c r="L58" s="346" t="n"/>
    </row>
    <row r="59">
      <c r="A59" s="401" t="n"/>
      <c r="B59" s="401" t="n"/>
      <c r="C59" s="408" t="inlineStr">
        <is>
          <t>Итого основное оборудование</t>
        </is>
      </c>
      <c r="D59" s="401" t="n"/>
      <c r="E59" s="228" t="n"/>
      <c r="F59" s="410" t="n"/>
      <c r="G59" s="226" t="n">
        <v>0</v>
      </c>
      <c r="H59" s="411" t="n">
        <v>0</v>
      </c>
      <c r="I59" s="219" t="n"/>
      <c r="J59" s="226" t="n">
        <v>0</v>
      </c>
      <c r="K59" s="346" t="n"/>
      <c r="L59" s="346" t="n"/>
    </row>
    <row r="60">
      <c r="A60" s="401" t="n"/>
      <c r="B60" s="401" t="n"/>
      <c r="C60" s="408" t="inlineStr">
        <is>
          <t>Итого прочее оборудование</t>
        </is>
      </c>
      <c r="D60" s="401" t="n"/>
      <c r="E60" s="228" t="n"/>
      <c r="F60" s="410" t="n"/>
      <c r="G60" s="226" t="n">
        <v>0</v>
      </c>
      <c r="H60" s="411" t="n">
        <v>0</v>
      </c>
      <c r="I60" s="219" t="n"/>
      <c r="J60" s="226" t="n">
        <v>0</v>
      </c>
      <c r="K60" s="346" t="n"/>
      <c r="L60" s="346" t="n"/>
    </row>
    <row r="61">
      <c r="A61" s="401" t="n"/>
      <c r="B61" s="401" t="n"/>
      <c r="C61" s="392" t="inlineStr">
        <is>
          <t>Итого по разделу «Оборудование»</t>
        </is>
      </c>
      <c r="D61" s="401" t="n"/>
      <c r="E61" s="409" t="n"/>
      <c r="F61" s="410" t="n"/>
      <c r="G61" s="226">
        <f>G60+G59</f>
        <v/>
      </c>
      <c r="H61" s="411">
        <f>H60+H59</f>
        <v/>
      </c>
      <c r="I61" s="219" t="n"/>
      <c r="J61" s="226">
        <f>J60+J59</f>
        <v/>
      </c>
      <c r="K61" s="346" t="n"/>
      <c r="L61" s="346" t="n"/>
    </row>
    <row r="62">
      <c r="A62" s="401" t="n"/>
      <c r="B62" s="401" t="n"/>
      <c r="C62" s="408" t="inlineStr">
        <is>
          <t>в том числе технологическое оборудование</t>
        </is>
      </c>
      <c r="D62" s="401" t="n"/>
      <c r="E62" s="220" t="n"/>
      <c r="F62" s="410" t="n"/>
      <c r="G62" s="226">
        <f>G61</f>
        <v/>
      </c>
      <c r="H62" s="411" t="n"/>
      <c r="I62" s="219" t="n"/>
      <c r="J62" s="226">
        <f>J61</f>
        <v/>
      </c>
      <c r="K62" s="346" t="n"/>
      <c r="L62" s="346" t="n"/>
    </row>
    <row r="63" ht="14.25" customFormat="1" customHeight="1" s="346">
      <c r="A63" s="401" t="n"/>
      <c r="B63" s="392" t="inlineStr">
        <is>
          <t>Материалы</t>
        </is>
      </c>
      <c r="C63" s="472" t="n"/>
      <c r="D63" s="472" t="n"/>
      <c r="E63" s="472" t="n"/>
      <c r="F63" s="472" t="n"/>
      <c r="G63" s="472" t="n"/>
      <c r="H63" s="473" t="n"/>
      <c r="I63" s="218" t="n"/>
      <c r="J63" s="218" t="n"/>
    </row>
    <row r="64" ht="14.25" customFormat="1" customHeight="1" s="346">
      <c r="A64" s="402" t="n"/>
      <c r="B64" s="404" t="inlineStr">
        <is>
          <t>Основные материалы</t>
        </is>
      </c>
      <c r="C64" s="477" t="n"/>
      <c r="D64" s="477" t="n"/>
      <c r="E64" s="477" t="n"/>
      <c r="F64" s="477" t="n"/>
      <c r="G64" s="477" t="n"/>
      <c r="H64" s="478" t="n"/>
      <c r="I64" s="232" t="n"/>
      <c r="J64" s="232" t="n"/>
    </row>
    <row r="65" ht="25.5" customFormat="1" customHeight="1" s="346">
      <c r="A65" s="301" t="n">
        <v>38</v>
      </c>
      <c r="B65" s="299" t="inlineStr">
        <is>
          <t>БЦ.98.23</t>
        </is>
      </c>
      <c r="C65" s="300" t="inlineStr">
        <is>
          <t>Опоры стальные решетчатые, анкерно-угловые класс напряжения 220 кВ</t>
        </is>
      </c>
      <c r="D65" s="301" t="inlineStr">
        <is>
          <t>т</t>
        </is>
      </c>
      <c r="E65" s="302" t="n">
        <v>85.2</v>
      </c>
      <c r="F65" s="303">
        <f>ROUND(I65/Прил.10!$D$13,2)</f>
        <v/>
      </c>
      <c r="G65" s="312">
        <f>ROUND(E65*F65,2)</f>
        <v/>
      </c>
      <c r="H65" s="311">
        <f>G65/$G$137</f>
        <v/>
      </c>
      <c r="I65" s="303" t="n">
        <v>227108.49</v>
      </c>
      <c r="J65" s="312">
        <f>ROUND(I65*E65,2)</f>
        <v/>
      </c>
    </row>
    <row r="66" ht="38.25" customFormat="1" customHeight="1" s="346">
      <c r="A66" s="301" t="n">
        <v>39</v>
      </c>
      <c r="B66" s="299" t="inlineStr">
        <is>
          <t>БЦ.105.159</t>
        </is>
      </c>
      <c r="C66" s="300" t="inlineStr">
        <is>
          <t>Провод неизолированный алюминиевый для воздушных линий электропередачи АСТ 300/39</t>
        </is>
      </c>
      <c r="D66" s="301" t="inlineStr">
        <is>
          <t>км</t>
        </is>
      </c>
      <c r="E66" s="302" t="n">
        <v>7.368</v>
      </c>
      <c r="F66" s="303">
        <f>ROUND(I66/Прил.10!$D$13,2)</f>
        <v/>
      </c>
      <c r="G66" s="312">
        <f>ROUND(E66*F66,2)</f>
        <v/>
      </c>
      <c r="H66" s="311">
        <f>G66/$G$137</f>
        <v/>
      </c>
      <c r="I66" s="303" t="n">
        <v>978048</v>
      </c>
      <c r="J66" s="312">
        <f>ROUND(I66*E66,2)</f>
        <v/>
      </c>
    </row>
    <row r="67" ht="25.5" customFormat="1" customHeight="1" s="346">
      <c r="A67" s="301" t="n">
        <v>40</v>
      </c>
      <c r="B67" s="299" t="inlineStr">
        <is>
          <t>01.7.15.03-0036</t>
        </is>
      </c>
      <c r="C67" s="300" t="inlineStr">
        <is>
          <t>Болты с гайками и шайбами оцинкованные, диаметр 24 мм</t>
        </is>
      </c>
      <c r="D67" s="301" t="inlineStr">
        <is>
          <t>кг</t>
        </is>
      </c>
      <c r="E67" s="302" t="n">
        <v>8560</v>
      </c>
      <c r="F67" s="303" t="n">
        <v>24.79</v>
      </c>
      <c r="G67" s="312">
        <f>ROUND(E67*F67,2)</f>
        <v/>
      </c>
      <c r="H67" s="311">
        <f>G67/$G$137</f>
        <v/>
      </c>
      <c r="I67" s="303">
        <f>ROUND(F67*Прил.10!$D$13,2)</f>
        <v/>
      </c>
      <c r="J67" s="312">
        <f>ROUND(I67*E67,2)</f>
        <v/>
      </c>
    </row>
    <row r="68" ht="25.5" customFormat="1" customHeight="1" s="346">
      <c r="A68" s="301" t="n">
        <v>41</v>
      </c>
      <c r="B68" s="299" t="inlineStr">
        <is>
          <t>05.1.05.16-0221</t>
        </is>
      </c>
      <c r="C68" s="300" t="inlineStr">
        <is>
          <t>Фундаменты сборные железобетонные ВЛ и ОРУ</t>
        </is>
      </c>
      <c r="D68" s="301" t="inlineStr">
        <is>
          <t>м3</t>
        </is>
      </c>
      <c r="E68" s="302" t="n">
        <v>145.44</v>
      </c>
      <c r="F68" s="303" t="n">
        <v>1597.37</v>
      </c>
      <c r="G68" s="312">
        <f>ROUND(E68*F68,2)</f>
        <v/>
      </c>
      <c r="H68" s="311">
        <f>G68/$G$137</f>
        <v/>
      </c>
      <c r="I68" s="303">
        <f>ROUND(F68*Прил.10!$D$13,2)</f>
        <v/>
      </c>
      <c r="J68" s="312">
        <f>ROUND(I68*E68,2)</f>
        <v/>
      </c>
    </row>
    <row r="69" ht="14.25" customFormat="1" customHeight="1" s="346">
      <c r="A69" s="301" t="n">
        <v>42</v>
      </c>
      <c r="B69" s="299" t="inlineStr">
        <is>
          <t>22.2.02.07-0041</t>
        </is>
      </c>
      <c r="C69" s="300" t="inlineStr">
        <is>
          <t>Ростверки стальные массой до 0,2т</t>
        </is>
      </c>
      <c r="D69" s="301" t="inlineStr">
        <is>
          <t>т</t>
        </is>
      </c>
      <c r="E69" s="302" t="n">
        <v>27.9336</v>
      </c>
      <c r="F69" s="303" t="n">
        <v>8200</v>
      </c>
      <c r="G69" s="312">
        <f>ROUND(E69*F69,2)</f>
        <v/>
      </c>
      <c r="H69" s="311">
        <f>G69/$G$137</f>
        <v/>
      </c>
      <c r="I69" s="303">
        <f>ROUND(F69*Прил.10!$D$13,2)</f>
        <v/>
      </c>
      <c r="J69" s="312">
        <f>ROUND(I69*E69,2)</f>
        <v/>
      </c>
    </row>
    <row r="70" ht="14.25" customFormat="1" customHeight="1" s="346">
      <c r="A70" s="301" t="n">
        <v>43</v>
      </c>
      <c r="B70" s="299" t="inlineStr">
        <is>
          <t>02.2.04.03-0003</t>
        </is>
      </c>
      <c r="C70" s="300" t="inlineStr">
        <is>
          <t>Смесь песчано-гравийная природная</t>
        </is>
      </c>
      <c r="D70" s="301" t="inlineStr">
        <is>
          <t>м3</t>
        </is>
      </c>
      <c r="E70" s="302" t="n">
        <v>2726.2</v>
      </c>
      <c r="F70" s="303" t="n">
        <v>60</v>
      </c>
      <c r="G70" s="312">
        <f>ROUND(E70*F70,2)</f>
        <v/>
      </c>
      <c r="H70" s="311">
        <f>G70/$G$137</f>
        <v/>
      </c>
      <c r="I70" s="303">
        <f>ROUND(F70*Прил.10!$D$13,2)</f>
        <v/>
      </c>
      <c r="J70" s="312">
        <f>ROUND(I70*E70,2)</f>
        <v/>
      </c>
    </row>
    <row r="71" ht="14.25" customFormat="1" customHeight="1" s="346">
      <c r="A71" s="301" t="n"/>
      <c r="B71" s="306" t="n"/>
      <c r="C71" s="307" t="inlineStr">
        <is>
          <t>Итого основные материалы</t>
        </is>
      </c>
      <c r="D71" s="308" t="n"/>
      <c r="E71" s="302" t="n"/>
      <c r="F71" s="310" t="n"/>
      <c r="G71" s="310">
        <f>SUM(G65:G70)</f>
        <v/>
      </c>
      <c r="H71" s="311">
        <f>G71/$G$137</f>
        <v/>
      </c>
      <c r="I71" s="312" t="n"/>
      <c r="J71" s="310">
        <f>SUM(J65:J70)</f>
        <v/>
      </c>
    </row>
    <row r="72" hidden="1" outlineLevel="1" ht="14.25" customFormat="1" customHeight="1" s="346">
      <c r="A72" s="301" t="n">
        <v>44</v>
      </c>
      <c r="B72" s="299" t="inlineStr">
        <is>
          <t>БЦ.94.154</t>
        </is>
      </c>
      <c r="C72" s="300" t="inlineStr">
        <is>
          <t>Кабель ОКГТ-с-1-24(G652)-20/248 км</t>
        </is>
      </c>
      <c r="D72" s="301" t="inlineStr">
        <is>
          <t>км</t>
        </is>
      </c>
      <c r="E72" s="302" t="n">
        <v>1.556</v>
      </c>
      <c r="F72" s="303">
        <f>ROUND(I72/Прил.10!$D$13,2)</f>
        <v/>
      </c>
      <c r="G72" s="312">
        <f>ROUND(E72*F72,2)</f>
        <v/>
      </c>
      <c r="H72" s="311">
        <f>G72/$G$137</f>
        <v/>
      </c>
      <c r="I72" s="303" t="n">
        <v>895792.5</v>
      </c>
      <c r="J72" s="312">
        <f>ROUND(I72*E72,2)</f>
        <v/>
      </c>
    </row>
    <row r="73" hidden="1" outlineLevel="1" ht="25.5" customFormat="1" customHeight="1" s="346">
      <c r="A73" s="301" t="n">
        <v>45</v>
      </c>
      <c r="B73" s="299" t="inlineStr">
        <is>
          <t>22.2.01.03-0002</t>
        </is>
      </c>
      <c r="C73" s="300" t="inlineStr">
        <is>
          <t>Изолятор подвесной стеклянный ПСВ-160А (прим. ПС400Б)</t>
        </is>
      </c>
      <c r="D73" s="301" t="inlineStr">
        <is>
          <t>шт</t>
        </is>
      </c>
      <c r="E73" s="302" t="n">
        <v>227</v>
      </c>
      <c r="F73" s="303" t="n">
        <v>284.68</v>
      </c>
      <c r="G73" s="312">
        <f>ROUND(E73*F73,2)</f>
        <v/>
      </c>
      <c r="H73" s="311">
        <f>G73/$G$137</f>
        <v/>
      </c>
      <c r="I73" s="303">
        <f>ROUND(F73*Прил.10!$D$13,2)</f>
        <v/>
      </c>
      <c r="J73" s="312">
        <f>ROUND(I73*E73,2)</f>
        <v/>
      </c>
    </row>
    <row r="74" hidden="1" outlineLevel="1" ht="14.25" customFormat="1" customHeight="1" s="346">
      <c r="A74" s="301" t="n">
        <v>46</v>
      </c>
      <c r="B74" s="299" t="inlineStr">
        <is>
          <t>01.2.03.07-0001</t>
        </is>
      </c>
      <c r="C74" s="300" t="inlineStr">
        <is>
          <t>Композиция полимерно-битумная Гидроизол</t>
        </is>
      </c>
      <c r="D74" s="301" t="inlineStr">
        <is>
          <t>л</t>
        </is>
      </c>
      <c r="E74" s="302" t="n">
        <v>1038.24</v>
      </c>
      <c r="F74" s="303" t="n">
        <v>42.83</v>
      </c>
      <c r="G74" s="312">
        <f>ROUND(E74*F74,2)</f>
        <v/>
      </c>
      <c r="H74" s="311">
        <f>G74/$G$137</f>
        <v/>
      </c>
      <c r="I74" s="303">
        <f>ROUND(F74*Прил.10!$D$13,2)</f>
        <v/>
      </c>
      <c r="J74" s="312">
        <f>ROUND(I74*E74,2)</f>
        <v/>
      </c>
    </row>
    <row r="75" hidden="1" outlineLevel="1" ht="14.25" customFormat="1" customHeight="1" s="346">
      <c r="A75" s="301" t="n">
        <v>47</v>
      </c>
      <c r="B75" s="299" t="inlineStr">
        <is>
          <t>16.2.01.02-0001</t>
        </is>
      </c>
      <c r="C75" s="300" t="inlineStr">
        <is>
          <t>Земля растительная</t>
        </is>
      </c>
      <c r="D75" s="301" t="inlineStr">
        <is>
          <t>м3</t>
        </is>
      </c>
      <c r="E75" s="302" t="n">
        <v>296.6924</v>
      </c>
      <c r="F75" s="303" t="n">
        <v>135.6</v>
      </c>
      <c r="G75" s="312">
        <f>ROUND(E75*F75,2)</f>
        <v/>
      </c>
      <c r="H75" s="311">
        <f>G75/$G$137</f>
        <v/>
      </c>
      <c r="I75" s="303">
        <f>ROUND(F75*Прил.10!$D$13,2)</f>
        <v/>
      </c>
      <c r="J75" s="312">
        <f>ROUND(I75*E75,2)</f>
        <v/>
      </c>
    </row>
    <row r="76" hidden="1" outlineLevel="1" ht="25.5" customFormat="1" customHeight="1" s="346">
      <c r="A76" s="301" t="n">
        <v>48</v>
      </c>
      <c r="B76" s="299" t="inlineStr">
        <is>
          <t>10.1.02.03-0001</t>
        </is>
      </c>
      <c r="C76" s="300" t="inlineStr">
        <is>
          <t>Проволока алюминиевая, марка АМЦ, диаметр 1,4-1,8 мм</t>
        </is>
      </c>
      <c r="D76" s="301" t="inlineStr">
        <is>
          <t>т</t>
        </is>
      </c>
      <c r="E76" s="302" t="n">
        <v>1.2819538</v>
      </c>
      <c r="F76" s="303" t="n">
        <v>30090</v>
      </c>
      <c r="G76" s="312">
        <f>ROUND(E76*F76,2)</f>
        <v/>
      </c>
      <c r="H76" s="311">
        <f>G76/$G$137</f>
        <v/>
      </c>
      <c r="I76" s="303">
        <f>ROUND(F76*Прил.10!$D$13,2)</f>
        <v/>
      </c>
      <c r="J76" s="312">
        <f>ROUND(I76*E76,2)</f>
        <v/>
      </c>
    </row>
    <row r="77" hidden="1" outlineLevel="1" ht="14.25" customFormat="1" customHeight="1" s="346">
      <c r="A77" s="301" t="n">
        <v>49</v>
      </c>
      <c r="B77" s="293" t="inlineStr">
        <is>
          <t>05.1.03.13-0183</t>
        </is>
      </c>
      <c r="C77" s="408" t="inlineStr">
        <is>
          <t>Ригели сборные железобетонные ВЛ и ОРУ</t>
        </is>
      </c>
      <c r="D77" s="401" t="inlineStr">
        <is>
          <t>м3</t>
        </is>
      </c>
      <c r="E77" s="228" t="n">
        <v>19.392</v>
      </c>
      <c r="F77" s="292" t="n">
        <v>1733.42</v>
      </c>
      <c r="G77" s="226">
        <f>ROUND(E77*F77,2)</f>
        <v/>
      </c>
      <c r="H77" s="286">
        <f>G77/$G$137</f>
        <v/>
      </c>
      <c r="I77" s="292">
        <f>ROUND(F77*Прил.10!$D$13,2)</f>
        <v/>
      </c>
      <c r="J77" s="226">
        <f>ROUND(I77*E77,2)</f>
        <v/>
      </c>
    </row>
    <row r="78" hidden="1" outlineLevel="1" ht="14.25" customFormat="1" customHeight="1" s="346">
      <c r="A78" s="301" t="n">
        <v>50</v>
      </c>
      <c r="B78" s="293" t="inlineStr">
        <is>
          <t>20.1.02.22-0021</t>
        </is>
      </c>
      <c r="C78" s="408" t="inlineStr">
        <is>
          <t>Ушко: У1-40-28</t>
        </is>
      </c>
      <c r="D78" s="401" t="inlineStr">
        <is>
          <t>шт</t>
        </is>
      </c>
      <c r="E78" s="228" t="n">
        <v>19</v>
      </c>
      <c r="F78" s="292" t="n">
        <v>1205.48</v>
      </c>
      <c r="G78" s="226">
        <f>ROUND(E78*F78,2)</f>
        <v/>
      </c>
      <c r="H78" s="286">
        <f>G78/$G$137</f>
        <v/>
      </c>
      <c r="I78" s="292">
        <f>ROUND(F78*Прил.10!$D$13,2)</f>
        <v/>
      </c>
      <c r="J78" s="226">
        <f>ROUND(I78*E78,2)</f>
        <v/>
      </c>
    </row>
    <row r="79" hidden="1" outlineLevel="1" ht="14.25" customFormat="1" customHeight="1" s="346">
      <c r="A79" s="301" t="n">
        <v>51</v>
      </c>
      <c r="B79" s="293" t="inlineStr">
        <is>
          <t>08.1.02.25-0012</t>
        </is>
      </c>
      <c r="C79" s="408" t="inlineStr">
        <is>
          <t>Детали крепления стальные (Д-12. Д-13)</t>
        </is>
      </c>
      <c r="D79" s="401" t="inlineStr">
        <is>
          <t>т</t>
        </is>
      </c>
      <c r="E79" s="228" t="n">
        <v>2.016</v>
      </c>
      <c r="F79" s="292" t="n">
        <v>10100</v>
      </c>
      <c r="G79" s="226">
        <f>ROUND(E79*F79,2)</f>
        <v/>
      </c>
      <c r="H79" s="286">
        <f>G79/$G$137</f>
        <v/>
      </c>
      <c r="I79" s="292">
        <f>ROUND(F79*Прил.10!$D$13,2)</f>
        <v/>
      </c>
      <c r="J79" s="226">
        <f>ROUND(I79*E79,2)</f>
        <v/>
      </c>
    </row>
    <row r="80" hidden="1" outlineLevel="1" ht="25.5" customFormat="1" customHeight="1" s="346">
      <c r="A80" s="301" t="n">
        <v>52</v>
      </c>
      <c r="B80" s="293" t="inlineStr">
        <is>
          <t>01.7.15.03-0039</t>
        </is>
      </c>
      <c r="C80" s="408" t="inlineStr">
        <is>
          <t>Болты с гайками и шайбами оцинкованные, диаметр 42 мм</t>
        </is>
      </c>
      <c r="D80" s="401" t="inlineStr">
        <is>
          <t>кг</t>
        </is>
      </c>
      <c r="E80" s="228" t="n">
        <v>768</v>
      </c>
      <c r="F80" s="292" t="n">
        <v>24.43</v>
      </c>
      <c r="G80" s="226">
        <f>ROUND(E80*F80,2)</f>
        <v/>
      </c>
      <c r="H80" s="286">
        <f>G80/$G$137</f>
        <v/>
      </c>
      <c r="I80" s="292">
        <f>ROUND(F80*Прил.10!$D$13,2)</f>
        <v/>
      </c>
      <c r="J80" s="226">
        <f>ROUND(I80*E80,2)</f>
        <v/>
      </c>
    </row>
    <row r="81" hidden="1" outlineLevel="1" ht="14.25" customFormat="1" customHeight="1" s="346">
      <c r="A81" s="301" t="n">
        <v>53</v>
      </c>
      <c r="B81" s="293" t="inlineStr">
        <is>
          <t>20.1.02.05-0007</t>
        </is>
      </c>
      <c r="C81" s="408" t="inlineStr">
        <is>
          <t>Коромысло: 3К2-21-3 (прим.  3КБ-120-1 )</t>
        </is>
      </c>
      <c r="D81" s="401" t="inlineStr">
        <is>
          <t>шт</t>
        </is>
      </c>
      <c r="E81" s="228" t="n">
        <v>6</v>
      </c>
      <c r="F81" s="292" t="n">
        <v>2845.09</v>
      </c>
      <c r="G81" s="226">
        <f>ROUND(E81*F81,2)</f>
        <v/>
      </c>
      <c r="H81" s="286">
        <f>G81/$G$137</f>
        <v/>
      </c>
      <c r="I81" s="292">
        <f>ROUND(F81*Прил.10!$D$13,2)</f>
        <v/>
      </c>
      <c r="J81" s="226">
        <f>ROUND(I81*E81,2)</f>
        <v/>
      </c>
    </row>
    <row r="82" hidden="1" outlineLevel="1" ht="14.25" customFormat="1" customHeight="1" s="346">
      <c r="A82" s="301" t="n">
        <v>54</v>
      </c>
      <c r="B82" s="293" t="inlineStr">
        <is>
          <t>20.1.02.05-0007</t>
        </is>
      </c>
      <c r="C82" s="408" t="inlineStr">
        <is>
          <t>Коромысло: 3К2-21-3 (прим. 3КД2-120 )</t>
        </is>
      </c>
      <c r="D82" s="401" t="inlineStr">
        <is>
          <t>шт</t>
        </is>
      </c>
      <c r="E82" s="228" t="n">
        <v>6</v>
      </c>
      <c r="F82" s="292" t="n">
        <v>2845.09</v>
      </c>
      <c r="G82" s="226">
        <f>ROUND(E82*F82,2)</f>
        <v/>
      </c>
      <c r="H82" s="286">
        <f>G82/$G$137</f>
        <v/>
      </c>
      <c r="I82" s="292">
        <f>ROUND(F82*Прил.10!$D$13,2)</f>
        <v/>
      </c>
      <c r="J82" s="226">
        <f>ROUND(I82*E82,2)</f>
        <v/>
      </c>
    </row>
    <row r="83" hidden="1" outlineLevel="1" ht="51" customFormat="1" customHeight="1" s="346">
      <c r="A83" s="301" t="n">
        <v>55</v>
      </c>
      <c r="B83" s="293" t="inlineStr">
        <is>
          <t>20.2.04.01-0012</t>
        </is>
      </c>
      <c r="C83" s="408" t="inlineStr">
        <is>
          <t>Короб кабельный блочный сборный прямой сейсмостойкий ККБС 0,95/0,6-2, горячеоцинкованный (прим. Барабан для кабеля  ОКГТ-с-1-24(G652)-20/248)</t>
        </is>
      </c>
      <c r="D83" s="401" t="inlineStr">
        <is>
          <t>шт</t>
        </is>
      </c>
      <c r="E83" s="228" t="n">
        <v>2</v>
      </c>
      <c r="F83" s="292" t="n">
        <v>5784.18</v>
      </c>
      <c r="G83" s="226">
        <f>ROUND(E83*F83,2)</f>
        <v/>
      </c>
      <c r="H83" s="286">
        <f>G83/$G$137</f>
        <v/>
      </c>
      <c r="I83" s="292">
        <f>ROUND(F83*Прил.10!$D$13,2)</f>
        <v/>
      </c>
      <c r="J83" s="226">
        <f>ROUND(I83*E83,2)</f>
        <v/>
      </c>
    </row>
    <row r="84" hidden="1" outlineLevel="1" ht="14.25" customFormat="1" customHeight="1" s="346">
      <c r="A84" s="301" t="n">
        <v>56</v>
      </c>
      <c r="B84" s="293" t="inlineStr">
        <is>
          <t>01.7.15.11-0051</t>
        </is>
      </c>
      <c r="C84" s="408" t="inlineStr">
        <is>
          <t>Шайбы оцинкованные, диаметр 22 мм</t>
        </is>
      </c>
      <c r="D84" s="401" t="inlineStr">
        <is>
          <t>кг</t>
        </is>
      </c>
      <c r="E84" s="228" t="n">
        <v>384</v>
      </c>
      <c r="F84" s="292" t="n">
        <v>29.38</v>
      </c>
      <c r="G84" s="226">
        <f>ROUND(E84*F84,2)</f>
        <v/>
      </c>
      <c r="H84" s="286">
        <f>G84/$G$137</f>
        <v/>
      </c>
      <c r="I84" s="292">
        <f>ROUND(F84*Прил.10!$D$13,2)</f>
        <v/>
      </c>
      <c r="J84" s="226">
        <f>ROUND(I84*E84,2)</f>
        <v/>
      </c>
    </row>
    <row r="85" hidden="1" outlineLevel="1" ht="14.25" customFormat="1" customHeight="1" s="346">
      <c r="A85" s="301" t="n">
        <v>57</v>
      </c>
      <c r="B85" s="293" t="inlineStr">
        <is>
          <t>01.2.03.02-0022</t>
        </is>
      </c>
      <c r="C85" s="408" t="inlineStr">
        <is>
          <t>Грунтовка полиуретановая "Праймер 1101"</t>
        </is>
      </c>
      <c r="D85" s="401" t="inlineStr">
        <is>
          <t>кг</t>
        </is>
      </c>
      <c r="E85" s="228" t="n">
        <v>370.8</v>
      </c>
      <c r="F85" s="292" t="n">
        <v>26.96</v>
      </c>
      <c r="G85" s="226">
        <f>ROUND(E85*F85,2)</f>
        <v/>
      </c>
      <c r="H85" s="286">
        <f>G85/$G$137</f>
        <v/>
      </c>
      <c r="I85" s="292">
        <f>ROUND(F85*Прил.10!$D$13,2)</f>
        <v/>
      </c>
      <c r="J85" s="226">
        <f>ROUND(I85*E85,2)</f>
        <v/>
      </c>
    </row>
    <row r="86" hidden="1" outlineLevel="1" ht="25.5" customFormat="1" customHeight="1" s="346">
      <c r="A86" s="301" t="n">
        <v>58</v>
      </c>
      <c r="B86" s="293" t="inlineStr">
        <is>
          <t>01.7.15.05-0027</t>
        </is>
      </c>
      <c r="C86" s="408" t="inlineStr">
        <is>
          <t>Гайки шестигранные, диаметр резьбы 24 мм, оцинкованные</t>
        </is>
      </c>
      <c r="D86" s="401" t="inlineStr">
        <is>
          <t>т</t>
        </is>
      </c>
      <c r="E86" s="228" t="n">
        <v>0.48</v>
      </c>
      <c r="F86" s="292" t="n">
        <v>19978.06</v>
      </c>
      <c r="G86" s="226">
        <f>ROUND(E86*F86,2)</f>
        <v/>
      </c>
      <c r="H86" s="286">
        <f>G86/$G$137</f>
        <v/>
      </c>
      <c r="I86" s="292">
        <f>ROUND(F86*Прил.10!$D$13,2)</f>
        <v/>
      </c>
      <c r="J86" s="226">
        <f>ROUND(I86*E86,2)</f>
        <v/>
      </c>
    </row>
    <row r="87" hidden="1" outlineLevel="1" ht="14.25" customFormat="1" customHeight="1" s="346">
      <c r="A87" s="301" t="n">
        <v>59</v>
      </c>
      <c r="B87" s="293" t="inlineStr">
        <is>
          <t>16.2.02.07-0161</t>
        </is>
      </c>
      <c r="C87" s="408" t="inlineStr">
        <is>
          <t>Семена газонных трав (смесь)</t>
        </is>
      </c>
      <c r="D87" s="401" t="inlineStr">
        <is>
          <t>кг</t>
        </is>
      </c>
      <c r="E87" s="228" t="n">
        <v>50.7</v>
      </c>
      <c r="F87" s="292" t="n">
        <v>146.25</v>
      </c>
      <c r="G87" s="226">
        <f>ROUND(E87*F87,2)</f>
        <v/>
      </c>
      <c r="H87" s="286">
        <f>G87/$G$137</f>
        <v/>
      </c>
      <c r="I87" s="292">
        <f>ROUND(F87*Прил.10!$D$13,2)</f>
        <v/>
      </c>
      <c r="J87" s="226">
        <f>ROUND(I87*E87,2)</f>
        <v/>
      </c>
    </row>
    <row r="88" hidden="1" outlineLevel="1" ht="14.25" customFormat="1" customHeight="1" s="346">
      <c r="A88" s="301" t="n">
        <v>60</v>
      </c>
      <c r="B88" s="293" t="inlineStr">
        <is>
          <t>02.2.05.04-1567</t>
        </is>
      </c>
      <c r="C88" s="408" t="inlineStr">
        <is>
          <t>Щебень М 400, фракция 5(3)-10 мм, группа 2</t>
        </is>
      </c>
      <c r="D88" s="401" t="inlineStr">
        <is>
          <t>м3</t>
        </is>
      </c>
      <c r="E88" s="228" t="n">
        <v>54.05</v>
      </c>
      <c r="F88" s="292" t="n">
        <v>131.08</v>
      </c>
      <c r="G88" s="226">
        <f>ROUND(E88*F88,2)</f>
        <v/>
      </c>
      <c r="H88" s="286">
        <f>G88/$G$137</f>
        <v/>
      </c>
      <c r="I88" s="292">
        <f>ROUND(F88*Прил.10!$D$13,2)</f>
        <v/>
      </c>
      <c r="J88" s="226">
        <f>ROUND(I88*E88,2)</f>
        <v/>
      </c>
    </row>
    <row r="89" hidden="1" outlineLevel="1" ht="25.5" customFormat="1" customHeight="1" s="346">
      <c r="A89" s="301" t="n">
        <v>61</v>
      </c>
      <c r="B89" s="293" t="inlineStr">
        <is>
          <t>20.1.02.21-0037</t>
        </is>
      </c>
      <c r="C89" s="408" t="inlineStr">
        <is>
          <t>Узел крепления КГН-16-5 (прим. Узел крепления КГН-60-5)</t>
        </is>
      </c>
      <c r="D89" s="401" t="inlineStr">
        <is>
          <t>шт</t>
        </is>
      </c>
      <c r="E89" s="228" t="n">
        <v>20</v>
      </c>
      <c r="F89" s="292" t="n">
        <v>326.1</v>
      </c>
      <c r="G89" s="226">
        <f>ROUND(E89*F89,2)</f>
        <v/>
      </c>
      <c r="H89" s="286">
        <f>G89/$G$137</f>
        <v/>
      </c>
      <c r="I89" s="292">
        <f>ROUND(F89*Прил.10!$D$13,2)</f>
        <v/>
      </c>
      <c r="J89" s="226">
        <f>ROUND(I89*E89,2)</f>
        <v/>
      </c>
    </row>
    <row r="90" hidden="1" outlineLevel="1" ht="25.5" customFormat="1" customHeight="1" s="346">
      <c r="A90" s="301" t="n">
        <v>62</v>
      </c>
      <c r="B90" s="293" t="inlineStr">
        <is>
          <t>22.2.02.04-0020</t>
        </is>
      </c>
      <c r="C90" s="408" t="inlineStr">
        <is>
          <t>Звено промежуточное прямое двойное 2ПР-21-1 (прим. 2ПР-45-1)</t>
        </is>
      </c>
      <c r="D90" s="401" t="inlineStr">
        <is>
          <t>шт</t>
        </is>
      </c>
      <c r="E90" s="228" t="n">
        <v>19</v>
      </c>
      <c r="F90" s="292" t="n">
        <v>314.56</v>
      </c>
      <c r="G90" s="226">
        <f>ROUND(E90*F90,2)</f>
        <v/>
      </c>
      <c r="H90" s="286">
        <f>G90/$G$137</f>
        <v/>
      </c>
      <c r="I90" s="292">
        <f>ROUND(F90*Прил.10!$D$13,2)</f>
        <v/>
      </c>
      <c r="J90" s="226">
        <f>ROUND(I90*E90,2)</f>
        <v/>
      </c>
    </row>
    <row r="91" hidden="1" outlineLevel="1" ht="25.5" customFormat="1" customHeight="1" s="346">
      <c r="A91" s="301" t="n">
        <v>63</v>
      </c>
      <c r="B91" s="293" t="inlineStr">
        <is>
          <t>22.2.02.04-0040</t>
        </is>
      </c>
      <c r="C91" s="408" t="inlineStr">
        <is>
          <t>Звено промежуточное регулируемое ПРР-21-1 (прим.  ПРР-60-1)</t>
        </is>
      </c>
      <c r="D91" s="401" t="inlineStr">
        <is>
          <t>шт</t>
        </is>
      </c>
      <c r="E91" s="228" t="n">
        <v>12</v>
      </c>
      <c r="F91" s="292" t="n">
        <v>492.77</v>
      </c>
      <c r="G91" s="226">
        <f>ROUND(E91*F91,2)</f>
        <v/>
      </c>
      <c r="H91" s="286">
        <f>G91/$G$137</f>
        <v/>
      </c>
      <c r="I91" s="292">
        <f>ROUND(F91*Прил.10!$D$13,2)</f>
        <v/>
      </c>
      <c r="J91" s="226">
        <f>ROUND(I91*E91,2)</f>
        <v/>
      </c>
    </row>
    <row r="92" hidden="1" outlineLevel="1" ht="25.5" customFormat="1" customHeight="1" s="346">
      <c r="A92" s="301" t="n">
        <v>64</v>
      </c>
      <c r="B92" s="293" t="inlineStr">
        <is>
          <t>22.2.02.04-0016</t>
        </is>
      </c>
      <c r="C92" s="408" t="inlineStr">
        <is>
          <t>Звено промежуточное монтажное ПТМ-21-3А (прим. ПТМ-60-2)</t>
        </is>
      </c>
      <c r="D92" s="401" t="inlineStr">
        <is>
          <t>шт</t>
        </is>
      </c>
      <c r="E92" s="228" t="n">
        <v>12</v>
      </c>
      <c r="F92" s="292" t="n">
        <v>421.33</v>
      </c>
      <c r="G92" s="226">
        <f>ROUND(E92*F92,2)</f>
        <v/>
      </c>
      <c r="H92" s="286">
        <f>G92/$G$137</f>
        <v/>
      </c>
      <c r="I92" s="292">
        <f>ROUND(F92*Прил.10!$D$13,2)</f>
        <v/>
      </c>
      <c r="J92" s="226">
        <f>ROUND(I92*E92,2)</f>
        <v/>
      </c>
    </row>
    <row r="93" hidden="1" outlineLevel="1" ht="25.5" customFormat="1" customHeight="1" s="346">
      <c r="A93" s="301" t="n">
        <v>65</v>
      </c>
      <c r="B93" s="293" t="inlineStr">
        <is>
          <t>08.4.03.02-0006</t>
        </is>
      </c>
      <c r="C93" s="408" t="inlineStr">
        <is>
          <t>Сталь арматурная, горячекатаная, гладкая, класс А-I, диаметр 16-18 мм</t>
        </is>
      </c>
      <c r="D93" s="401" t="inlineStr">
        <is>
          <t>т</t>
        </is>
      </c>
      <c r="E93" s="228" t="n">
        <v>0.8080000000000001</v>
      </c>
      <c r="F93" s="292" t="n">
        <v>5650</v>
      </c>
      <c r="G93" s="226">
        <f>ROUND(E93*F93,2)</f>
        <v/>
      </c>
      <c r="H93" s="286">
        <f>G93/$G$137</f>
        <v/>
      </c>
      <c r="I93" s="292">
        <f>ROUND(F93*Прил.10!$D$13,2)</f>
        <v/>
      </c>
      <c r="J93" s="226">
        <f>ROUND(I93*E93,2)</f>
        <v/>
      </c>
    </row>
    <row r="94" hidden="1" outlineLevel="1" ht="14.25" customFormat="1" customHeight="1" s="346">
      <c r="A94" s="301" t="n">
        <v>66</v>
      </c>
      <c r="B94" s="293" t="inlineStr">
        <is>
          <t>01.7.15.10-0035</t>
        </is>
      </c>
      <c r="C94" s="408" t="inlineStr">
        <is>
          <t>Скобы СК-21-1А (прим. Скоба  СК-60-1А)</t>
        </is>
      </c>
      <c r="D94" s="401" t="inlineStr">
        <is>
          <t>шт</t>
        </is>
      </c>
      <c r="E94" s="228" t="n">
        <v>39</v>
      </c>
      <c r="F94" s="292" t="n">
        <v>116.92</v>
      </c>
      <c r="G94" s="226">
        <f>ROUND(E94*F94,2)</f>
        <v/>
      </c>
      <c r="H94" s="286">
        <f>G94/$G$137</f>
        <v/>
      </c>
      <c r="I94" s="292">
        <f>ROUND(F94*Прил.10!$D$13,2)</f>
        <v/>
      </c>
      <c r="J94" s="226">
        <f>ROUND(I94*E94,2)</f>
        <v/>
      </c>
    </row>
    <row r="95" hidden="1" outlineLevel="1" ht="25.5" customFormat="1" customHeight="1" s="346">
      <c r="A95" s="301" t="n">
        <v>67</v>
      </c>
      <c r="B95" s="293" t="inlineStr">
        <is>
          <t>22.2.02.04-0040</t>
        </is>
      </c>
      <c r="C95" s="408" t="inlineStr">
        <is>
          <t>Звено промежуточное регулируемое ПРР-21-1 (прим.  ПРР-30-1)</t>
        </is>
      </c>
      <c r="D95" s="401" t="inlineStr">
        <is>
          <t>шт</t>
        </is>
      </c>
      <c r="E95" s="228" t="n">
        <v>8</v>
      </c>
      <c r="F95" s="292" t="n">
        <v>492.77</v>
      </c>
      <c r="G95" s="226">
        <f>ROUND(E95*F95,2)</f>
        <v/>
      </c>
      <c r="H95" s="286">
        <f>G95/$G$137</f>
        <v/>
      </c>
      <c r="I95" s="292">
        <f>ROUND(F95*Прил.10!$D$13,2)</f>
        <v/>
      </c>
      <c r="J95" s="226">
        <f>ROUND(I95*E95,2)</f>
        <v/>
      </c>
    </row>
    <row r="96" hidden="1" outlineLevel="1" ht="14.25" customFormat="1" customHeight="1" s="346">
      <c r="A96" s="301" t="n">
        <v>68</v>
      </c>
      <c r="B96" s="293" t="inlineStr">
        <is>
          <t>01.7.11.07-0032</t>
        </is>
      </c>
      <c r="C96" s="408" t="inlineStr">
        <is>
          <t>Электроды сварочные Э42, диаметр 4 мм</t>
        </is>
      </c>
      <c r="D96" s="401" t="inlineStr">
        <is>
          <t>т</t>
        </is>
      </c>
      <c r="E96" s="228" t="n">
        <v>0.337592</v>
      </c>
      <c r="F96" s="292" t="n">
        <v>10315.01</v>
      </c>
      <c r="G96" s="226">
        <f>ROUND(E96*F96,2)</f>
        <v/>
      </c>
      <c r="H96" s="286">
        <f>G96/$G$137</f>
        <v/>
      </c>
      <c r="I96" s="292">
        <f>ROUND(F96*Прил.10!$D$13,2)</f>
        <v/>
      </c>
      <c r="J96" s="226">
        <f>ROUND(I96*E96,2)</f>
        <v/>
      </c>
    </row>
    <row r="97" hidden="1" outlineLevel="1" ht="25.5" customFormat="1" customHeight="1" s="346">
      <c r="A97" s="301" t="n">
        <v>69</v>
      </c>
      <c r="B97" s="293" t="inlineStr">
        <is>
          <t>22.2.02.04-0016</t>
        </is>
      </c>
      <c r="C97" s="408" t="inlineStr">
        <is>
          <t>Звено промежуточное монтажное ПТМ-21-3А (прим. ПТМ-30-2)</t>
        </is>
      </c>
      <c r="D97" s="401" t="inlineStr">
        <is>
          <t>шт</t>
        </is>
      </c>
      <c r="E97" s="228" t="n">
        <v>8</v>
      </c>
      <c r="F97" s="292" t="n">
        <v>421.33</v>
      </c>
      <c r="G97" s="226">
        <f>ROUND(E97*F97,2)</f>
        <v/>
      </c>
      <c r="H97" s="286">
        <f>G97/$G$137</f>
        <v/>
      </c>
      <c r="I97" s="292">
        <f>ROUND(F97*Прил.10!$D$13,2)</f>
        <v/>
      </c>
      <c r="J97" s="226">
        <f>ROUND(I97*E97,2)</f>
        <v/>
      </c>
    </row>
    <row r="98" hidden="1" outlineLevel="1" ht="25.5" customFormat="1" customHeight="1" s="346">
      <c r="A98" s="301" t="n">
        <v>70</v>
      </c>
      <c r="B98" s="293" t="inlineStr">
        <is>
          <t>02.3.01.02-1012</t>
        </is>
      </c>
      <c r="C98" s="408" t="inlineStr">
        <is>
          <t>Песок природный II класс, средний, круглые сита</t>
        </is>
      </c>
      <c r="D98" s="401" t="inlineStr">
        <is>
          <t>м3</t>
        </is>
      </c>
      <c r="E98" s="228" t="n">
        <v>55</v>
      </c>
      <c r="F98" s="292" t="n">
        <v>59.99</v>
      </c>
      <c r="G98" s="226">
        <f>ROUND(E98*F98,2)</f>
        <v/>
      </c>
      <c r="H98" s="286">
        <f>G98/$G$137</f>
        <v/>
      </c>
      <c r="I98" s="292">
        <f>ROUND(F98*Прил.10!$D$13,2)</f>
        <v/>
      </c>
      <c r="J98" s="226">
        <f>ROUND(I98*E98,2)</f>
        <v/>
      </c>
    </row>
    <row r="99" hidden="1" outlineLevel="1" ht="14.25" customFormat="1" customHeight="1" s="346">
      <c r="A99" s="301" t="n">
        <v>71</v>
      </c>
      <c r="B99" s="293" t="inlineStr">
        <is>
          <t>14.5.09.11-0102</t>
        </is>
      </c>
      <c r="C99" s="408" t="inlineStr">
        <is>
          <t>Уайт-спирит</t>
        </is>
      </c>
      <c r="D99" s="401" t="inlineStr">
        <is>
          <t>кг</t>
        </is>
      </c>
      <c r="E99" s="228" t="n">
        <v>424.488</v>
      </c>
      <c r="F99" s="292" t="n">
        <v>6.67</v>
      </c>
      <c r="G99" s="226">
        <f>ROUND(E99*F99,2)</f>
        <v/>
      </c>
      <c r="H99" s="286">
        <f>G99/$G$137</f>
        <v/>
      </c>
      <c r="I99" s="292">
        <f>ROUND(F99*Прил.10!$D$13,2)</f>
        <v/>
      </c>
      <c r="J99" s="226">
        <f>ROUND(I99*E99,2)</f>
        <v/>
      </c>
    </row>
    <row r="100" hidden="1" outlineLevel="1" ht="25.5" customFormat="1" customHeight="1" s="346">
      <c r="A100" s="301" t="n">
        <v>72</v>
      </c>
      <c r="B100" s="293" t="inlineStr">
        <is>
          <t>22.2.02.04-0052</t>
        </is>
      </c>
      <c r="C100" s="408" t="inlineStr">
        <is>
          <t>Звено промежуточное трехлапчатое ПРТ-21-1 (прим. ПРТ-45-1)</t>
        </is>
      </c>
      <c r="D100" s="401" t="inlineStr">
        <is>
          <t>шт</t>
        </is>
      </c>
      <c r="E100" s="228" t="n">
        <v>19</v>
      </c>
      <c r="F100" s="292" t="n">
        <v>137.02</v>
      </c>
      <c r="G100" s="226">
        <f>ROUND(E100*F100,2)</f>
        <v/>
      </c>
      <c r="H100" s="286">
        <f>G100/$G$137</f>
        <v/>
      </c>
      <c r="I100" s="292">
        <f>ROUND(F100*Прил.10!$D$13,2)</f>
        <v/>
      </c>
      <c r="J100" s="226">
        <f>ROUND(I100*E100,2)</f>
        <v/>
      </c>
    </row>
    <row r="101" hidden="1" outlineLevel="1" ht="25.5" customFormat="1" customHeight="1" s="346">
      <c r="A101" s="301" t="n">
        <v>73</v>
      </c>
      <c r="B101" s="293" t="inlineStr">
        <is>
          <t>08.4.03.02-0004</t>
        </is>
      </c>
      <c r="C101" s="408" t="inlineStr">
        <is>
          <t>Сталь арматурная, горячекатаная, гладкая, класс А-I, диаметр 12 мм</t>
        </is>
      </c>
      <c r="D101" s="401" t="inlineStr">
        <is>
          <t>т</t>
        </is>
      </c>
      <c r="E101" s="228" t="n">
        <v>0.1152</v>
      </c>
      <c r="F101" s="292" t="n">
        <v>6508.75</v>
      </c>
      <c r="G101" s="226">
        <f>ROUND(E101*F101,2)</f>
        <v/>
      </c>
      <c r="H101" s="286">
        <f>G101/$G$137</f>
        <v/>
      </c>
      <c r="I101" s="292">
        <f>ROUND(F101*Прил.10!$D$13,2)</f>
        <v/>
      </c>
      <c r="J101" s="226">
        <f>ROUND(I101*E101,2)</f>
        <v/>
      </c>
    </row>
    <row r="102" hidden="1" outlineLevel="1" ht="25.5" customFormat="1" customHeight="1" s="346">
      <c r="A102" s="301" t="n">
        <v>74</v>
      </c>
      <c r="B102" s="293" t="inlineStr">
        <is>
          <t>20.1.02.05-0012</t>
        </is>
      </c>
      <c r="C102" s="408" t="inlineStr">
        <is>
          <t>Коромысло: универсальное 2КУ-12-2 (прим. 2КУ-45-1)</t>
        </is>
      </c>
      <c r="D102" s="401" t="inlineStr">
        <is>
          <t>шт</t>
        </is>
      </c>
      <c r="E102" s="228" t="n">
        <v>4</v>
      </c>
      <c r="F102" s="292" t="n">
        <v>508.52</v>
      </c>
      <c r="G102" s="226">
        <f>ROUND(E102*F102,2)</f>
        <v/>
      </c>
      <c r="H102" s="286">
        <f>G102/$G$137</f>
        <v/>
      </c>
      <c r="I102" s="292">
        <f>ROUND(F102*Прил.10!$D$13,2)</f>
        <v/>
      </c>
      <c r="J102" s="226">
        <f>ROUND(I102*E102,2)</f>
        <v/>
      </c>
    </row>
    <row r="103" hidden="1" outlineLevel="1" ht="25.5" customFormat="1" customHeight="1" s="346">
      <c r="A103" s="301" t="n">
        <v>75</v>
      </c>
      <c r="B103" s="293" t="inlineStr">
        <is>
          <t>22.2.02.04-0004</t>
        </is>
      </c>
      <c r="C103" s="408" t="inlineStr">
        <is>
          <t>Звено промежуточное вывернутое ПРВ-21-1 (прим. ПРВ-60-1)</t>
        </is>
      </c>
      <c r="D103" s="401" t="inlineStr">
        <is>
          <t>шт</t>
        </is>
      </c>
      <c r="E103" s="228" t="n">
        <v>19</v>
      </c>
      <c r="F103" s="292" t="n">
        <v>83.93000000000001</v>
      </c>
      <c r="G103" s="226">
        <f>ROUND(E103*F103,2)</f>
        <v/>
      </c>
      <c r="H103" s="286">
        <f>G103/$G$137</f>
        <v/>
      </c>
      <c r="I103" s="292">
        <f>ROUND(F103*Прил.10!$D$13,2)</f>
        <v/>
      </c>
      <c r="J103" s="226">
        <f>ROUND(I103*E103,2)</f>
        <v/>
      </c>
    </row>
    <row r="104" hidden="1" outlineLevel="1" ht="25.5" customFormat="1" customHeight="1" s="346">
      <c r="A104" s="301" t="n">
        <v>76</v>
      </c>
      <c r="B104" s="293" t="inlineStr">
        <is>
          <t>22.2.02.01-0010</t>
        </is>
      </c>
      <c r="C104" s="408" t="inlineStr">
        <is>
          <t>Гаситель вибрации ГВ-6645-02 (прим. ГВ-6545-02М)</t>
        </is>
      </c>
      <c r="D104" s="401" t="inlineStr">
        <is>
          <t>шт</t>
        </is>
      </c>
      <c r="E104" s="228" t="n">
        <v>6</v>
      </c>
      <c r="F104" s="292" t="n">
        <v>253.83</v>
      </c>
      <c r="G104" s="226">
        <f>ROUND(E104*F104,2)</f>
        <v/>
      </c>
      <c r="H104" s="286">
        <f>G104/$G$137</f>
        <v/>
      </c>
      <c r="I104" s="292">
        <f>ROUND(F104*Прил.10!$D$13,2)</f>
        <v/>
      </c>
      <c r="J104" s="226">
        <f>ROUND(I104*E104,2)</f>
        <v/>
      </c>
    </row>
    <row r="105" hidden="1" outlineLevel="1" ht="25.5" customFormat="1" customHeight="1" s="346">
      <c r="A105" s="301" t="n">
        <v>77</v>
      </c>
      <c r="B105" s="293" t="inlineStr">
        <is>
          <t>22.2.02.01-0010</t>
        </is>
      </c>
      <c r="C105" s="408" t="inlineStr">
        <is>
          <t>Гаситель вибрации ГВ-6645-02 (прим. ГВ-6845-02М )</t>
        </is>
      </c>
      <c r="D105" s="401" t="inlineStr">
        <is>
          <t>шт</t>
        </is>
      </c>
      <c r="E105" s="228" t="n">
        <v>6</v>
      </c>
      <c r="F105" s="292" t="n">
        <v>253.83</v>
      </c>
      <c r="G105" s="226">
        <f>ROUND(E105*F105,2)</f>
        <v/>
      </c>
      <c r="H105" s="286">
        <f>G105/$G$137</f>
        <v/>
      </c>
      <c r="I105" s="292">
        <f>ROUND(F105*Прил.10!$D$13,2)</f>
        <v/>
      </c>
      <c r="J105" s="226">
        <f>ROUND(I105*E105,2)</f>
        <v/>
      </c>
    </row>
    <row r="106" hidden="1" outlineLevel="1" ht="38.25" customFormat="1" customHeight="1" s="346">
      <c r="A106" s="301" t="n">
        <v>78</v>
      </c>
      <c r="B106" s="293" t="inlineStr">
        <is>
          <t>20.5.04.04-0055</t>
        </is>
      </c>
      <c r="C106" s="408" t="inlineStr">
        <is>
          <t>Зажим натяжной спиральный НСО-13,0П-01 (прим. Зажим натяжной спиральный для троса (коуш РК-450) НСО-20.ОП-32(240)</t>
        </is>
      </c>
      <c r="D106" s="401" t="inlineStr">
        <is>
          <t>шт</t>
        </is>
      </c>
      <c r="E106" s="228" t="n">
        <v>4</v>
      </c>
      <c r="F106" s="292" t="n">
        <v>374.45</v>
      </c>
      <c r="G106" s="226">
        <f>ROUND(E106*F106,2)</f>
        <v/>
      </c>
      <c r="H106" s="286">
        <f>G106/$G$137</f>
        <v/>
      </c>
      <c r="I106" s="292">
        <f>ROUND(F106*Прил.10!$D$13,2)</f>
        <v/>
      </c>
      <c r="J106" s="226">
        <f>ROUND(I106*E106,2)</f>
        <v/>
      </c>
    </row>
    <row r="107" hidden="1" outlineLevel="1" ht="14.25" customFormat="1" customHeight="1" s="346">
      <c r="A107" s="301" t="n">
        <v>79</v>
      </c>
      <c r="B107" s="293" t="inlineStr">
        <is>
          <t>01.7.15.10-0035</t>
        </is>
      </c>
      <c r="C107" s="408" t="inlineStr">
        <is>
          <t>Скобы СК-21-1А (прим. Скоба  СК-45-1А)</t>
        </is>
      </c>
      <c r="D107" s="401" t="inlineStr">
        <is>
          <t>шт</t>
        </is>
      </c>
      <c r="E107" s="228" t="n">
        <v>12</v>
      </c>
      <c r="F107" s="292" t="n">
        <v>116.92</v>
      </c>
      <c r="G107" s="226">
        <f>ROUND(E107*F107,2)</f>
        <v/>
      </c>
      <c r="H107" s="286">
        <f>G107/$G$137</f>
        <v/>
      </c>
      <c r="I107" s="292">
        <f>ROUND(F107*Прил.10!$D$13,2)</f>
        <v/>
      </c>
      <c r="J107" s="226">
        <f>ROUND(I107*E107,2)</f>
        <v/>
      </c>
    </row>
    <row r="108" hidden="1" outlineLevel="1" ht="14.25" customFormat="1" customHeight="1" s="346">
      <c r="A108" s="301" t="n">
        <v>80</v>
      </c>
      <c r="B108" s="293" t="inlineStr">
        <is>
          <t>20.1.02.14-1008</t>
        </is>
      </c>
      <c r="C108" s="408" t="inlineStr">
        <is>
          <t>Серьга СР-21-20 (прим. Серьга СР-40-28)</t>
        </is>
      </c>
      <c r="D108" s="401" t="inlineStr">
        <is>
          <t>шт</t>
        </is>
      </c>
      <c r="E108" s="228" t="n">
        <v>19</v>
      </c>
      <c r="F108" s="292" t="n">
        <v>68.73</v>
      </c>
      <c r="G108" s="226">
        <f>ROUND(E108*F108,2)</f>
        <v/>
      </c>
      <c r="H108" s="286">
        <f>G108/$G$137</f>
        <v/>
      </c>
      <c r="I108" s="292">
        <f>ROUND(F108*Прил.10!$D$13,2)</f>
        <v/>
      </c>
      <c r="J108" s="226">
        <f>ROUND(I108*E108,2)</f>
        <v/>
      </c>
    </row>
    <row r="109" hidden="1" outlineLevel="1" ht="25.5" customFormat="1" customHeight="1" s="346">
      <c r="A109" s="301" t="n">
        <v>81</v>
      </c>
      <c r="B109" s="293" t="inlineStr">
        <is>
          <t>22.2.02.04-0020</t>
        </is>
      </c>
      <c r="C109" s="408" t="inlineStr">
        <is>
          <t>Звено промежуточное прямое двойное 2ПР-21-1 (прим. 2ПР-45-1 )</t>
        </is>
      </c>
      <c r="D109" s="401" t="inlineStr">
        <is>
          <t>шт</t>
        </is>
      </c>
      <c r="E109" s="228" t="n">
        <v>4</v>
      </c>
      <c r="F109" s="292" t="n">
        <v>314.56</v>
      </c>
      <c r="G109" s="226">
        <f>ROUND(E109*F109,2)</f>
        <v/>
      </c>
      <c r="H109" s="286">
        <f>G109/$G$137</f>
        <v/>
      </c>
      <c r="I109" s="292">
        <f>ROUND(F109*Прил.10!$D$13,2)</f>
        <v/>
      </c>
      <c r="J109" s="226">
        <f>ROUND(I109*E109,2)</f>
        <v/>
      </c>
    </row>
    <row r="110" hidden="1" outlineLevel="1" ht="25.5" customFormat="1" customHeight="1" s="346">
      <c r="A110" s="301" t="n">
        <v>82</v>
      </c>
      <c r="B110" s="293" t="inlineStr">
        <is>
          <t>22.2.02.04-0052</t>
        </is>
      </c>
      <c r="C110" s="408" t="inlineStr">
        <is>
          <t>Звено промежуточное трехлапчатое ПРТ-21-1 (прим. ПРТ-45/30-2 )</t>
        </is>
      </c>
      <c r="D110" s="401" t="inlineStr">
        <is>
          <t>шт</t>
        </is>
      </c>
      <c r="E110" s="228" t="n">
        <v>8</v>
      </c>
      <c r="F110" s="292" t="n">
        <v>137.02</v>
      </c>
      <c r="G110" s="226">
        <f>ROUND(E110*F110,2)</f>
        <v/>
      </c>
      <c r="H110" s="286">
        <f>G110/$G$137</f>
        <v/>
      </c>
      <c r="I110" s="292">
        <f>ROUND(F110*Прил.10!$D$13,2)</f>
        <v/>
      </c>
      <c r="J110" s="226">
        <f>ROUND(I110*E110,2)</f>
        <v/>
      </c>
    </row>
    <row r="111" hidden="1" outlineLevel="1" ht="14.25" customFormat="1" customHeight="1" s="346">
      <c r="A111" s="301" t="n">
        <v>83</v>
      </c>
      <c r="B111" s="293" t="inlineStr">
        <is>
          <t>14.2.01.05-0003</t>
        </is>
      </c>
      <c r="C111" s="408" t="inlineStr">
        <is>
          <t>Композиция цинконаполненная (Цинол)</t>
        </is>
      </c>
      <c r="D111" s="401" t="inlineStr">
        <is>
          <t>кг</t>
        </is>
      </c>
      <c r="E111" s="228" t="n">
        <v>8.426</v>
      </c>
      <c r="F111" s="292" t="n">
        <v>114.42</v>
      </c>
      <c r="G111" s="226">
        <f>ROUND(E111*F111,2)</f>
        <v/>
      </c>
      <c r="H111" s="286">
        <f>G111/$G$137</f>
        <v/>
      </c>
      <c r="I111" s="292">
        <f>ROUND(F111*Прил.10!$D$13,2)</f>
        <v/>
      </c>
      <c r="J111" s="226">
        <f>ROUND(I111*E111,2)</f>
        <v/>
      </c>
    </row>
    <row r="112" hidden="1" outlineLevel="1" ht="14.25" customFormat="1" customHeight="1" s="346">
      <c r="A112" s="301" t="n">
        <v>84</v>
      </c>
      <c r="B112" s="293" t="inlineStr">
        <is>
          <t>01.7.15.10-0035</t>
        </is>
      </c>
      <c r="C112" s="408" t="inlineStr">
        <is>
          <t>Скобы СК-21-1А (прим. Скоба  СК-30-1А)</t>
        </is>
      </c>
      <c r="D112" s="401" t="inlineStr">
        <is>
          <t>шт</t>
        </is>
      </c>
      <c r="E112" s="228" t="n">
        <v>8</v>
      </c>
      <c r="F112" s="292" t="n">
        <v>116.92</v>
      </c>
      <c r="G112" s="226">
        <f>ROUND(E112*F112,2)</f>
        <v/>
      </c>
      <c r="H112" s="286">
        <f>G112/$G$137</f>
        <v/>
      </c>
      <c r="I112" s="292">
        <f>ROUND(F112*Прил.10!$D$13,2)</f>
        <v/>
      </c>
      <c r="J112" s="226">
        <f>ROUND(I112*E112,2)</f>
        <v/>
      </c>
    </row>
    <row r="113" hidden="1" outlineLevel="1" ht="14.25" customFormat="1" customHeight="1" s="346">
      <c r="A113" s="301" t="n">
        <v>85</v>
      </c>
      <c r="B113" s="293" t="inlineStr">
        <is>
          <t>01.3.01.03-0002</t>
        </is>
      </c>
      <c r="C113" s="408" t="inlineStr">
        <is>
          <t>Керосин для технических целей</t>
        </is>
      </c>
      <c r="D113" s="401" t="inlineStr">
        <is>
          <t>т</t>
        </is>
      </c>
      <c r="E113" s="228" t="n">
        <v>0.355968</v>
      </c>
      <c r="F113" s="292" t="n">
        <v>2606.9</v>
      </c>
      <c r="G113" s="226">
        <f>ROUND(E113*F113,2)</f>
        <v/>
      </c>
      <c r="H113" s="286">
        <f>G113/$G$137</f>
        <v/>
      </c>
      <c r="I113" s="292">
        <f>ROUND(F113*Прил.10!$D$13,2)</f>
        <v/>
      </c>
      <c r="J113" s="226">
        <f>ROUND(I113*E113,2)</f>
        <v/>
      </c>
    </row>
    <row r="114" hidden="1" outlineLevel="1" ht="25.5" customFormat="1" customHeight="1" s="346">
      <c r="A114" s="301" t="n">
        <v>86</v>
      </c>
      <c r="B114" s="293" t="inlineStr">
        <is>
          <t>22.2.02.01-0009</t>
        </is>
      </c>
      <c r="C114" s="408" t="inlineStr">
        <is>
          <t>Гаситель вибрации ГВ-5534-02 (прим. ГВ-5644-02М)</t>
        </is>
      </c>
      <c r="D114" s="401" t="inlineStr">
        <is>
          <t>шт</t>
        </is>
      </c>
      <c r="E114" s="228" t="n">
        <v>4</v>
      </c>
      <c r="F114" s="292" t="n">
        <v>185.23</v>
      </c>
      <c r="G114" s="226">
        <f>ROUND(E114*F114,2)</f>
        <v/>
      </c>
      <c r="H114" s="286">
        <f>G114/$G$137</f>
        <v/>
      </c>
      <c r="I114" s="292">
        <f>ROUND(F114*Прил.10!$D$13,2)</f>
        <v/>
      </c>
      <c r="J114" s="226">
        <f>ROUND(I114*E114,2)</f>
        <v/>
      </c>
    </row>
    <row r="115" hidden="1" outlineLevel="1" ht="14.25" customFormat="1" customHeight="1" s="346">
      <c r="A115" s="301" t="n">
        <v>87</v>
      </c>
      <c r="B115" s="293" t="inlineStr">
        <is>
          <t>01.7.15.10-0035</t>
        </is>
      </c>
      <c r="C115" s="408" t="inlineStr">
        <is>
          <t>Скобы СК-21-1А (прим. Скоба СК-120-1)</t>
        </is>
      </c>
      <c r="D115" s="401" t="inlineStr">
        <is>
          <t>шт</t>
        </is>
      </c>
      <c r="E115" s="228" t="n">
        <v>6</v>
      </c>
      <c r="F115" s="292" t="n">
        <v>116.92</v>
      </c>
      <c r="G115" s="226">
        <f>ROUND(E115*F115,2)</f>
        <v/>
      </c>
      <c r="H115" s="286">
        <f>G115/$G$137</f>
        <v/>
      </c>
      <c r="I115" s="292">
        <f>ROUND(F115*Прил.10!$D$13,2)</f>
        <v/>
      </c>
      <c r="J115" s="226">
        <f>ROUND(I115*E115,2)</f>
        <v/>
      </c>
    </row>
    <row r="116" hidden="1" outlineLevel="1" ht="25.5" customFormat="1" customHeight="1" s="346">
      <c r="A116" s="301" t="n">
        <v>88</v>
      </c>
      <c r="B116" s="293" t="inlineStr">
        <is>
          <t>22.2.02.04-0004</t>
        </is>
      </c>
      <c r="C116" s="408" t="inlineStr">
        <is>
          <t>Звено промежуточное вывернутое ПРВ-21-1 (прим. ПРВ-30-1)</t>
        </is>
      </c>
      <c r="D116" s="401" t="inlineStr">
        <is>
          <t>шт</t>
        </is>
      </c>
      <c r="E116" s="228" t="n">
        <v>8</v>
      </c>
      <c r="F116" s="292" t="n">
        <v>83.93000000000001</v>
      </c>
      <c r="G116" s="226">
        <f>ROUND(E116*F116,2)</f>
        <v/>
      </c>
      <c r="H116" s="286">
        <f>G116/$G$137</f>
        <v/>
      </c>
      <c r="I116" s="292">
        <f>ROUND(F116*Прил.10!$D$13,2)</f>
        <v/>
      </c>
      <c r="J116" s="226">
        <f>ROUND(I116*E116,2)</f>
        <v/>
      </c>
    </row>
    <row r="117" hidden="1" outlineLevel="1" ht="25.5" customFormat="1" customHeight="1" s="346">
      <c r="A117" s="301" t="n">
        <v>89</v>
      </c>
      <c r="B117" s="293" t="inlineStr">
        <is>
          <t>22.2.02.01-0008</t>
        </is>
      </c>
      <c r="C117" s="408" t="inlineStr">
        <is>
          <t>Гаситель вибрации ГВ-4543-02 (прим. ГВ-4644-02М)</t>
        </is>
      </c>
      <c r="D117" s="401" t="inlineStr">
        <is>
          <t>шт</t>
        </is>
      </c>
      <c r="E117" s="228" t="n">
        <v>4</v>
      </c>
      <c r="F117" s="292" t="n">
        <v>141.47</v>
      </c>
      <c r="G117" s="226">
        <f>ROUND(E117*F117,2)</f>
        <v/>
      </c>
      <c r="H117" s="286">
        <f>G117/$G$137</f>
        <v/>
      </c>
      <c r="I117" s="292">
        <f>ROUND(F117*Прил.10!$D$13,2)</f>
        <v/>
      </c>
      <c r="J117" s="226">
        <f>ROUND(I117*E117,2)</f>
        <v/>
      </c>
    </row>
    <row r="118" hidden="1" outlineLevel="1" ht="38.25" customFormat="1" customHeight="1" s="346">
      <c r="A118" s="301" t="n">
        <v>90</v>
      </c>
      <c r="B118" s="293" t="inlineStr">
        <is>
          <t>11.1.02.01-0031</t>
        </is>
      </c>
      <c r="C118" s="408" t="inlineStr">
        <is>
          <t>Лесоматериалы лиственных пород для строительства, круглые, длина 3-6,5 м, диаметр 12-24 см</t>
        </is>
      </c>
      <c r="D118" s="401" t="inlineStr">
        <is>
          <t>м3</t>
        </is>
      </c>
      <c r="E118" s="228" t="n">
        <v>1.51</v>
      </c>
      <c r="F118" s="292" t="n">
        <v>365</v>
      </c>
      <c r="G118" s="226">
        <f>ROUND(E118*F118,2)</f>
        <v/>
      </c>
      <c r="H118" s="286">
        <f>G118/$G$137</f>
        <v/>
      </c>
      <c r="I118" s="292">
        <f>ROUND(F118*Прил.10!$D$13,2)</f>
        <v/>
      </c>
      <c r="J118" s="226">
        <f>ROUND(I118*E118,2)</f>
        <v/>
      </c>
    </row>
    <row r="119" hidden="1" outlineLevel="1" ht="25.5" customFormat="1" customHeight="1" s="346">
      <c r="A119" s="301" t="n">
        <v>91</v>
      </c>
      <c r="B119" s="293" t="inlineStr">
        <is>
          <t>20.5.04.04-0020</t>
        </is>
      </c>
      <c r="C119" s="408" t="inlineStr">
        <is>
          <t>Зажим натяжной НС-50-3 (НС-37.5-52(510)-НП(75)-АЖС)</t>
        </is>
      </c>
      <c r="D119" s="401" t="inlineStr">
        <is>
          <t>шт</t>
        </is>
      </c>
      <c r="E119" s="228" t="n">
        <v>6</v>
      </c>
      <c r="F119" s="292" t="n">
        <v>84.87</v>
      </c>
      <c r="G119" s="226">
        <f>ROUND(E119*F119,2)</f>
        <v/>
      </c>
      <c r="H119" s="286">
        <f>G119/$G$137</f>
        <v/>
      </c>
      <c r="I119" s="292">
        <f>ROUND(F119*Прил.10!$D$13,2)</f>
        <v/>
      </c>
      <c r="J119" s="226">
        <f>ROUND(I119*E119,2)</f>
        <v/>
      </c>
    </row>
    <row r="120" hidden="1" outlineLevel="1" ht="25.5" customFormat="1" customHeight="1" s="346">
      <c r="A120" s="301" t="n">
        <v>92</v>
      </c>
      <c r="B120" s="293" t="inlineStr">
        <is>
          <t>22.2.02.04-0054</t>
        </is>
      </c>
      <c r="C120" s="408" t="inlineStr">
        <is>
          <t>Звено промежуточное трехлапчатое ПРТ-21/16-2 (прим. ПРТ-120/60)</t>
        </is>
      </c>
      <c r="D120" s="401" t="inlineStr">
        <is>
          <t>шт</t>
        </is>
      </c>
      <c r="E120" s="228" t="n">
        <v>6</v>
      </c>
      <c r="F120" s="292" t="n">
        <v>80.09999999999999</v>
      </c>
      <c r="G120" s="226">
        <f>ROUND(E120*F120,2)</f>
        <v/>
      </c>
      <c r="H120" s="286">
        <f>G120/$G$137</f>
        <v/>
      </c>
      <c r="I120" s="292">
        <f>ROUND(F120*Прил.10!$D$13,2)</f>
        <v/>
      </c>
      <c r="J120" s="226">
        <f>ROUND(I120*E120,2)</f>
        <v/>
      </c>
    </row>
    <row r="121" hidden="1" outlineLevel="1" ht="14.25" customFormat="1" customHeight="1" s="346">
      <c r="A121" s="301" t="n">
        <v>93</v>
      </c>
      <c r="B121" s="293" t="inlineStr">
        <is>
          <t>20.1.01.02-0055</t>
        </is>
      </c>
      <c r="C121" s="408" t="inlineStr">
        <is>
          <t>Зажим аппаратный прессуемый: А2А-700-2</t>
        </is>
      </c>
      <c r="D121" s="401" t="inlineStr">
        <is>
          <t>100 шт</t>
        </is>
      </c>
      <c r="E121" s="228" t="n">
        <v>0.06</v>
      </c>
      <c r="F121" s="292" t="n">
        <v>6182</v>
      </c>
      <c r="G121" s="226">
        <f>ROUND(E121*F121,2)</f>
        <v/>
      </c>
      <c r="H121" s="286">
        <f>G121/$G$137</f>
        <v/>
      </c>
      <c r="I121" s="292">
        <f>ROUND(F121*Прил.10!$D$13,2)</f>
        <v/>
      </c>
      <c r="J121" s="226">
        <f>ROUND(I121*E121,2)</f>
        <v/>
      </c>
    </row>
    <row r="122" hidden="1" outlineLevel="1" ht="25.5" customFormat="1" customHeight="1" s="346">
      <c r="A122" s="301" t="n">
        <v>94</v>
      </c>
      <c r="B122" s="293" t="inlineStr">
        <is>
          <t>20.1.02.11-0007</t>
        </is>
      </c>
      <c r="C122" s="408" t="inlineStr">
        <is>
          <t>Протектор защитный спиральный ПЗС-18,8-31 (прим. ПЗС-20.0/20.3-13)</t>
        </is>
      </c>
      <c r="D122" s="401" t="inlineStr">
        <is>
          <t>шт</t>
        </is>
      </c>
      <c r="E122" s="228" t="n">
        <v>4</v>
      </c>
      <c r="F122" s="292" t="n">
        <v>91.05</v>
      </c>
      <c r="G122" s="226">
        <f>ROUND(E122*F122,2)</f>
        <v/>
      </c>
      <c r="H122" s="286">
        <f>G122/$G$137</f>
        <v/>
      </c>
      <c r="I122" s="292">
        <f>ROUND(F122*Прил.10!$D$13,2)</f>
        <v/>
      </c>
      <c r="J122" s="226">
        <f>ROUND(I122*E122,2)</f>
        <v/>
      </c>
    </row>
    <row r="123" hidden="1" outlineLevel="1" ht="25.5" customFormat="1" customHeight="1" s="346">
      <c r="A123" s="301" t="n">
        <v>95</v>
      </c>
      <c r="B123" s="293" t="inlineStr">
        <is>
          <t>22.2.02.04-0004</t>
        </is>
      </c>
      <c r="C123" s="408" t="inlineStr">
        <is>
          <t>Звено промежуточное вывернутое ПРВ-21-1 (прим. ПРВ-45-1 )</t>
        </is>
      </c>
      <c r="D123" s="401" t="inlineStr">
        <is>
          <t>шт</t>
        </is>
      </c>
      <c r="E123" s="228" t="n">
        <v>4</v>
      </c>
      <c r="F123" s="292" t="n">
        <v>83.93000000000001</v>
      </c>
      <c r="G123" s="226">
        <f>ROUND(E123*F123,2)</f>
        <v/>
      </c>
      <c r="H123" s="286">
        <f>G123/$G$137</f>
        <v/>
      </c>
      <c r="I123" s="292">
        <f>ROUND(F123*Прил.10!$D$13,2)</f>
        <v/>
      </c>
      <c r="J123" s="226">
        <f>ROUND(I123*E123,2)</f>
        <v/>
      </c>
    </row>
    <row r="124" hidden="1" outlineLevel="1" ht="14.25" customFormat="1" customHeight="1" s="346">
      <c r="A124" s="301" t="n">
        <v>96</v>
      </c>
      <c r="B124" s="293" t="inlineStr">
        <is>
          <t>20.1.01.02-0053</t>
        </is>
      </c>
      <c r="C124" s="408" t="inlineStr">
        <is>
          <t>Зажим аппаратный прессуемый: А2А-300-2</t>
        </is>
      </c>
      <c r="D124" s="401" t="inlineStr">
        <is>
          <t>100 шт</t>
        </is>
      </c>
      <c r="E124" s="228" t="n">
        <v>0.06</v>
      </c>
      <c r="F124" s="292" t="n">
        <v>4668</v>
      </c>
      <c r="G124" s="226">
        <f>ROUND(E124*F124,2)</f>
        <v/>
      </c>
      <c r="H124" s="286">
        <f>G124/$G$137</f>
        <v/>
      </c>
      <c r="I124" s="292">
        <f>ROUND(F124*Прил.10!$D$13,2)</f>
        <v/>
      </c>
      <c r="J124" s="226">
        <f>ROUND(I124*E124,2)</f>
        <v/>
      </c>
    </row>
    <row r="125" hidden="1" outlineLevel="1" ht="25.5" customFormat="1" customHeight="1" s="346">
      <c r="A125" s="301" t="n">
        <v>97</v>
      </c>
      <c r="B125" s="293" t="inlineStr">
        <is>
          <t>14.2.01.05-0001</t>
        </is>
      </c>
      <c r="C125" s="408" t="inlineStr">
        <is>
          <t>Композиция на основе термопластичных полимеров (Алпол)</t>
        </is>
      </c>
      <c r="D125" s="401" t="inlineStr">
        <is>
          <t>кг</t>
        </is>
      </c>
      <c r="E125" s="228" t="n">
        <v>4.063</v>
      </c>
      <c r="F125" s="292" t="n">
        <v>54.99</v>
      </c>
      <c r="G125" s="226">
        <f>ROUND(E125*F125,2)</f>
        <v/>
      </c>
      <c r="H125" s="286">
        <f>G125/$G$137</f>
        <v/>
      </c>
      <c r="I125" s="292">
        <f>ROUND(F125*Прил.10!$D$13,2)</f>
        <v/>
      </c>
      <c r="J125" s="226">
        <f>ROUND(I125*E125,2)</f>
        <v/>
      </c>
    </row>
    <row r="126" hidden="1" outlineLevel="1" ht="14.25" customFormat="1" customHeight="1" s="346">
      <c r="A126" s="301" t="n">
        <v>98</v>
      </c>
      <c r="B126" s="293" t="inlineStr">
        <is>
          <t>01.7.15.03-0042</t>
        </is>
      </c>
      <c r="C126" s="408" t="inlineStr">
        <is>
          <t>Болты с гайками и шайбами строительные</t>
        </is>
      </c>
      <c r="D126" s="401" t="inlineStr">
        <is>
          <t>кг</t>
        </is>
      </c>
      <c r="E126" s="228" t="n">
        <v>17</v>
      </c>
      <c r="F126" s="292" t="n">
        <v>9.039999999999999</v>
      </c>
      <c r="G126" s="226">
        <f>ROUND(E126*F126,2)</f>
        <v/>
      </c>
      <c r="H126" s="286">
        <f>G126/$G$137</f>
        <v/>
      </c>
      <c r="I126" s="292">
        <f>ROUND(F126*Прил.10!$D$13,2)</f>
        <v/>
      </c>
      <c r="J126" s="226">
        <f>ROUND(I126*E126,2)</f>
        <v/>
      </c>
    </row>
    <row r="127" hidden="1" outlineLevel="1" ht="25.5" customFormat="1" customHeight="1" s="346">
      <c r="A127" s="301" t="n">
        <v>99</v>
      </c>
      <c r="B127" s="293" t="inlineStr">
        <is>
          <t>16.3.02.03-0004</t>
        </is>
      </c>
      <c r="C127" s="408" t="inlineStr">
        <is>
          <t>Удобрения сложно-смешанные гранулированные насыпью</t>
        </is>
      </c>
      <c r="D127" s="401" t="inlineStr">
        <is>
          <t>т</t>
        </is>
      </c>
      <c r="E127" s="228" t="n">
        <v>0.0638452</v>
      </c>
      <c r="F127" s="292" t="n">
        <v>1480</v>
      </c>
      <c r="G127" s="226">
        <f>ROUND(E127*F127,2)</f>
        <v/>
      </c>
      <c r="H127" s="286">
        <f>G127/$G$137</f>
        <v/>
      </c>
      <c r="I127" s="292">
        <f>ROUND(F127*Прил.10!$D$13,2)</f>
        <v/>
      </c>
      <c r="J127" s="226">
        <f>ROUND(I127*E127,2)</f>
        <v/>
      </c>
    </row>
    <row r="128" hidden="1" outlineLevel="1" ht="14.25" customFormat="1" customHeight="1" s="346">
      <c r="A128" s="301" t="n">
        <v>100</v>
      </c>
      <c r="B128" s="293" t="inlineStr">
        <is>
          <t>08.3.03.04-0012</t>
        </is>
      </c>
      <c r="C128" s="408" t="inlineStr">
        <is>
          <t>Проволока светлая, диаметр 1,1 мм</t>
        </is>
      </c>
      <c r="D128" s="401" t="inlineStr">
        <is>
          <t>т</t>
        </is>
      </c>
      <c r="E128" s="228" t="n">
        <v>0.008999999999999999</v>
      </c>
      <c r="F128" s="292" t="n">
        <v>10200</v>
      </c>
      <c r="G128" s="226">
        <f>ROUND(E128*F128,2)</f>
        <v/>
      </c>
      <c r="H128" s="286">
        <f>G128/$G$137</f>
        <v/>
      </c>
      <c r="I128" s="292">
        <f>ROUND(F128*Прил.10!$D$13,2)</f>
        <v/>
      </c>
      <c r="J128" s="226">
        <f>ROUND(I128*E128,2)</f>
        <v/>
      </c>
    </row>
    <row r="129" hidden="1" outlineLevel="1" ht="14.25" customFormat="1" customHeight="1" s="346">
      <c r="A129" s="301" t="n">
        <v>101</v>
      </c>
      <c r="B129" s="293" t="inlineStr">
        <is>
          <t>08.3.07.01-0044</t>
        </is>
      </c>
      <c r="C129" s="408" t="inlineStr">
        <is>
          <t>Сталь полосовая: 40х6 мм, марка Ст3сп</t>
        </is>
      </c>
      <c r="D129" s="401" t="inlineStr">
        <is>
          <t>т</t>
        </is>
      </c>
      <c r="E129" s="228" t="n">
        <v>0.00715</v>
      </c>
      <c r="F129" s="292" t="n">
        <v>6674.64</v>
      </c>
      <c r="G129" s="226">
        <f>ROUND(E129*F129,2)</f>
        <v/>
      </c>
      <c r="H129" s="286">
        <f>G129/$G$137</f>
        <v/>
      </c>
      <c r="I129" s="292">
        <f>ROUND(F129*Прил.10!$D$13,2)</f>
        <v/>
      </c>
      <c r="J129" s="226">
        <f>ROUND(I129*E129,2)</f>
        <v/>
      </c>
    </row>
    <row r="130" hidden="1" outlineLevel="1" ht="14.25" customFormat="1" customHeight="1" s="346">
      <c r="A130" s="301" t="n">
        <v>102</v>
      </c>
      <c r="B130" s="293" t="inlineStr">
        <is>
          <t>01.7.03.01-0001</t>
        </is>
      </c>
      <c r="C130" s="408" t="inlineStr">
        <is>
          <t>Вода</t>
        </is>
      </c>
      <c r="D130" s="401" t="inlineStr">
        <is>
          <t>м3</t>
        </is>
      </c>
      <c r="E130" s="228" t="n">
        <v>14.55</v>
      </c>
      <c r="F130" s="292" t="n">
        <v>2.44</v>
      </c>
      <c r="G130" s="226">
        <f>ROUND(E130*F130,2)</f>
        <v/>
      </c>
      <c r="H130" s="286">
        <f>G130/$G$137</f>
        <v/>
      </c>
      <c r="I130" s="292">
        <f>ROUND(F130*Прил.10!$D$13,2)</f>
        <v/>
      </c>
      <c r="J130" s="226">
        <f>ROUND(I130*E130,2)</f>
        <v/>
      </c>
    </row>
    <row r="131" hidden="1" outlineLevel="1" ht="14.25" customFormat="1" customHeight="1" s="346">
      <c r="A131" s="301" t="n">
        <v>103</v>
      </c>
      <c r="B131" s="293" t="inlineStr">
        <is>
          <t>01.7.15.03-0042</t>
        </is>
      </c>
      <c r="C131" s="408" t="inlineStr">
        <is>
          <t>Болты с гайками и шайбами строительные</t>
        </is>
      </c>
      <c r="D131" s="401" t="inlineStr">
        <is>
          <t>кг</t>
        </is>
      </c>
      <c r="E131" s="228" t="n">
        <v>2.1</v>
      </c>
      <c r="F131" s="292" t="n">
        <v>9.039999999999999</v>
      </c>
      <c r="G131" s="226">
        <f>ROUND(E131*F131,2)</f>
        <v/>
      </c>
      <c r="H131" s="286">
        <f>G131/$G$137</f>
        <v/>
      </c>
      <c r="I131" s="292">
        <f>ROUND(F131*Прил.10!$D$13,2)</f>
        <v/>
      </c>
      <c r="J131" s="226">
        <f>ROUND(I131*E131,2)</f>
        <v/>
      </c>
    </row>
    <row r="132" hidden="1" outlineLevel="1" ht="14.25" customFormat="1" customHeight="1" s="346">
      <c r="A132" s="301" t="n">
        <v>104</v>
      </c>
      <c r="B132" s="293" t="inlineStr">
        <is>
          <t>01.7.11.07-0036</t>
        </is>
      </c>
      <c r="C132" s="408" t="inlineStr">
        <is>
          <t>Электроды сварочные Э46, диаметр 4 мм</t>
        </is>
      </c>
      <c r="D132" s="401" t="inlineStr">
        <is>
          <t>кг</t>
        </is>
      </c>
      <c r="E132" s="228" t="n">
        <v>1.4547</v>
      </c>
      <c r="F132" s="292" t="n">
        <v>10.75</v>
      </c>
      <c r="G132" s="226">
        <f>ROUND(E132*F132,2)</f>
        <v/>
      </c>
      <c r="H132" s="286">
        <f>G132/$G$137</f>
        <v/>
      </c>
      <c r="I132" s="292">
        <f>ROUND(F132*Прил.10!$D$13,2)</f>
        <v/>
      </c>
      <c r="J132" s="226">
        <f>ROUND(I132*E132,2)</f>
        <v/>
      </c>
    </row>
    <row r="133" hidden="1" outlineLevel="1" ht="14.25" customFormat="1" customHeight="1" s="346">
      <c r="A133" s="301" t="n">
        <v>105</v>
      </c>
      <c r="B133" s="293" t="inlineStr">
        <is>
          <t>01.7.20.08-0051</t>
        </is>
      </c>
      <c r="C133" s="408" t="inlineStr">
        <is>
          <t>Ветошь</t>
        </is>
      </c>
      <c r="D133" s="401" t="inlineStr">
        <is>
          <t>кг</t>
        </is>
      </c>
      <c r="E133" s="228" t="n">
        <v>1.4832</v>
      </c>
      <c r="F133" s="292" t="n">
        <v>1.82</v>
      </c>
      <c r="G133" s="226">
        <f>ROUND(E133*F133,2)</f>
        <v/>
      </c>
      <c r="H133" s="286">
        <f>G133/$G$137</f>
        <v/>
      </c>
      <c r="I133" s="292">
        <f>ROUND(F133*Прил.10!$D$13,2)</f>
        <v/>
      </c>
      <c r="J133" s="226">
        <f>ROUND(I133*E133,2)</f>
        <v/>
      </c>
    </row>
    <row r="134" hidden="1" outlineLevel="1" ht="14.25" customFormat="1" customHeight="1" s="346">
      <c r="A134" s="301" t="n">
        <v>106</v>
      </c>
      <c r="B134" s="293" t="inlineStr">
        <is>
          <t>14.5.09.07-0030</t>
        </is>
      </c>
      <c r="C134" s="408" t="inlineStr">
        <is>
          <t>Растворитель Р-4</t>
        </is>
      </c>
      <c r="D134" s="401" t="inlineStr">
        <is>
          <t>кг</t>
        </is>
      </c>
      <c r="E134" s="228" t="n">
        <v>0.004</v>
      </c>
      <c r="F134" s="292" t="n">
        <v>9.42</v>
      </c>
      <c r="G134" s="226">
        <f>ROUND(E134*F134,2)</f>
        <v/>
      </c>
      <c r="H134" s="286">
        <f>G134/$G$137</f>
        <v/>
      </c>
      <c r="I134" s="292">
        <f>ROUND(F134*Прил.10!$D$13,2)</f>
        <v/>
      </c>
      <c r="J134" s="226">
        <f>ROUND(I134*E134,2)</f>
        <v/>
      </c>
    </row>
    <row r="135" hidden="1" outlineLevel="1" ht="14.25" customFormat="1" customHeight="1" s="346">
      <c r="A135" s="301" t="n">
        <v>107</v>
      </c>
      <c r="B135" s="293" t="inlineStr">
        <is>
          <t>14.5.09.02-0002</t>
        </is>
      </c>
      <c r="C135" s="408" t="inlineStr">
        <is>
          <t>Ксилол нефтяной, марка А</t>
        </is>
      </c>
      <c r="D135" s="401" t="inlineStr">
        <is>
          <t>т</t>
        </is>
      </c>
      <c r="E135" s="228" t="n">
        <v>8e-07</v>
      </c>
      <c r="F135" s="292" t="n">
        <v>7640</v>
      </c>
      <c r="G135" s="226">
        <f>ROUND(E135*F135,2)</f>
        <v/>
      </c>
      <c r="H135" s="286">
        <f>G135/$G$137</f>
        <v/>
      </c>
      <c r="I135" s="292">
        <f>ROUND(F135*Прил.10!$D$13,2)</f>
        <v/>
      </c>
      <c r="J135" s="226">
        <f>ROUND(I135*E135,2)</f>
        <v/>
      </c>
    </row>
    <row r="136" collapsed="1" ht="14.25" customFormat="1" customHeight="1" s="346">
      <c r="A136" s="401" t="n"/>
      <c r="B136" s="401" t="n"/>
      <c r="C136" s="408" t="inlineStr">
        <is>
          <t>Итого прочие материалы</t>
        </is>
      </c>
      <c r="D136" s="401" t="n"/>
      <c r="E136" s="409" t="n"/>
      <c r="F136" s="410" t="n"/>
      <c r="G136" s="233">
        <f>SUM(G72:G135)</f>
        <v/>
      </c>
      <c r="H136" s="286">
        <f>G136/$G$137</f>
        <v/>
      </c>
      <c r="I136" s="226" t="n"/>
      <c r="J136" s="233">
        <f>SUM(J72:J135)</f>
        <v/>
      </c>
    </row>
    <row r="137" ht="14.25" customFormat="1" customHeight="1" s="346">
      <c r="A137" s="401" t="n"/>
      <c r="B137" s="401" t="n"/>
      <c r="C137" s="392" t="inlineStr">
        <is>
          <t>Итого по разделу «Материалы»</t>
        </is>
      </c>
      <c r="D137" s="401" t="n"/>
      <c r="E137" s="409" t="n"/>
      <c r="F137" s="410" t="n"/>
      <c r="G137" s="226">
        <f>G71+G136</f>
        <v/>
      </c>
      <c r="H137" s="286">
        <f>G137/$G$137</f>
        <v/>
      </c>
      <c r="I137" s="226" t="n"/>
      <c r="J137" s="226">
        <f>J71+J136</f>
        <v/>
      </c>
      <c r="K137" s="369" t="n"/>
    </row>
    <row r="138" ht="14.25" customFormat="1" customHeight="1" s="346">
      <c r="A138" s="401" t="n"/>
      <c r="B138" s="401" t="n"/>
      <c r="C138" s="408" t="inlineStr">
        <is>
          <t>ИТОГО ПО РМ</t>
        </is>
      </c>
      <c r="D138" s="401" t="n"/>
      <c r="E138" s="409" t="n"/>
      <c r="F138" s="410" t="n"/>
      <c r="G138" s="226">
        <f>G14+G56+G137</f>
        <v/>
      </c>
      <c r="H138" s="411" t="n"/>
      <c r="I138" s="226" t="n"/>
      <c r="J138" s="226">
        <f>J14+J56+J137</f>
        <v/>
      </c>
    </row>
    <row r="139" ht="14.25" customFormat="1" customHeight="1" s="346">
      <c r="A139" s="401" t="n"/>
      <c r="B139" s="401" t="n"/>
      <c r="C139" s="408" t="inlineStr">
        <is>
          <t>Накладные расходы</t>
        </is>
      </c>
      <c r="D139" s="221">
        <f>ROUND(G139/(G$16+$G$14),2)</f>
        <v/>
      </c>
      <c r="E139" s="409" t="n"/>
      <c r="F139" s="410" t="n"/>
      <c r="G139" s="226" t="n">
        <v>161552.97</v>
      </c>
      <c r="H139" s="411" t="n"/>
      <c r="I139" s="226" t="n"/>
      <c r="J139" s="226">
        <f>ROUND(D139*(J14+J16),2)</f>
        <v/>
      </c>
    </row>
    <row r="140" ht="14.25" customFormat="1" customHeight="1" s="346">
      <c r="A140" s="401" t="n"/>
      <c r="B140" s="401" t="n"/>
      <c r="C140" s="408" t="inlineStr">
        <is>
          <t>Сметная прибыль</t>
        </is>
      </c>
      <c r="D140" s="221">
        <f>ROUND(G140/(G$14+G$16),2)</f>
        <v/>
      </c>
      <c r="E140" s="409" t="n"/>
      <c r="F140" s="410" t="n"/>
      <c r="G140" s="226" t="n">
        <v>89393.63</v>
      </c>
      <c r="H140" s="411" t="n"/>
      <c r="I140" s="226" t="n"/>
      <c r="J140" s="226">
        <f>ROUND(D140*(J14+J16),2)</f>
        <v/>
      </c>
    </row>
    <row r="141" ht="14.25" customFormat="1" customHeight="1" s="346">
      <c r="A141" s="401" t="n"/>
      <c r="B141" s="401" t="n"/>
      <c r="C141" s="408" t="inlineStr">
        <is>
          <t>Итого СМР (с НР и СП)</t>
        </is>
      </c>
      <c r="D141" s="401" t="n"/>
      <c r="E141" s="409" t="n"/>
      <c r="F141" s="410" t="n"/>
      <c r="G141" s="226">
        <f>G14+G56+G137+G139+G140</f>
        <v/>
      </c>
      <c r="H141" s="411" t="n"/>
      <c r="I141" s="226" t="n"/>
      <c r="J141" s="226">
        <f>J14+J56+J137+J139+J140</f>
        <v/>
      </c>
    </row>
    <row r="142" ht="14.25" customFormat="1" customHeight="1" s="346">
      <c r="A142" s="401" t="n"/>
      <c r="B142" s="401" t="n"/>
      <c r="C142" s="408" t="inlineStr">
        <is>
          <t>ВСЕГО СМР + ОБОРУДОВАНИЕ</t>
        </is>
      </c>
      <c r="D142" s="401" t="n"/>
      <c r="E142" s="409" t="n"/>
      <c r="F142" s="410" t="n"/>
      <c r="G142" s="226">
        <f>G141+G61</f>
        <v/>
      </c>
      <c r="H142" s="411" t="n"/>
      <c r="I142" s="226" t="n"/>
      <c r="J142" s="226">
        <f>J141+J61</f>
        <v/>
      </c>
    </row>
    <row r="143" ht="14.25" customFormat="1" customHeight="1" s="346">
      <c r="A143" s="401" t="n"/>
      <c r="B143" s="401" t="n"/>
      <c r="C143" s="408" t="inlineStr">
        <is>
          <t>ИТОГО ПОКАЗАТЕЛЬ НА ЕД. ИЗМ.</t>
        </is>
      </c>
      <c r="D143" s="401" t="inlineStr">
        <is>
          <t>ед</t>
        </is>
      </c>
      <c r="E143" s="228" t="n">
        <v>1</v>
      </c>
      <c r="F143" s="410" t="n"/>
      <c r="G143" s="226">
        <f>G142/E143</f>
        <v/>
      </c>
      <c r="H143" s="411" t="n"/>
      <c r="I143" s="226" t="n"/>
      <c r="J143" s="226">
        <f>J142/E143</f>
        <v/>
      </c>
    </row>
    <row r="145" ht="14.25" customFormat="1" customHeight="1" s="346">
      <c r="A145" s="336" t="inlineStr">
        <is>
          <t>Составил ______________________     Е. М. Добровольская</t>
        </is>
      </c>
    </row>
    <row r="146" ht="14.25" customFormat="1" customHeight="1" s="346">
      <c r="A146" s="347" t="inlineStr">
        <is>
          <t xml:space="preserve">                         (подпись, инициалы, фамилия)</t>
        </is>
      </c>
    </row>
    <row r="147" ht="14.25" customFormat="1" customHeight="1" s="346">
      <c r="A147" s="336" t="n"/>
    </row>
    <row r="148" ht="14.25" customFormat="1" customHeight="1" s="346">
      <c r="A148" s="336" t="inlineStr">
        <is>
          <t>Проверил ______________________        А.В. Костянецкая</t>
        </is>
      </c>
    </row>
    <row r="149" ht="14.25" customFormat="1" customHeight="1" s="346">
      <c r="A149" s="34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64:H64"/>
    <mergeCell ref="B15:H15"/>
    <mergeCell ref="H2:J2"/>
    <mergeCell ref="B63:H63"/>
    <mergeCell ref="C9:C10"/>
    <mergeCell ref="E9:E10"/>
    <mergeCell ref="A7:H7"/>
    <mergeCell ref="B9:B10"/>
    <mergeCell ref="D9:D10"/>
    <mergeCell ref="B18:H18"/>
    <mergeCell ref="B58:H58"/>
    <mergeCell ref="B12:H12"/>
    <mergeCell ref="D6:J6"/>
    <mergeCell ref="A8:H8"/>
    <mergeCell ref="F9:G9"/>
    <mergeCell ref="B17:H17"/>
    <mergeCell ref="B57:H5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A16" sqref="A16"/>
    </sheetView>
  </sheetViews>
  <sheetFormatPr baseColWidth="8" defaultRowHeight="15"/>
  <cols>
    <col width="5.7109375" customWidth="1" style="348" min="1" max="1"/>
    <col width="17.5703125" customWidth="1" style="348" min="2" max="2"/>
    <col width="39.140625" customWidth="1" style="348" min="3" max="3"/>
    <col width="10.7109375" customWidth="1" style="348" min="4" max="4"/>
    <col width="13.85546875" customWidth="1" style="348" min="5" max="5"/>
    <col width="13.28515625" customWidth="1" style="348" min="6" max="6"/>
    <col width="14.140625" customWidth="1" style="348" min="7" max="7"/>
  </cols>
  <sheetData>
    <row r="1">
      <c r="A1" s="422" t="inlineStr">
        <is>
          <t>Приложение №6</t>
        </is>
      </c>
    </row>
    <row r="2" ht="21.75" customHeight="1" s="348">
      <c r="A2" s="422" t="n"/>
      <c r="B2" s="422" t="n"/>
      <c r="C2" s="422" t="n"/>
      <c r="D2" s="422" t="n"/>
      <c r="E2" s="422" t="n"/>
      <c r="F2" s="422" t="n"/>
      <c r="G2" s="422" t="n"/>
    </row>
    <row r="3">
      <c r="A3" s="372" t="inlineStr">
        <is>
          <t>Расчет стоимости оборудования</t>
        </is>
      </c>
    </row>
    <row r="4" ht="25.5" customHeight="1" s="348">
      <c r="A4" s="375">
        <f>'Прил.1 Сравнит табл'!B7</f>
        <v/>
      </c>
    </row>
    <row r="5">
      <c r="A5" s="336" t="n"/>
      <c r="B5" s="336" t="n"/>
      <c r="C5" s="336" t="n"/>
      <c r="D5" s="336" t="n"/>
      <c r="E5" s="336" t="n"/>
      <c r="F5" s="336" t="n"/>
      <c r="G5" s="336" t="n"/>
    </row>
    <row r="6" ht="30" customHeight="1" s="348">
      <c r="A6" s="427" t="inlineStr">
        <is>
          <t>№ пп.</t>
        </is>
      </c>
      <c r="B6" s="427" t="inlineStr">
        <is>
          <t>Код ресурса</t>
        </is>
      </c>
      <c r="C6" s="427" t="inlineStr">
        <is>
          <t>Наименование</t>
        </is>
      </c>
      <c r="D6" s="427" t="inlineStr">
        <is>
          <t>Ед. изм.</t>
        </is>
      </c>
      <c r="E6" s="401" t="inlineStr">
        <is>
          <t>Кол-во единиц по проектным данным</t>
        </is>
      </c>
      <c r="F6" s="427" t="inlineStr">
        <is>
          <t>Сметная стоимость в ценах на 01.01.2000 (руб.)</t>
        </is>
      </c>
      <c r="G6" s="473" t="n"/>
    </row>
    <row r="7">
      <c r="A7" s="475" t="n"/>
      <c r="B7" s="475" t="n"/>
      <c r="C7" s="475" t="n"/>
      <c r="D7" s="475" t="n"/>
      <c r="E7" s="475" t="n"/>
      <c r="F7" s="401" t="inlineStr">
        <is>
          <t>на ед. изм.</t>
        </is>
      </c>
      <c r="G7" s="401" t="inlineStr">
        <is>
          <t>общая</t>
        </is>
      </c>
    </row>
    <row r="8">
      <c r="A8" s="401" t="n">
        <v>1</v>
      </c>
      <c r="B8" s="401" t="n">
        <v>2</v>
      </c>
      <c r="C8" s="401" t="n">
        <v>3</v>
      </c>
      <c r="D8" s="401" t="n">
        <v>4</v>
      </c>
      <c r="E8" s="401" t="n">
        <v>5</v>
      </c>
      <c r="F8" s="401" t="n">
        <v>6</v>
      </c>
      <c r="G8" s="401" t="n">
        <v>7</v>
      </c>
    </row>
    <row r="9" ht="15" customHeight="1" s="348">
      <c r="A9" s="257" t="n"/>
      <c r="B9" s="408" t="inlineStr">
        <is>
          <t>ИНЖЕНЕРНОЕ ОБОРУДОВАНИЕ</t>
        </is>
      </c>
      <c r="C9" s="472" t="n"/>
      <c r="D9" s="472" t="n"/>
      <c r="E9" s="472" t="n"/>
      <c r="F9" s="472" t="n"/>
      <c r="G9" s="473" t="n"/>
    </row>
    <row r="10" ht="27" customHeight="1" s="348">
      <c r="A10" s="401" t="n"/>
      <c r="B10" s="392" t="n"/>
      <c r="C10" s="408" t="inlineStr">
        <is>
          <t>ИТОГО ИНЖЕНЕРНОЕ ОБОРУДОВАНИЕ</t>
        </is>
      </c>
      <c r="D10" s="392" t="n"/>
      <c r="E10" s="148" t="n"/>
      <c r="F10" s="410" t="n"/>
      <c r="G10" s="410" t="n">
        <v>0</v>
      </c>
    </row>
    <row r="11">
      <c r="A11" s="401" t="n"/>
      <c r="B11" s="408" t="inlineStr">
        <is>
          <t>ТЕХНОЛОГИЧЕСКОЕ ОБОРУДОВАНИЕ</t>
        </is>
      </c>
      <c r="C11" s="472" t="n"/>
      <c r="D11" s="472" t="n"/>
      <c r="E11" s="472" t="n"/>
      <c r="F11" s="472" t="n"/>
      <c r="G11" s="473" t="n"/>
    </row>
    <row r="12" ht="13.5" customHeight="1" s="348">
      <c r="A12" s="401" t="n"/>
      <c r="B12" s="293" t="n"/>
      <c r="C12" s="295" t="n"/>
      <c r="D12" s="293" t="n"/>
      <c r="E12" s="293" t="n"/>
      <c r="F12" s="293" t="n"/>
      <c r="G12" s="226" t="n"/>
    </row>
    <row r="13" ht="25.5" customHeight="1" s="348">
      <c r="A13" s="401" t="n"/>
      <c r="B13" s="408" t="n"/>
      <c r="C13" s="408" t="inlineStr">
        <is>
          <t>ИТОГО ТЕХНОЛОГИЧЕСКОЕ ОБОРУДОВАНИЕ</t>
        </is>
      </c>
      <c r="D13" s="408" t="n"/>
      <c r="E13" s="426" t="n"/>
      <c r="F13" s="410" t="n"/>
      <c r="G13" s="226">
        <f>SUM(G12:G12)</f>
        <v/>
      </c>
    </row>
    <row r="14" ht="19.5" customHeight="1" s="348">
      <c r="A14" s="401" t="n"/>
      <c r="B14" s="408" t="n"/>
      <c r="C14" s="408" t="inlineStr">
        <is>
          <t>Всего по разделу «Оборудование»</t>
        </is>
      </c>
      <c r="D14" s="408" t="n"/>
      <c r="E14" s="426" t="n"/>
      <c r="F14" s="410" t="n"/>
      <c r="G14" s="226">
        <f>G10+G13</f>
        <v/>
      </c>
    </row>
    <row r="15">
      <c r="A15" s="344" t="n"/>
      <c r="B15" s="345" t="n"/>
      <c r="C15" s="344" t="n"/>
      <c r="D15" s="344" t="n"/>
      <c r="E15" s="344" t="n"/>
      <c r="F15" s="344" t="n"/>
      <c r="G15" s="344" t="n"/>
    </row>
    <row r="16">
      <c r="A16" s="336" t="inlineStr">
        <is>
          <t>Составил ______________________    Е. М. Добровольская</t>
        </is>
      </c>
      <c r="B16" s="346" t="n"/>
      <c r="C16" s="346" t="n"/>
      <c r="D16" s="344" t="n"/>
      <c r="E16" s="344" t="n"/>
      <c r="F16" s="344" t="n"/>
      <c r="G16" s="344" t="n"/>
    </row>
    <row r="17">
      <c r="A17" s="347" t="inlineStr">
        <is>
          <t xml:space="preserve">                         (подпись, инициалы, фамилия)</t>
        </is>
      </c>
      <c r="B17" s="346" t="n"/>
      <c r="C17" s="346" t="n"/>
      <c r="D17" s="344" t="n"/>
      <c r="E17" s="344" t="n"/>
      <c r="F17" s="344" t="n"/>
      <c r="G17" s="344" t="n"/>
    </row>
    <row r="18">
      <c r="A18" s="336" t="n"/>
      <c r="B18" s="346" t="n"/>
      <c r="C18" s="346" t="n"/>
      <c r="D18" s="344" t="n"/>
      <c r="E18" s="344" t="n"/>
      <c r="F18" s="344" t="n"/>
      <c r="G18" s="344" t="n"/>
    </row>
    <row r="19">
      <c r="A19" s="336" t="inlineStr">
        <is>
          <t>Проверил ______________________        А.В. Костянецкая</t>
        </is>
      </c>
      <c r="B19" s="346" t="n"/>
      <c r="C19" s="346" t="n"/>
      <c r="D19" s="344" t="n"/>
      <c r="E19" s="344" t="n"/>
      <c r="F19" s="344" t="n"/>
      <c r="G19" s="344" t="n"/>
    </row>
    <row r="20">
      <c r="A20" s="347" t="inlineStr">
        <is>
          <t xml:space="preserve">                        (подпись, инициалы, фамилия)</t>
        </is>
      </c>
      <c r="B20" s="346" t="n"/>
      <c r="C20" s="346" t="n"/>
      <c r="D20" s="344" t="n"/>
      <c r="E20" s="344" t="n"/>
      <c r="F20" s="344" t="n"/>
      <c r="G20" s="34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3" sqref="A13"/>
    </sheetView>
  </sheetViews>
  <sheetFormatPr baseColWidth="8" defaultColWidth="8.85546875" defaultRowHeight="15"/>
  <cols>
    <col width="11.85546875" customWidth="1" style="348" min="1" max="1"/>
    <col width="29.7109375" customWidth="1" style="348" min="2" max="2"/>
    <col width="35" customWidth="1" style="348" min="3" max="3"/>
    <col width="27.5703125" customWidth="1" style="348" min="4" max="4"/>
    <col width="24.85546875" customWidth="1" style="348" min="5" max="5"/>
    <col width="8.85546875" customWidth="1" style="348" min="6" max="6"/>
  </cols>
  <sheetData>
    <row r="1">
      <c r="B1" s="336" t="n"/>
      <c r="C1" s="336" t="n"/>
      <c r="D1" s="422" t="inlineStr">
        <is>
          <t>Приложение №7</t>
        </is>
      </c>
    </row>
    <row r="2">
      <c r="A2" s="422" t="n"/>
      <c r="B2" s="422" t="n"/>
      <c r="C2" s="422" t="n"/>
      <c r="D2" s="422" t="n"/>
    </row>
    <row r="3" ht="24.75" customHeight="1" s="348">
      <c r="A3" s="372" t="inlineStr">
        <is>
          <t>Расчет показателя УНЦ</t>
        </is>
      </c>
    </row>
    <row r="4" ht="24.75" customHeight="1" s="348">
      <c r="A4" s="372" t="n"/>
      <c r="B4" s="372" t="n"/>
      <c r="C4" s="372" t="n"/>
      <c r="D4" s="372" t="n"/>
    </row>
    <row r="5" ht="63" customHeight="1" s="348">
      <c r="A5" s="375" t="inlineStr">
        <is>
          <t xml:space="preserve">Наименование разрабатываемого показателя УНЦ - </t>
        </is>
      </c>
      <c r="D5" s="375">
        <f>'Прил.5 Расчет СМР и ОБ'!D6</f>
        <v/>
      </c>
    </row>
    <row r="6" ht="19.9" customHeight="1" s="348">
      <c r="A6" s="381" t="inlineStr">
        <is>
          <t>Единица измерения  — 1 переход</t>
        </is>
      </c>
      <c r="D6" s="375" t="n"/>
    </row>
    <row r="7">
      <c r="A7" s="336" t="n"/>
      <c r="B7" s="336" t="n"/>
      <c r="C7" s="336" t="n"/>
      <c r="D7" s="336" t="n"/>
    </row>
    <row r="8" ht="14.45" customHeight="1" s="348">
      <c r="A8" s="387" t="inlineStr">
        <is>
          <t>Код показателя</t>
        </is>
      </c>
      <c r="B8" s="387" t="inlineStr">
        <is>
          <t>Наименование показателя</t>
        </is>
      </c>
      <c r="C8" s="387" t="inlineStr">
        <is>
          <t>Наименование РМ, входящих в состав показателя</t>
        </is>
      </c>
      <c r="D8" s="387" t="inlineStr">
        <is>
          <t>Норматив цены на 01.01.2023, тыс.руб.</t>
        </is>
      </c>
    </row>
    <row r="9" ht="15" customHeight="1" s="348">
      <c r="A9" s="475" t="n"/>
      <c r="B9" s="475" t="n"/>
      <c r="C9" s="475" t="n"/>
      <c r="D9" s="475" t="n"/>
    </row>
    <row r="10">
      <c r="A10" s="401" t="n">
        <v>1</v>
      </c>
      <c r="B10" s="401" t="n">
        <v>2</v>
      </c>
      <c r="C10" s="401" t="n">
        <v>3</v>
      </c>
      <c r="D10" s="401" t="n">
        <v>4</v>
      </c>
    </row>
    <row r="11" ht="55.5" customHeight="1" s="348">
      <c r="A11" s="401" t="inlineStr">
        <is>
          <t>Ж2-01-01</t>
        </is>
      </c>
      <c r="B11" s="401" t="inlineStr">
        <is>
          <t>УНЦ больших переходов ВЛ</t>
        </is>
      </c>
      <c r="C11" s="341">
        <f>D5</f>
        <v/>
      </c>
      <c r="D11" s="342">
        <f>'Прил.4 РМ'!C41/1000</f>
        <v/>
      </c>
      <c r="E11" s="343" t="n"/>
    </row>
    <row r="12">
      <c r="A12" s="344" t="n"/>
      <c r="B12" s="345" t="n"/>
      <c r="C12" s="344" t="n"/>
      <c r="D12" s="344" t="n"/>
    </row>
    <row r="13">
      <c r="A13" s="336" t="inlineStr">
        <is>
          <t>Составил ______________________        Е. М. Добровольская</t>
        </is>
      </c>
      <c r="B13" s="346" t="n"/>
      <c r="C13" s="346" t="n"/>
      <c r="D13" s="344" t="n"/>
    </row>
    <row r="14">
      <c r="A14" s="347" t="inlineStr">
        <is>
          <t xml:space="preserve">                         (подпись, инициалы, фамилия)</t>
        </is>
      </c>
      <c r="B14" s="346" t="n"/>
      <c r="C14" s="346" t="n"/>
      <c r="D14" s="344" t="n"/>
    </row>
    <row r="15">
      <c r="A15" s="336" t="n"/>
      <c r="B15" s="346" t="n"/>
      <c r="C15" s="346" t="n"/>
      <c r="D15" s="344" t="n"/>
    </row>
    <row r="16">
      <c r="A16" s="336" t="inlineStr">
        <is>
          <t>Проверил ______________________        А.В. Костянецкая</t>
        </is>
      </c>
      <c r="B16" s="346" t="n"/>
      <c r="C16" s="346" t="n"/>
      <c r="D16" s="344" t="n"/>
    </row>
    <row r="17">
      <c r="A17" s="347" t="inlineStr">
        <is>
          <t xml:space="preserve">                        (подпись, инициалы, фамилия)</t>
        </is>
      </c>
      <c r="B17" s="346" t="n"/>
      <c r="C17" s="346" t="n"/>
      <c r="D17" s="34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K13" sqref="K13"/>
    </sheetView>
  </sheetViews>
  <sheetFormatPr baseColWidth="8" defaultRowHeight="15"/>
  <cols>
    <col width="9.140625" customWidth="1" style="348" min="1" max="1"/>
    <col width="40.7109375" customWidth="1" style="348" min="2" max="2"/>
    <col width="37" customWidth="1" style="348" min="3" max="3"/>
    <col width="32" customWidth="1" style="348" min="4" max="4"/>
    <col width="9.140625" customWidth="1" style="348" min="5" max="5"/>
  </cols>
  <sheetData>
    <row r="4" ht="15.75" customHeight="1" s="348">
      <c r="B4" s="379" t="inlineStr">
        <is>
          <t>Приложение № 10</t>
        </is>
      </c>
    </row>
    <row r="5" ht="18.75" customHeight="1" s="348">
      <c r="B5" s="190" t="n"/>
    </row>
    <row r="6" ht="15.75" customHeight="1" s="348">
      <c r="B6" s="380" t="inlineStr">
        <is>
          <t>Используемые индексы изменений сметной стоимости и нормы сопутствующих затрат</t>
        </is>
      </c>
    </row>
    <row r="7">
      <c r="B7" s="428" t="n"/>
    </row>
    <row r="8">
      <c r="B8" s="428" t="n"/>
      <c r="C8" s="428" t="n"/>
      <c r="D8" s="428" t="n"/>
      <c r="E8" s="428" t="n"/>
    </row>
    <row r="9" ht="47.25" customHeight="1" s="348">
      <c r="B9" s="387" t="inlineStr">
        <is>
          <t>Наименование индекса / норм сопутствующих затрат</t>
        </is>
      </c>
      <c r="C9" s="387" t="inlineStr">
        <is>
          <t>Дата применения и обоснование индекса / норм сопутствующих затрат</t>
        </is>
      </c>
      <c r="D9" s="387" t="inlineStr">
        <is>
          <t>Размер индекса / норма сопутствующих затрат</t>
        </is>
      </c>
    </row>
    <row r="10" ht="15.75" customHeight="1" s="348">
      <c r="B10" s="387" t="n">
        <v>1</v>
      </c>
      <c r="C10" s="387" t="n">
        <v>2</v>
      </c>
      <c r="D10" s="387" t="n">
        <v>3</v>
      </c>
    </row>
    <row r="11" ht="45" customHeight="1" s="348">
      <c r="B11" s="387" t="inlineStr">
        <is>
          <t xml:space="preserve">Индекс изменения сметной стоимости на 1 квартал 2023 года. ОЗП </t>
        </is>
      </c>
      <c r="C11" s="387" t="inlineStr">
        <is>
          <t>Письмо Минстроя России от 01.04.2023г. №17772-ИФ/09 прил.9</t>
        </is>
      </c>
      <c r="D11" s="387" t="n">
        <v>46.83</v>
      </c>
    </row>
    <row r="12" ht="31.5" customHeight="1" s="348">
      <c r="B12" s="387" t="inlineStr">
        <is>
          <t>Индекс изменения сметной стоимости на 1 квартал 2023 года. ЭМ</t>
        </is>
      </c>
      <c r="C12" s="387" t="inlineStr">
        <is>
          <t>Письмо Минстроя России от 01.04.2023г. №17772-ИФ/09 прил.9</t>
        </is>
      </c>
      <c r="D12" s="387" t="n">
        <v>11.96</v>
      </c>
    </row>
    <row r="13" ht="31.5" customHeight="1" s="348">
      <c r="B13" s="387" t="inlineStr">
        <is>
          <t>Индекс изменения сметной стоимости на 1 квартал 2023 года. МАТ</t>
        </is>
      </c>
      <c r="C13" s="387" t="inlineStr">
        <is>
          <t>Письмо Минстроя России от 01.04.2023г. №17772-ИФ/09 прил.9</t>
        </is>
      </c>
      <c r="D13" s="387" t="n">
        <v>9.84</v>
      </c>
    </row>
    <row r="14" ht="31.5" customHeight="1" s="348">
      <c r="B14" s="38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87" t="n">
        <v>6.26</v>
      </c>
    </row>
    <row r="15" ht="89.25" customHeight="1" s="348">
      <c r="B15" s="387" t="inlineStr">
        <is>
          <t>Временные здания и сооружения</t>
        </is>
      </c>
      <c r="C15" s="38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48">
      <c r="B16" s="387" t="inlineStr">
        <is>
          <t>Дополнительные затраты при производстве строительно-монтажных работ в зимнее время</t>
        </is>
      </c>
      <c r="C16" s="38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48">
      <c r="B17" s="387" t="inlineStr">
        <is>
          <t>Строительный контроль</t>
        </is>
      </c>
      <c r="C17" s="387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48">
      <c r="B18" s="387" t="inlineStr">
        <is>
          <t>Авторский надзор - 0,2%</t>
        </is>
      </c>
      <c r="C18" s="387" t="inlineStr">
        <is>
          <t>Приказ от 4.08.2020 № 421/пр п.173</t>
        </is>
      </c>
      <c r="D18" s="193" t="n">
        <v>0.002</v>
      </c>
    </row>
    <row r="19" ht="24" customHeight="1" s="348">
      <c r="B19" s="387" t="inlineStr">
        <is>
          <t>Непредвиденные расходы</t>
        </is>
      </c>
      <c r="C19" s="387" t="inlineStr">
        <is>
          <t>Приказ от 4.08.2020 № 421/пр п.179</t>
        </is>
      </c>
      <c r="D19" s="193" t="n">
        <v>0.03</v>
      </c>
    </row>
    <row r="20" ht="18.75" customHeight="1" s="348">
      <c r="B20" s="269" t="n"/>
    </row>
    <row r="21" ht="18.75" customHeight="1" s="348">
      <c r="B21" s="269" t="n"/>
    </row>
    <row r="22" ht="18.75" customHeight="1" s="348">
      <c r="B22" s="269" t="n"/>
    </row>
    <row r="23" ht="18.75" customHeight="1" s="348">
      <c r="B23" s="269" t="n"/>
    </row>
    <row r="26">
      <c r="B26" s="336" t="inlineStr">
        <is>
          <t>Составил ______________________         Е. М. Добровольская</t>
        </is>
      </c>
      <c r="C26" s="346" t="n"/>
    </row>
    <row r="27">
      <c r="B27" s="347" t="inlineStr">
        <is>
          <t xml:space="preserve">                         (подпись, инициалы, фамилия)</t>
        </is>
      </c>
      <c r="C27" s="346" t="n"/>
    </row>
    <row r="28">
      <c r="B28" s="336" t="n"/>
      <c r="C28" s="346" t="n"/>
    </row>
    <row r="29">
      <c r="B29" s="336" t="inlineStr">
        <is>
          <t>Проверил ______________________        А.В. Костянецкая</t>
        </is>
      </c>
      <c r="C29" s="346" t="n"/>
    </row>
    <row r="30">
      <c r="B30" s="347" t="inlineStr">
        <is>
          <t xml:space="preserve">                        (подпись, инициалы, фамилия)</t>
        </is>
      </c>
      <c r="C30" s="34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workbookViewId="0">
      <selection activeCell="I13" sqref="I13"/>
    </sheetView>
  </sheetViews>
  <sheetFormatPr baseColWidth="8" defaultRowHeight="15"/>
  <cols>
    <col width="9.140625" customWidth="1" style="348" min="1" max="1"/>
    <col width="44.85546875" customWidth="1" style="348" min="2" max="2"/>
    <col width="13" customWidth="1" style="348" min="3" max="3"/>
    <col width="22.85546875" customWidth="1" style="348" min="4" max="4"/>
    <col width="21.5703125" customWidth="1" style="348" min="5" max="5"/>
    <col width="43.85546875" customWidth="1" style="348" min="6" max="6"/>
    <col width="9.140625" customWidth="1" style="348" min="7" max="7"/>
  </cols>
  <sheetData>
    <row r="2" ht="17.25" customHeight="1" s="348">
      <c r="A2" s="38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8">
      <c r="A4" s="173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4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2" t="n"/>
    </row>
    <row r="6" ht="15.75" customHeight="1" s="34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2" t="n"/>
    </row>
    <row r="7" ht="110.25" customHeight="1" s="34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7" t="inlineStr">
        <is>
          <t>С1ср</t>
        </is>
      </c>
      <c r="D7" s="387" t="inlineStr">
        <is>
          <t>-</t>
        </is>
      </c>
      <c r="E7" s="365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4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87" t="inlineStr">
        <is>
          <t>tср</t>
        </is>
      </c>
      <c r="D8" s="387" t="inlineStr">
        <is>
          <t>1973ч/12мес.</t>
        </is>
      </c>
      <c r="E8" s="365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48">
      <c r="A9" s="176" t="inlineStr">
        <is>
          <t>1.3</t>
        </is>
      </c>
      <c r="B9" s="180" t="inlineStr">
        <is>
          <t>Коэффициент увеличения</t>
        </is>
      </c>
      <c r="C9" s="387" t="inlineStr">
        <is>
          <t>Кув</t>
        </is>
      </c>
      <c r="D9" s="387" t="inlineStr">
        <is>
          <t>-</t>
        </is>
      </c>
      <c r="E9" s="365" t="n">
        <v>1</v>
      </c>
      <c r="F9" s="180" t="n"/>
      <c r="G9" s="182" t="n"/>
    </row>
    <row r="10" ht="15.75" customHeight="1" s="348">
      <c r="A10" s="176" t="inlineStr">
        <is>
          <t>1.4</t>
        </is>
      </c>
      <c r="B10" s="180" t="inlineStr">
        <is>
          <t>Средний разряд работ</t>
        </is>
      </c>
      <c r="C10" s="387" t="n"/>
      <c r="D10" s="387" t="n"/>
      <c r="E10" s="183" t="n">
        <v>3.8</v>
      </c>
      <c r="F10" s="180" t="inlineStr">
        <is>
          <t>РТМ</t>
        </is>
      </c>
      <c r="G10" s="182" t="n"/>
    </row>
    <row r="11" ht="78.75" customHeight="1" s="34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87" t="inlineStr">
        <is>
          <t>КТ</t>
        </is>
      </c>
      <c r="D11" s="387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48">
      <c r="A12" s="176" t="inlineStr">
        <is>
          <t>1.6</t>
        </is>
      </c>
      <c r="B12" s="326" t="inlineStr">
        <is>
          <t>Коэффициент инфляции, определяемый поквартально</t>
        </is>
      </c>
      <c r="C12" s="387" t="inlineStr">
        <is>
          <t>Кинф</t>
        </is>
      </c>
      <c r="D12" s="387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48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87" t="inlineStr">
        <is>
          <t>ФОТр.тек.</t>
        </is>
      </c>
      <c r="D13" s="387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  <row r="14">
      <c r="A14" t="n">
        <v>2</v>
      </c>
      <c r="B14" s="349" t="inlineStr">
        <is>
          <t>Инженер I категории</t>
        </is>
      </c>
    </row>
    <row r="15" ht="90" customHeight="1" s="348">
      <c r="A15" s="350" t="inlineStr">
        <is>
          <t>2.1</t>
        </is>
      </c>
      <c r="B15" s="35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451" t="inlineStr">
        <is>
          <t>С1ср</t>
        </is>
      </c>
      <c r="D15" s="451" t="inlineStr">
        <is>
          <t>-</t>
        </is>
      </c>
      <c r="E15" s="356">
        <f>E7</f>
        <v/>
      </c>
      <c r="F15" s="35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348">
      <c r="A16" s="350" t="inlineStr">
        <is>
          <t>2.2</t>
        </is>
      </c>
      <c r="B16" s="354" t="inlineStr">
        <is>
          <t>Среднегодовое нормативное число часов работы одного рабочего в месяц, часы (ч.)</t>
        </is>
      </c>
      <c r="C16" s="451" t="inlineStr">
        <is>
          <t>tср</t>
        </is>
      </c>
      <c r="D16" s="451" t="inlineStr">
        <is>
          <t>1973ч/12мес.</t>
        </is>
      </c>
      <c r="E16" s="356">
        <f>E8</f>
        <v/>
      </c>
      <c r="F16" s="354" t="inlineStr">
        <is>
          <t>Производственный календарь 2023 год
(40-часов.неделя)</t>
        </is>
      </c>
      <c r="G16" s="357" t="n"/>
    </row>
    <row r="17">
      <c r="A17" s="350" t="inlineStr">
        <is>
          <t>2.3</t>
        </is>
      </c>
      <c r="B17" s="354" t="inlineStr">
        <is>
          <t>Коэффициент увеличения</t>
        </is>
      </c>
      <c r="C17" s="451" t="inlineStr">
        <is>
          <t>Кув</t>
        </is>
      </c>
      <c r="D17" s="451" t="inlineStr">
        <is>
          <t>-</t>
        </is>
      </c>
      <c r="E17" s="356" t="n">
        <v>1</v>
      </c>
      <c r="F17" s="354" t="n"/>
      <c r="G17" s="358" t="n"/>
    </row>
    <row r="18">
      <c r="A18" s="350" t="inlineStr">
        <is>
          <t>2.4</t>
        </is>
      </c>
      <c r="B18" s="354" t="inlineStr">
        <is>
          <t>Средний разряд работ</t>
        </is>
      </c>
      <c r="C18" s="451" t="n"/>
      <c r="D18" s="451" t="n"/>
      <c r="E18" s="359" t="n">
        <v>1</v>
      </c>
      <c r="F18" s="354" t="inlineStr">
        <is>
          <t>РТМ</t>
        </is>
      </c>
      <c r="G18" s="358" t="n"/>
    </row>
    <row r="19" ht="75" customHeight="1" s="348">
      <c r="A19" s="350" t="inlineStr">
        <is>
          <t>2.5</t>
        </is>
      </c>
      <c r="B19" s="354" t="inlineStr">
        <is>
          <t>Тарифный коэффициент среднего разряда работ</t>
        </is>
      </c>
      <c r="C19" s="451" t="inlineStr">
        <is>
          <t>КТ</t>
        </is>
      </c>
      <c r="D19" s="451" t="inlineStr">
        <is>
          <t>-</t>
        </is>
      </c>
      <c r="E19" s="360" t="n">
        <v>2.15</v>
      </c>
      <c r="F19" s="35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348">
      <c r="A20" s="350" t="inlineStr">
        <is>
          <t>2.6</t>
        </is>
      </c>
      <c r="B20" s="361" t="inlineStr">
        <is>
          <t>Коэффициент инфляции, определяемый поквартально</t>
        </is>
      </c>
      <c r="C20" s="451" t="inlineStr">
        <is>
          <t>Кинф</t>
        </is>
      </c>
      <c r="D20" s="451" t="inlineStr">
        <is>
          <t>-</t>
        </is>
      </c>
      <c r="E20" s="362" t="n">
        <v>1.139</v>
      </c>
      <c r="F20" s="3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58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348">
      <c r="A21" s="350" t="inlineStr">
        <is>
          <t>2.7</t>
        </is>
      </c>
      <c r="B21" s="363" t="inlineStr">
        <is>
          <t>Размер средств на оплату труда рабочих-строителей в текущем уровне цен (ФОТи.тек.), руб/чел.-ч</t>
        </is>
      </c>
      <c r="C21" s="451" t="inlineStr">
        <is>
          <t>ФОТр.тек.</t>
        </is>
      </c>
      <c r="D21" s="451" t="inlineStr">
        <is>
          <t>(С1ср/tср*КТ*Т*Кув)*Кинф</t>
        </is>
      </c>
      <c r="E21" s="364">
        <f>((E15*E17/E16)*E19)*E20</f>
        <v/>
      </c>
      <c r="F21" s="35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t="n">
        <v>3</v>
      </c>
      <c r="B22" s="349" t="inlineStr">
        <is>
          <t>Инженер II категории</t>
        </is>
      </c>
    </row>
    <row r="23" ht="90" customHeight="1" s="348">
      <c r="A23" s="350" t="inlineStr">
        <is>
          <t>3.1</t>
        </is>
      </c>
      <c r="B23" s="35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451" t="inlineStr">
        <is>
          <t>С1ср</t>
        </is>
      </c>
      <c r="D23" s="451" t="inlineStr">
        <is>
          <t>-</t>
        </is>
      </c>
      <c r="E23" s="356">
        <f>E7</f>
        <v/>
      </c>
      <c r="F23" s="35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30" customHeight="1" s="348">
      <c r="A24" s="350" t="inlineStr">
        <is>
          <t>3.2</t>
        </is>
      </c>
      <c r="B24" s="354" t="inlineStr">
        <is>
          <t>Среднегодовое нормативное число часов работы одного рабочего в месяц, часы (ч.)</t>
        </is>
      </c>
      <c r="C24" s="451" t="inlineStr">
        <is>
          <t>tср</t>
        </is>
      </c>
      <c r="D24" s="451" t="inlineStr">
        <is>
          <t>1973ч/12мес.</t>
        </is>
      </c>
      <c r="E24" s="356">
        <f>E8</f>
        <v/>
      </c>
      <c r="F24" s="354" t="inlineStr">
        <is>
          <t>Производственный календарь 2023 год
(40-часов.неделя)</t>
        </is>
      </c>
      <c r="G24" s="357" t="n"/>
    </row>
    <row r="25">
      <c r="A25" s="350" t="inlineStr">
        <is>
          <t>3.3</t>
        </is>
      </c>
      <c r="B25" s="354" t="inlineStr">
        <is>
          <t>Коэффициент увеличения</t>
        </is>
      </c>
      <c r="C25" s="451" t="inlineStr">
        <is>
          <t>Кув</t>
        </is>
      </c>
      <c r="D25" s="451" t="inlineStr">
        <is>
          <t>-</t>
        </is>
      </c>
      <c r="E25" s="356" t="n">
        <v>1</v>
      </c>
      <c r="F25" s="354" t="n"/>
      <c r="G25" s="358" t="n"/>
    </row>
    <row r="26">
      <c r="A26" s="350" t="inlineStr">
        <is>
          <t>3.4</t>
        </is>
      </c>
      <c r="B26" s="354" t="inlineStr">
        <is>
          <t>Средний разряд работ</t>
        </is>
      </c>
      <c r="C26" s="451" t="n"/>
      <c r="D26" s="451" t="n"/>
      <c r="E26" s="359" t="n">
        <v>1</v>
      </c>
      <c r="F26" s="354" t="inlineStr">
        <is>
          <t>РТМ</t>
        </is>
      </c>
      <c r="G26" s="358" t="n"/>
    </row>
    <row r="27" ht="75" customHeight="1" s="348">
      <c r="A27" s="350" t="inlineStr">
        <is>
          <t>3.5</t>
        </is>
      </c>
      <c r="B27" s="354" t="inlineStr">
        <is>
          <t>Тарифный коэффициент среднего разряда работ</t>
        </is>
      </c>
      <c r="C27" s="451" t="inlineStr">
        <is>
          <t>КТ</t>
        </is>
      </c>
      <c r="D27" s="451" t="inlineStr">
        <is>
          <t>-</t>
        </is>
      </c>
      <c r="E27" s="360" t="n">
        <v>1.96</v>
      </c>
      <c r="F27" s="35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75" customHeight="1" s="348">
      <c r="A28" s="350" t="inlineStr">
        <is>
          <t>3.6</t>
        </is>
      </c>
      <c r="B28" s="361" t="inlineStr">
        <is>
          <t>Коэффициент инфляции, определяемый поквартально</t>
        </is>
      </c>
      <c r="C28" s="451" t="inlineStr">
        <is>
          <t>Кинф</t>
        </is>
      </c>
      <c r="D28" s="451" t="inlineStr">
        <is>
          <t>-</t>
        </is>
      </c>
      <c r="E28" s="362" t="n">
        <v>1.139</v>
      </c>
      <c r="F28" s="3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58" t="inlineStr">
        <is>
          <t>https://economy.gov.ru/material/directions/makroec/prognozy_socialno_ekonomicheskogo_razvitiya/prognoz_socialno_ekonomicheskogo_razvitiya_rf_na_period_do_2024_goda_.html</t>
        </is>
      </c>
    </row>
    <row r="29" ht="60" customHeight="1" s="348">
      <c r="A29" s="350" t="inlineStr">
        <is>
          <t>3.7</t>
        </is>
      </c>
      <c r="B29" s="363" t="inlineStr">
        <is>
          <t>Размер средств на оплату труда рабочих-строителей в текущем уровне цен (ФОТи.тек.), руб/чел.-ч</t>
        </is>
      </c>
      <c r="C29" s="451" t="inlineStr">
        <is>
          <t>ФОТр.тек.</t>
        </is>
      </c>
      <c r="D29" s="451" t="inlineStr">
        <is>
          <t>(С1ср/tср*КТ*Т*Кув)*Кинф</t>
        </is>
      </c>
      <c r="E29" s="364">
        <f>((E23*E25/E24)*E27)*E28</f>
        <v/>
      </c>
      <c r="F29" s="35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20" r:id="rId1"/>
    <hyperlink xmlns:r="http://schemas.openxmlformats.org/officeDocument/2006/relationships" ref="G28" r:id="rId2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2025-01-24T11:55:59Z</dcterms:modified>
  <cp:lastModifiedBy>REDMIBOOK</cp:lastModifiedBy>
  <cp:lastPrinted>2023-11-24T09:12:31Z</cp:lastPrinted>
</cp:coreProperties>
</file>