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9735" windowHeight="11805" tabRatio="769" firstSheet="0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xlnm.Print_Titles" localSheetId="2">'Прил.3'!$9:$11</definedName>
    <definedName name="_xlnm.Print_Area" localSheetId="2">'Прил.3'!$A$1:$H$184</definedName>
    <definedName name="_xlnm.Print_Titles" localSheetId="4">'Прил.5 Расчет СМР и ОБ'!$9:$11</definedName>
    <definedName name="_xlnm.Print_Area" localSheetId="4">'Прил.5 Расчет СМР и ОБ'!$A$1:$J$190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.0"/>
    <numFmt numFmtId="166" formatCode="#,##0.000"/>
    <numFmt numFmtId="167" formatCode="0.0000"/>
  </numFmts>
  <fonts count="13">
    <font>
      <name val="Calibri"/>
      <color rgb="FF000000"/>
      <sz val="11"/>
    </font>
    <font>
      <name val="Times New Roman"/>
      <color rgb="FF000000"/>
      <sz val="12"/>
    </font>
    <font>
      <name val="Times New Roman"/>
      <b val="1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Times New Roman"/>
      <color rgb="FF000000"/>
      <sz val="14"/>
    </font>
    <font>
      <name val="Arial"/>
      <color rgb="FF000000"/>
      <sz val="10"/>
    </font>
    <font>
      <name val="Arial"/>
      <color rgb="FF000000"/>
      <sz val="11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FF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justify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4" fontId="1" fillId="0" borderId="1" applyAlignment="1" pivotButton="0" quotePrefix="0" xfId="0">
      <alignment horizontal="center" vertical="center" wrapText="1"/>
    </xf>
    <xf numFmtId="4" fontId="3" fillId="0" borderId="0" applyAlignment="1" pivotButton="0" quotePrefix="0" xfId="0">
      <alignment wrapText="1"/>
    </xf>
    <xf numFmtId="49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vertical="center" wrapText="1"/>
    </xf>
    <xf numFmtId="14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wrapText="1"/>
    </xf>
    <xf numFmtId="0" fontId="1" fillId="0" borderId="2" applyAlignment="1" pivotButton="0" quotePrefix="0" xfId="0">
      <alignment horizontal="justify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justify" vertical="center"/>
    </xf>
    <xf numFmtId="0" fontId="2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top"/>
    </xf>
    <xf numFmtId="4" fontId="2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49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" fontId="1" fillId="0" borderId="1" applyAlignment="1" pivotButton="0" quotePrefix="0" xfId="0">
      <alignment horizontal="right" vertical="top" wrapText="1"/>
    </xf>
    <xf numFmtId="10" fontId="1" fillId="0" borderId="1" applyAlignment="1" pivotButton="0" quotePrefix="0" xfId="0">
      <alignment horizontal="right" vertical="top" wrapText="1"/>
    </xf>
    <xf numFmtId="9" fontId="1" fillId="0" borderId="1" applyAlignment="1" pivotButton="0" quotePrefix="0" xfId="0">
      <alignment horizontal="center" vertical="top" wrapText="1"/>
    </xf>
    <xf numFmtId="0" fontId="6" fillId="0" borderId="0" pivotButton="0" quotePrefix="0" xfId="0"/>
    <xf numFmtId="0" fontId="7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pivotButton="0" quotePrefix="0" xfId="0"/>
    <xf numFmtId="164" fontId="1" fillId="0" borderId="1" applyAlignment="1" pivotButton="0" quotePrefix="0" xfId="0">
      <alignment vertical="top"/>
    </xf>
    <xf numFmtId="49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/>
    </xf>
    <xf numFmtId="4" fontId="1" fillId="0" borderId="1" pivotButton="0" quotePrefix="0" xfId="0"/>
    <xf numFmtId="0" fontId="2" fillId="0" borderId="1" pivotButton="0" quotePrefix="0" xfId="0"/>
    <xf numFmtId="4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 wrapText="1"/>
    </xf>
    <xf numFmtId="4" fontId="1" fillId="0" borderId="3" applyAlignment="1" pivotButton="0" quotePrefix="0" xfId="0">
      <alignment horizontal="right" vertical="center"/>
    </xf>
    <xf numFmtId="10" fontId="1" fillId="0" borderId="3" applyAlignment="1" pivotButton="0" quotePrefix="0" xfId="0">
      <alignment vertical="center" wrapText="1"/>
    </xf>
    <xf numFmtId="10" fontId="1" fillId="0" borderId="3" applyAlignment="1" pivotButton="0" quotePrefix="0" xfId="0">
      <alignment vertical="center"/>
    </xf>
    <xf numFmtId="10" fontId="1" fillId="0" borderId="1" pivotButton="0" quotePrefix="0" xfId="0"/>
    <xf numFmtId="0" fontId="1" fillId="0" borderId="4" applyAlignment="1" pivotButton="0" quotePrefix="0" xfId="0">
      <alignment vertical="center" wrapText="1"/>
    </xf>
    <xf numFmtId="4" fontId="1" fillId="0" borderId="4" applyAlignment="1" pivotButton="0" quotePrefix="0" xfId="0">
      <alignment vertical="center" wrapText="1"/>
    </xf>
    <xf numFmtId="10" fontId="1" fillId="0" borderId="4" applyAlignment="1" pivotButton="0" quotePrefix="0" xfId="0">
      <alignment vertical="center" wrapText="1"/>
    </xf>
    <xf numFmtId="10" fontId="1" fillId="0" borderId="4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5" fontId="1" fillId="0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49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5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4" fontId="2" fillId="0" borderId="2" applyAlignment="1" pivotButton="0" quotePrefix="0" xfId="0">
      <alignment vertical="center" wrapText="1"/>
    </xf>
    <xf numFmtId="4" fontId="2" fillId="0" borderId="6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4" fontId="1" fillId="0" borderId="7" applyAlignment="1" pivotButton="0" quotePrefix="0" xfId="0">
      <alignment horizontal="center" vertical="center" wrapText="1"/>
    </xf>
    <xf numFmtId="4" fontId="1" fillId="0" borderId="8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4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pivotButton="0" quotePrefix="0" xfId="0"/>
    <xf numFmtId="0" fontId="1" fillId="0" borderId="1" applyAlignment="1" pivotButton="0" quotePrefix="0" xfId="0">
      <alignment wrapText="1"/>
    </xf>
    <xf numFmtId="0" fontId="1" fillId="0" borderId="1" pivotButton="0" quotePrefix="0" xfId="0"/>
    <xf numFmtId="49" fontId="1" fillId="0" borderId="1" applyAlignment="1" pivotButton="0" quotePrefix="0" xfId="0">
      <alignment horizontal="left" vertical="top" wrapText="1"/>
    </xf>
    <xf numFmtId="4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/>
    </xf>
    <xf numFmtId="0" fontId="0" fillId="0" borderId="14" pivotButton="0" quotePrefix="0" xfId="0"/>
    <xf numFmtId="0" fontId="0" fillId="0" borderId="6" pivotButton="0" quotePrefix="0" xfId="0"/>
    <xf numFmtId="0" fontId="0" fillId="0" borderId="16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dxfs count="4">
    <dxf>
      <numFmt numFmtId="168" formatCode="#,##0.0000"/>
    </dxf>
    <dxf>
      <numFmt numFmtId="168" formatCode="#,##0.0000"/>
    </dxf>
    <dxf>
      <numFmt numFmtId="168" formatCode="#,##0.0000"/>
    </dxf>
    <dxf>
      <numFmt numFmtId="168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H32"/>
  <sheetViews>
    <sheetView view="pageBreakPreview" topLeftCell="A23" zoomScale="145" zoomScaleNormal="100" zoomScaleSheetLayoutView="145" workbookViewId="0">
      <selection activeCell="C12" sqref="C12"/>
    </sheetView>
  </sheetViews>
  <sheetFormatPr baseColWidth="8" defaultColWidth="9.140625" defaultRowHeight="15.75"/>
  <cols>
    <col width="9.140625" customWidth="1" style="82" min="1" max="2"/>
    <col width="36.85546875" customWidth="1" style="82" min="3" max="3"/>
    <col width="38.5703125" customWidth="1" style="82" min="4" max="4"/>
    <col width="22.42578125" customWidth="1" style="82" min="5" max="5"/>
    <col width="22.140625" customWidth="1" style="82" min="6" max="6"/>
    <col width="9.140625" customWidth="1" style="82" min="7" max="7"/>
  </cols>
  <sheetData>
    <row r="3">
      <c r="B3" s="112" t="inlineStr">
        <is>
          <t>Приложение № 1</t>
        </is>
      </c>
      <c r="F3" s="112" t="n"/>
    </row>
    <row r="4">
      <c r="B4" s="113" t="inlineStr">
        <is>
          <t>Сравнительная таблица отбора объекта-представителя</t>
        </is>
      </c>
      <c r="F4" s="113" t="n"/>
    </row>
    <row r="5" ht="87.59999999999999" customHeight="1" s="80">
      <c r="B5" s="11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F5" s="4" t="n"/>
    </row>
    <row r="6">
      <c r="B6" s="4" t="n"/>
      <c r="C6" s="4" t="n"/>
      <c r="D6" s="4" t="n"/>
      <c r="F6" s="4" t="n"/>
    </row>
    <row r="7" ht="15.6" customHeight="1" s="80">
      <c r="B7" s="111" t="inlineStr">
        <is>
          <t>Наименование разрабатываемого показателя УНЦ — Ж4 Переустр. НП диам. 720 мм____коэф. 0,330_35 кВ</t>
        </is>
      </c>
      <c r="F7" s="111" t="n"/>
      <c r="H7" s="6" t="n"/>
    </row>
    <row r="8" ht="31.5" customHeight="1" s="80">
      <c r="B8" s="111" t="inlineStr">
        <is>
          <t>Сопоставимый уровень цен: 4 кв. 2019 г.</t>
        </is>
      </c>
      <c r="F8" s="111" t="n"/>
    </row>
    <row r="9" ht="15.6" customHeight="1" s="80">
      <c r="B9" s="111" t="inlineStr">
        <is>
          <t>Единица измерения  — 1 переход</t>
        </is>
      </c>
      <c r="F9" s="111" t="n"/>
      <c r="H9" s="6" t="n"/>
    </row>
    <row r="10">
      <c r="B10" s="111" t="n"/>
    </row>
    <row r="11">
      <c r="B11" s="117" t="inlineStr">
        <is>
          <t>№ п/п</t>
        </is>
      </c>
      <c r="C11" s="117" t="inlineStr">
        <is>
          <t>Параметр</t>
        </is>
      </c>
      <c r="D11" s="117" t="inlineStr">
        <is>
          <t>Объект-представитель</t>
        </is>
      </c>
      <c r="E11" s="6" t="n"/>
      <c r="F11" s="114" t="n"/>
      <c r="H11" s="6" t="n"/>
    </row>
    <row r="12" ht="110.25" customHeight="1" s="80">
      <c r="B12" s="117" t="n">
        <v>1</v>
      </c>
      <c r="C12" s="132" t="inlineStr">
        <is>
          <t>Наименование объекта-представителя</t>
        </is>
      </c>
      <c r="D12" s="132" t="inlineStr">
        <is>
          <t>Строительство ВЛ 35 кВ «Лучевая-Александровская» с установкой ячейки 35 кВ на ПС Лучевая с использованием выключателя ранее демонтированного с ПС Чкаловская для нужд СПО (протяженность 2,53 км)</t>
        </is>
      </c>
      <c r="F12" s="114" t="n"/>
    </row>
    <row r="13" ht="31.5" customHeight="1" s="80">
      <c r="B13" s="117" t="n">
        <v>2</v>
      </c>
      <c r="C13" s="132" t="inlineStr">
        <is>
          <t>Наименование субъекта Российской Федерации</t>
        </is>
      </c>
      <c r="D13" s="132" t="inlineStr">
        <is>
          <t>Оренбургская область</t>
        </is>
      </c>
      <c r="F13" s="114" t="n"/>
    </row>
    <row r="14">
      <c r="B14" s="117" t="n">
        <v>3</v>
      </c>
      <c r="C14" s="132" t="inlineStr">
        <is>
          <t>Климатический район и подрайон</t>
        </is>
      </c>
      <c r="D14" s="117" t="inlineStr">
        <is>
          <t>IIIа</t>
        </is>
      </c>
      <c r="F14" s="114" t="n"/>
    </row>
    <row r="15">
      <c r="B15" s="117" t="n">
        <v>4</v>
      </c>
      <c r="C15" s="132" t="inlineStr">
        <is>
          <t>Мощность объекта</t>
        </is>
      </c>
      <c r="D15" s="117" t="n">
        <v>1</v>
      </c>
      <c r="F15" s="114" t="n"/>
    </row>
    <row r="16" ht="94.5" customHeight="1" s="80">
      <c r="B16" s="117" t="n">
        <v>5</v>
      </c>
      <c r="C16" s="1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17" t="inlineStr">
        <is>
          <t>Трубы стальные электросварные, плиты дорожные</t>
        </is>
      </c>
      <c r="F16" s="114" t="n"/>
    </row>
    <row r="17" ht="78.75" customHeight="1" s="80">
      <c r="B17" s="117" t="n">
        <v>6</v>
      </c>
      <c r="C17" s="1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1">
        <f>'Прил.2 Расч стоим'!F14</f>
        <v/>
      </c>
      <c r="E17" s="12" t="n"/>
      <c r="F17" s="114" t="n"/>
    </row>
    <row r="18">
      <c r="B18" s="13" t="inlineStr">
        <is>
          <t>6.1</t>
        </is>
      </c>
      <c r="C18" s="132" t="inlineStr">
        <is>
          <t>строительно-монтажные работы</t>
        </is>
      </c>
      <c r="D18" s="11">
        <f>D17</f>
        <v/>
      </c>
      <c r="F18" s="114" t="n"/>
    </row>
    <row r="19">
      <c r="B19" s="13" t="inlineStr">
        <is>
          <t>6.2</t>
        </is>
      </c>
      <c r="C19" s="132" t="inlineStr">
        <is>
          <t>оборудование и инвентарь</t>
        </is>
      </c>
      <c r="D19" s="11" t="n">
        <v>0</v>
      </c>
      <c r="F19" s="114" t="n"/>
    </row>
    <row r="20">
      <c r="B20" s="13" t="inlineStr">
        <is>
          <t>6.3</t>
        </is>
      </c>
      <c r="C20" s="132" t="inlineStr">
        <is>
          <t>пусконаладочные работы</t>
        </is>
      </c>
      <c r="D20" s="11" t="n">
        <v>0</v>
      </c>
      <c r="F20" s="114" t="n"/>
    </row>
    <row r="21">
      <c r="B21" s="13" t="inlineStr">
        <is>
          <t>6.4</t>
        </is>
      </c>
      <c r="C21" s="14" t="inlineStr">
        <is>
          <t>прочие и лимитированные затраты</t>
        </is>
      </c>
      <c r="D21" s="11" t="n">
        <v>0</v>
      </c>
      <c r="F21" s="114" t="n"/>
    </row>
    <row r="22">
      <c r="B22" s="117" t="n">
        <v>7</v>
      </c>
      <c r="C22" s="14" t="inlineStr">
        <is>
          <t>Сопоставимый уровень цен</t>
        </is>
      </c>
      <c r="D22" s="15" t="inlineStr">
        <is>
          <t>4 кв. 2019 г.</t>
        </is>
      </c>
      <c r="E22" s="16" t="n"/>
      <c r="F22" s="114" t="n"/>
    </row>
    <row r="23" ht="110.25" customHeight="1" s="80">
      <c r="B23" s="117" t="n">
        <v>8</v>
      </c>
      <c r="C23" s="17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1">
        <f>D17</f>
        <v/>
      </c>
      <c r="E23" s="12" t="n"/>
      <c r="F23" s="114" t="n"/>
    </row>
    <row r="24" ht="47.25" customHeight="1" s="80">
      <c r="B24" s="117" t="n">
        <v>9</v>
      </c>
      <c r="C24" s="10" t="inlineStr">
        <is>
          <t>Приведенная сметная стоимость на единицу мощности, тыс. руб. (строка 8/строку 4)</t>
        </is>
      </c>
      <c r="D24" s="11">
        <f>D17/D15</f>
        <v/>
      </c>
      <c r="E24" s="16" t="n"/>
      <c r="F24" s="114" t="n"/>
    </row>
    <row r="25" ht="37.5" customHeight="1" s="80">
      <c r="B25" s="117" t="n">
        <v>10</v>
      </c>
      <c r="C25" s="132" t="inlineStr">
        <is>
          <t>Примечание</t>
        </is>
      </c>
      <c r="D25" s="117" t="n"/>
    </row>
    <row r="26">
      <c r="B26" s="114" t="n"/>
      <c r="C26" s="18" t="n"/>
      <c r="D26" s="18" t="n"/>
    </row>
    <row r="27">
      <c r="B27" s="82" t="n"/>
      <c r="C27" s="82" t="n"/>
      <c r="D27" s="82" t="n"/>
    </row>
    <row r="28">
      <c r="B28" s="82" t="inlineStr">
        <is>
          <t>Составил ______________________        М.С. Колотиевская</t>
        </is>
      </c>
      <c r="C28" s="82" t="n"/>
      <c r="D28" s="82" t="n"/>
    </row>
    <row r="29">
      <c r="B29" s="19" t="inlineStr">
        <is>
          <t xml:space="preserve">                         (подпись, инициалы, фамилия)</t>
        </is>
      </c>
      <c r="C29" s="82" t="n"/>
      <c r="D29" s="82" t="n"/>
    </row>
    <row r="30">
      <c r="B30" s="82" t="n"/>
      <c r="C30" s="82" t="n"/>
      <c r="D30" s="82" t="n"/>
    </row>
    <row r="31">
      <c r="B31" s="82" t="inlineStr">
        <is>
          <t>Проверил ______________________      А.В. Костянецкая</t>
        </is>
      </c>
      <c r="C31" s="82" t="n"/>
      <c r="D31" s="82" t="n"/>
    </row>
    <row r="32">
      <c r="B32" s="19" t="inlineStr">
        <is>
          <t xml:space="preserve">                        (подпись, инициалы, фамилия)</t>
        </is>
      </c>
      <c r="C32" s="82" t="n"/>
      <c r="D32" s="8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93" fitToHeight="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L22"/>
  <sheetViews>
    <sheetView view="pageBreakPreview" zoomScale="115" zoomScaleNormal="70" zoomScaleSheetLayoutView="115" workbookViewId="0">
      <selection activeCell="C17" sqref="C17"/>
    </sheetView>
  </sheetViews>
  <sheetFormatPr baseColWidth="8" defaultColWidth="9.140625" defaultRowHeight="15.75"/>
  <cols>
    <col width="5.5703125" customWidth="1" style="82" min="1" max="1"/>
    <col width="9.140625" customWidth="1" style="82" min="2" max="2"/>
    <col width="35.28515625" customWidth="1" style="82" min="3" max="3"/>
    <col width="13.85546875" customWidth="1" style="82" min="4" max="4"/>
    <col width="17.42578125" customWidth="1" style="82" min="5" max="5"/>
    <col width="12.7109375" customWidth="1" style="82" min="6" max="6"/>
    <col width="14.85546875" customWidth="1" style="82" min="7" max="7"/>
    <col width="16.7109375" customWidth="1" style="82" min="8" max="8"/>
    <col width="13" customWidth="1" style="82" min="9" max="10"/>
    <col width="18" customWidth="1" style="82" min="11" max="11"/>
    <col width="9.140625" customWidth="1" style="82" min="12" max="12"/>
  </cols>
  <sheetData>
    <row r="3">
      <c r="B3" s="112" t="inlineStr">
        <is>
          <t>Приложение № 2</t>
        </is>
      </c>
    </row>
    <row r="4">
      <c r="B4" s="113" t="inlineStr">
        <is>
          <t>Расчет стоимости основных видов работ для выбора объекта-представителя</t>
        </is>
      </c>
    </row>
    <row r="5"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>
      <c r="B6" s="111" t="inlineStr">
        <is>
          <t>Наименование разрабатываемого показателя УНЦ -  Ж4 Переустр. НП диам. 720 мм____коэф. 0,330_35 кВ</t>
        </is>
      </c>
      <c r="L6" s="6" t="n"/>
    </row>
    <row r="7">
      <c r="B7" s="111" t="inlineStr">
        <is>
          <t>Единица измерения  — 1 переход</t>
        </is>
      </c>
      <c r="L7" s="6" t="n"/>
    </row>
    <row r="8">
      <c r="B8" s="111" t="n"/>
    </row>
    <row r="9" ht="15.75" customHeight="1" s="80">
      <c r="B9" s="117" t="inlineStr">
        <is>
          <t>№ п/п</t>
        </is>
      </c>
      <c r="C9" s="11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17" t="inlineStr">
        <is>
          <t>Объект-представитель 1</t>
        </is>
      </c>
      <c r="E9" s="146" t="n"/>
      <c r="F9" s="146" t="n"/>
      <c r="G9" s="146" t="n"/>
      <c r="H9" s="146" t="n"/>
      <c r="I9" s="146" t="n"/>
      <c r="J9" s="147" t="n"/>
    </row>
    <row r="10" ht="15.75" customHeight="1" s="80">
      <c r="B10" s="148" t="n"/>
      <c r="C10" s="148" t="n"/>
      <c r="D10" s="117" t="inlineStr">
        <is>
          <t>Номер сметы</t>
        </is>
      </c>
      <c r="E10" s="117" t="inlineStr">
        <is>
          <t>Наименование сметы</t>
        </is>
      </c>
      <c r="F10" s="117" t="inlineStr">
        <is>
          <t>Сметная стоимость в уровне цен 4 кв. 2019 г., тыс. руб.</t>
        </is>
      </c>
      <c r="G10" s="146" t="n"/>
      <c r="H10" s="146" t="n"/>
      <c r="I10" s="146" t="n"/>
      <c r="J10" s="147" t="n"/>
    </row>
    <row r="11" ht="31.5" customHeight="1" s="80">
      <c r="B11" s="149" t="n"/>
      <c r="C11" s="149" t="n"/>
      <c r="D11" s="149" t="n"/>
      <c r="E11" s="149" t="n"/>
      <c r="F11" s="118" t="inlineStr">
        <is>
          <t>Строительные работы</t>
        </is>
      </c>
      <c r="G11" s="118" t="inlineStr">
        <is>
          <t>Монтажные работы</t>
        </is>
      </c>
      <c r="H11" s="118" t="inlineStr">
        <is>
          <t>Оборудование</t>
        </is>
      </c>
      <c r="I11" s="118" t="inlineStr">
        <is>
          <t>Прочее</t>
        </is>
      </c>
      <c r="J11" s="118" t="inlineStr">
        <is>
          <t>Всего</t>
        </is>
      </c>
    </row>
    <row r="12" ht="55.5" customHeight="1" s="80">
      <c r="B12" s="104" t="n">
        <v>1</v>
      </c>
      <c r="C12" s="103" t="inlineStr">
        <is>
          <t>Переустройство магистрального нефтепровода при переходе ВЛ.</t>
        </is>
      </c>
      <c r="D12" s="103" t="n"/>
      <c r="E12" s="103" t="n"/>
      <c r="F12" s="105" t="n">
        <v>10355.4712822</v>
      </c>
      <c r="G12" s="150" t="n"/>
      <c r="H12" s="104" t="n">
        <v>0</v>
      </c>
      <c r="I12" s="104" t="n"/>
      <c r="J12" s="105" t="n">
        <v>10355.4712822</v>
      </c>
    </row>
    <row r="13" ht="15.75" customHeight="1" s="80">
      <c r="B13" s="115" t="inlineStr">
        <is>
          <t>Всего по объекту:</t>
        </is>
      </c>
      <c r="C13" s="151" t="n"/>
      <c r="D13" s="151" t="n"/>
      <c r="E13" s="152" t="n"/>
      <c r="F13" s="106" t="n"/>
      <c r="G13" s="106" t="n"/>
      <c r="H13" s="106" t="n"/>
      <c r="I13" s="106" t="n"/>
      <c r="J13" s="106" t="n"/>
    </row>
    <row r="14" ht="28.5" customHeight="1" s="80">
      <c r="B14" s="116" t="inlineStr">
        <is>
          <t>Всего по объекту в сопоставимом уровне цен 4 кв. 2019 г:</t>
        </is>
      </c>
      <c r="C14" s="146" t="n"/>
      <c r="D14" s="146" t="n"/>
      <c r="E14" s="147" t="n"/>
      <c r="F14" s="107" t="n">
        <v>10355.4712822</v>
      </c>
      <c r="G14" s="108" t="n"/>
      <c r="H14" s="109" t="n">
        <v>0</v>
      </c>
      <c r="I14" s="109" t="n"/>
      <c r="J14" s="110" t="n">
        <v>10355.4712822</v>
      </c>
    </row>
    <row r="15">
      <c r="B15" s="111" t="n"/>
    </row>
    <row r="17">
      <c r="C17" s="82" t="n"/>
      <c r="D17" s="82" t="n"/>
      <c r="E17" s="82" t="n"/>
    </row>
    <row r="18">
      <c r="C18" s="82" t="inlineStr">
        <is>
          <t>Составил ______________________        М.С. Колотиевская</t>
        </is>
      </c>
      <c r="D18" s="82" t="n"/>
      <c r="E18" s="82" t="n"/>
    </row>
    <row r="19">
      <c r="C19" s="19" t="inlineStr">
        <is>
          <t xml:space="preserve">                         (подпись, инициалы, фамилия)</t>
        </is>
      </c>
      <c r="D19" s="82" t="n"/>
      <c r="E19" s="82" t="n"/>
    </row>
    <row r="20">
      <c r="C20" s="82" t="n"/>
      <c r="D20" s="82" t="n"/>
      <c r="E20" s="82" t="n"/>
    </row>
    <row r="21">
      <c r="C21" s="82" t="inlineStr">
        <is>
          <t>Проверил ______________________      А.В. Костянецкая</t>
        </is>
      </c>
      <c r="D21" s="82" t="n"/>
      <c r="E21" s="82" t="n"/>
    </row>
    <row r="22">
      <c r="C22" s="19" t="inlineStr">
        <is>
          <t xml:space="preserve">                        (подпись, инициалы, фамилия)</t>
        </is>
      </c>
      <c r="D22" s="82" t="n"/>
      <c r="E22" s="82" t="n"/>
    </row>
  </sheetData>
  <mergeCells count="13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1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3:L180"/>
  <sheetViews>
    <sheetView view="pageBreakPreview" topLeftCell="A157" zoomScale="60" zoomScaleNormal="100" workbookViewId="0">
      <selection activeCell="D176" sqref="D176"/>
    </sheetView>
  </sheetViews>
  <sheetFormatPr baseColWidth="8" defaultColWidth="9.140625" defaultRowHeight="15"/>
  <cols>
    <col width="12.5703125" customWidth="1" style="80" min="2" max="2"/>
    <col width="17" customWidth="1" style="80" min="3" max="3"/>
    <col width="49.7109375" customWidth="1" style="80" min="4" max="4"/>
    <col width="16.28515625" customWidth="1" style="80" min="5" max="5"/>
    <col width="20.7109375" customWidth="1" style="80" min="6" max="6"/>
    <col width="16.140625" customWidth="1" style="80" min="7" max="7"/>
    <col width="16.7109375" customWidth="1" style="80" min="8" max="8"/>
  </cols>
  <sheetData>
    <row r="2" s="80"/>
    <row r="3" ht="15.75" customHeight="1" s="80">
      <c r="A3" s="112" t="inlineStr">
        <is>
          <t xml:space="preserve">Приложение № 3 </t>
        </is>
      </c>
    </row>
    <row r="4" ht="18.75" customHeight="1" s="80">
      <c r="A4" s="124" t="inlineStr">
        <is>
          <t>Объектная ресурсная ведомость</t>
        </is>
      </c>
    </row>
    <row r="5" ht="18.75" customHeight="1" s="80">
      <c r="A5" s="124" t="n"/>
      <c r="B5" s="124" t="n"/>
      <c r="C5" s="12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  <c r="I5" s="82" t="n"/>
      <c r="J5" s="82" t="n"/>
      <c r="K5" s="82" t="n"/>
      <c r="L5" s="82" t="n"/>
    </row>
    <row r="6" ht="18.75" customHeight="1" s="80">
      <c r="A6" s="22" t="n"/>
    </row>
    <row r="7" ht="15.75" customHeight="1" s="80">
      <c r="A7" s="126" t="inlineStr">
        <is>
          <t>Наименование разрабатываемого показателя УНЦ -  Ж4 Переустр. НП диам. 720 мм____коэф. 0,330_35 кВ</t>
        </is>
      </c>
    </row>
    <row r="8" ht="15.75" customFormat="1" customHeight="1" s="82">
      <c r="A8" s="24" t="n"/>
      <c r="B8" s="24" t="n"/>
      <c r="C8" s="24" t="n"/>
      <c r="D8" s="24" t="n"/>
      <c r="E8" s="24" t="n"/>
      <c r="F8" s="24" t="n"/>
      <c r="G8" s="24" t="n"/>
      <c r="H8" s="24" t="n"/>
    </row>
    <row r="9" ht="38.25" customFormat="1" customHeight="1" s="82">
      <c r="A9" s="117" t="inlineStr">
        <is>
          <t>п/п</t>
        </is>
      </c>
      <c r="B9" s="117" t="inlineStr">
        <is>
          <t>№ЛСР</t>
        </is>
      </c>
      <c r="C9" s="117" t="inlineStr">
        <is>
          <t>Код ресурса</t>
        </is>
      </c>
      <c r="D9" s="117" t="inlineStr">
        <is>
          <t>Наименование ресурса</t>
        </is>
      </c>
      <c r="E9" s="117" t="inlineStr">
        <is>
          <t>Ед. изм.</t>
        </is>
      </c>
      <c r="F9" s="117" t="inlineStr">
        <is>
          <t>Кол-во единиц по данным объекта-представителя</t>
        </is>
      </c>
      <c r="G9" s="117" t="inlineStr">
        <is>
          <t>Сметная стоимость в ценах на 01.01.2000 (руб.)</t>
        </is>
      </c>
      <c r="H9" s="147" t="n"/>
    </row>
    <row r="10" ht="40.5" customFormat="1" customHeight="1" s="82">
      <c r="A10" s="149" t="n"/>
      <c r="B10" s="149" t="n"/>
      <c r="C10" s="149" t="n"/>
      <c r="D10" s="149" t="n"/>
      <c r="E10" s="149" t="n"/>
      <c r="F10" s="149" t="n"/>
      <c r="G10" s="117" t="inlineStr">
        <is>
          <t>на ед.изм.</t>
        </is>
      </c>
      <c r="H10" s="117" t="inlineStr">
        <is>
          <t>общая</t>
        </is>
      </c>
    </row>
    <row r="11" ht="15.75" customFormat="1" customHeight="1" s="82">
      <c r="A11" s="117" t="n">
        <v>1</v>
      </c>
      <c r="B11" s="117" t="n"/>
      <c r="C11" s="117" t="n">
        <v>2</v>
      </c>
      <c r="D11" s="117" t="inlineStr">
        <is>
          <t>З</t>
        </is>
      </c>
      <c r="E11" s="117" t="n">
        <v>4</v>
      </c>
      <c r="F11" s="117" t="n">
        <v>5</v>
      </c>
      <c r="G11" s="11" t="n">
        <v>6</v>
      </c>
      <c r="H11" s="11" t="n">
        <v>7</v>
      </c>
    </row>
    <row r="12" ht="15.75" customFormat="1" customHeight="1" s="23">
      <c r="A12" s="121" t="inlineStr">
        <is>
          <t>Затраты труда рабочих</t>
        </is>
      </c>
      <c r="B12" s="146" t="n"/>
      <c r="C12" s="146" t="n"/>
      <c r="D12" s="146" t="n"/>
      <c r="E12" s="147" t="n"/>
      <c r="F12" s="121" t="n">
        <v>954.371</v>
      </c>
      <c r="G12" s="26" t="n"/>
      <c r="H12" s="26">
        <f>SUM(H13:H29)</f>
        <v/>
      </c>
    </row>
    <row r="13" ht="15.75" customFormat="1" customHeight="1" s="82">
      <c r="A13" s="122" t="n">
        <v>1</v>
      </c>
      <c r="B13" s="122" t="n"/>
      <c r="C13" s="123" t="inlineStr">
        <is>
          <t>1-100-38</t>
        </is>
      </c>
      <c r="D13" s="123" t="inlineStr">
        <is>
          <t>Затраты труда рабочих (ср 3,8)</t>
        </is>
      </c>
      <c r="E13" s="122" t="inlineStr">
        <is>
          <t>чел.-ч</t>
        </is>
      </c>
      <c r="F13" s="122" t="n">
        <v>197.4268</v>
      </c>
      <c r="G13" s="127" t="n">
        <v>9.4</v>
      </c>
      <c r="H13" s="127">
        <f>ROUND(F13*G13,2)</f>
        <v/>
      </c>
    </row>
    <row r="14" ht="15.75" customFormat="1" customHeight="1" s="82">
      <c r="A14" s="122" t="n">
        <v>2</v>
      </c>
      <c r="B14" s="122" t="n"/>
      <c r="C14" s="123" t="inlineStr">
        <is>
          <t>1-100-20</t>
        </is>
      </c>
      <c r="D14" s="123" t="inlineStr">
        <is>
          <t>Затраты труда рабочих (ср 2)</t>
        </is>
      </c>
      <c r="E14" s="122" t="inlineStr">
        <is>
          <t>чел.-ч</t>
        </is>
      </c>
      <c r="F14" s="122" t="n">
        <v>200.17171</v>
      </c>
      <c r="G14" s="127" t="n">
        <v>7.8</v>
      </c>
      <c r="H14" s="127">
        <f>ROUND(F14*G14,2)</f>
        <v/>
      </c>
    </row>
    <row r="15" ht="15.75" customFormat="1" customHeight="1" s="82">
      <c r="A15" s="122" t="n">
        <v>3</v>
      </c>
      <c r="B15" s="122" t="n"/>
      <c r="C15" s="123" t="inlineStr">
        <is>
          <t>1-100-50</t>
        </is>
      </c>
      <c r="D15" s="123" t="inlineStr">
        <is>
          <t>Затраты труда рабочих (ср 5)</t>
        </is>
      </c>
      <c r="E15" s="122" t="inlineStr">
        <is>
          <t>чел.-ч</t>
        </is>
      </c>
      <c r="F15" s="122" t="n">
        <v>123.51994</v>
      </c>
      <c r="G15" s="127" t="n">
        <v>11.09</v>
      </c>
      <c r="H15" s="127">
        <f>ROUND(F15*G15,2)</f>
        <v/>
      </c>
    </row>
    <row r="16" ht="15.75" customFormat="1" customHeight="1" s="82">
      <c r="A16" s="122" t="n">
        <v>4</v>
      </c>
      <c r="B16" s="122" t="n"/>
      <c r="C16" s="123" t="inlineStr">
        <is>
          <t>1-100-30</t>
        </is>
      </c>
      <c r="D16" s="123" t="inlineStr">
        <is>
          <t>Затраты труда рабочих (ср 3)</t>
        </is>
      </c>
      <c r="E16" s="122" t="inlineStr">
        <is>
          <t>чел.-ч</t>
        </is>
      </c>
      <c r="F16" s="122" t="n">
        <v>90.16231000000001</v>
      </c>
      <c r="G16" s="127" t="n">
        <v>8.529999999999999</v>
      </c>
      <c r="H16" s="127">
        <f>ROUND(F16*G16,2)</f>
        <v/>
      </c>
    </row>
    <row r="17" ht="15.75" customFormat="1" customHeight="1" s="82">
      <c r="A17" s="122" t="n">
        <v>5</v>
      </c>
      <c r="B17" s="122" t="n"/>
      <c r="C17" s="123" t="inlineStr">
        <is>
          <t>1-100-15</t>
        </is>
      </c>
      <c r="D17" s="123" t="inlineStr">
        <is>
          <t>Затраты труда рабочих (ср 1,5)</t>
        </is>
      </c>
      <c r="E17" s="122" t="inlineStr">
        <is>
          <t>чел.-ч</t>
        </is>
      </c>
      <c r="F17" s="122" t="n">
        <v>96.9075</v>
      </c>
      <c r="G17" s="127" t="n">
        <v>7.5</v>
      </c>
      <c r="H17" s="127">
        <f>ROUND(F17*G17,2)</f>
        <v/>
      </c>
    </row>
    <row r="18" ht="15.75" customFormat="1" customHeight="1" s="82">
      <c r="A18" s="122" t="n">
        <v>6</v>
      </c>
      <c r="B18" s="122" t="n"/>
      <c r="C18" s="123" t="inlineStr">
        <is>
          <t>1-100-53</t>
        </is>
      </c>
      <c r="D18" s="123" t="inlineStr">
        <is>
          <t>Затраты труда рабочих (ср 5,3)</t>
        </is>
      </c>
      <c r="E18" s="122" t="inlineStr">
        <is>
          <t>чел.-ч</t>
        </is>
      </c>
      <c r="F18" s="122" t="n">
        <v>60.29772</v>
      </c>
      <c r="G18" s="127" t="n">
        <v>11.64</v>
      </c>
      <c r="H18" s="127">
        <f>ROUND(F18*G18,2)</f>
        <v/>
      </c>
    </row>
    <row r="19" ht="15.75" customFormat="1" customHeight="1" s="82">
      <c r="A19" s="122" t="n">
        <v>7</v>
      </c>
      <c r="B19" s="122" t="n"/>
      <c r="C19" s="123" t="inlineStr">
        <is>
          <t>1-100-36</t>
        </is>
      </c>
      <c r="D19" s="123" t="inlineStr">
        <is>
          <t>Затраты труда рабочих (ср 3,6)</t>
        </is>
      </c>
      <c r="E19" s="122" t="inlineStr">
        <is>
          <t>чел.-ч</t>
        </is>
      </c>
      <c r="F19" s="122" t="n">
        <v>36.6074</v>
      </c>
      <c r="G19" s="127" t="n">
        <v>9.18</v>
      </c>
      <c r="H19" s="127">
        <f>ROUND(F19*G19,2)</f>
        <v/>
      </c>
    </row>
    <row r="20" ht="15.75" customFormat="1" customHeight="1" s="82">
      <c r="A20" s="122" t="n">
        <v>8</v>
      </c>
      <c r="B20" s="122" t="n"/>
      <c r="C20" s="123" t="inlineStr">
        <is>
          <t>1-100-49</t>
        </is>
      </c>
      <c r="D20" s="123" t="inlineStr">
        <is>
          <t>Затраты труда рабочих (ср 4,9)</t>
        </is>
      </c>
      <c r="E20" s="122" t="inlineStr">
        <is>
          <t>чел.-ч</t>
        </is>
      </c>
      <c r="F20" s="122" t="n">
        <v>28.9476</v>
      </c>
      <c r="G20" s="127" t="n">
        <v>10.94</v>
      </c>
      <c r="H20" s="127">
        <f>ROUND(F20*G20,2)</f>
        <v/>
      </c>
    </row>
    <row r="21" ht="15.75" customFormat="1" customHeight="1" s="82">
      <c r="A21" s="122" t="n">
        <v>9</v>
      </c>
      <c r="B21" s="122" t="n"/>
      <c r="C21" s="123" t="inlineStr">
        <is>
          <t>1-100-40</t>
        </is>
      </c>
      <c r="D21" s="123" t="inlineStr">
        <is>
          <t>Затраты труда рабочих (ср 4)</t>
        </is>
      </c>
      <c r="E21" s="122" t="inlineStr">
        <is>
          <t>чел.-ч</t>
        </is>
      </c>
      <c r="F21" s="122" t="n">
        <v>27.85717</v>
      </c>
      <c r="G21" s="127" t="n">
        <v>9.619999999999999</v>
      </c>
      <c r="H21" s="127">
        <f>ROUND(F21*G21,2)</f>
        <v/>
      </c>
    </row>
    <row r="22" ht="15.75" customFormat="1" customHeight="1" s="82">
      <c r="A22" s="122" t="n">
        <v>10</v>
      </c>
      <c r="B22" s="122" t="n"/>
      <c r="C22" s="123" t="inlineStr">
        <is>
          <t>1-100-35</t>
        </is>
      </c>
      <c r="D22" s="123" t="inlineStr">
        <is>
          <t>Затраты труда рабочих (ср 3,5)</t>
        </is>
      </c>
      <c r="E22" s="122" t="inlineStr">
        <is>
          <t>чел.-ч</t>
        </is>
      </c>
      <c r="F22" s="122" t="n">
        <v>29.2512</v>
      </c>
      <c r="G22" s="127" t="n">
        <v>9.07</v>
      </c>
      <c r="H22" s="127">
        <f>ROUND(F22*G22,2)</f>
        <v/>
      </c>
    </row>
    <row r="23" ht="15.75" customFormat="1" customHeight="1" s="82">
      <c r="A23" s="122" t="n">
        <v>11</v>
      </c>
      <c r="B23" s="122" t="n"/>
      <c r="C23" s="123" t="inlineStr">
        <is>
          <t>1-100-46</t>
        </is>
      </c>
      <c r="D23" s="123" t="inlineStr">
        <is>
          <t>Затраты труда рабочих (ср 4,6)</t>
        </is>
      </c>
      <c r="E23" s="122" t="inlineStr">
        <is>
          <t>чел.-ч</t>
        </is>
      </c>
      <c r="F23" s="122" t="n">
        <v>21.8064</v>
      </c>
      <c r="G23" s="127" t="n">
        <v>10.5</v>
      </c>
      <c r="H23" s="127">
        <f>ROUND(F23*G23,2)</f>
        <v/>
      </c>
    </row>
    <row r="24" ht="15.75" customFormat="1" customHeight="1" s="82">
      <c r="A24" s="122" t="n">
        <v>12</v>
      </c>
      <c r="B24" s="122" t="n"/>
      <c r="C24" s="123" t="inlineStr">
        <is>
          <t>1-100-47</t>
        </is>
      </c>
      <c r="D24" s="123" t="inlineStr">
        <is>
          <t>Затраты труда рабочих (ср 4,7)</t>
        </is>
      </c>
      <c r="E24" s="122" t="inlineStr">
        <is>
          <t>чел.-ч</t>
        </is>
      </c>
      <c r="F24" s="122" t="n">
        <v>13.4706</v>
      </c>
      <c r="G24" s="127" t="n">
        <v>10.65</v>
      </c>
      <c r="H24" s="127">
        <f>ROUND(F24*G24,2)</f>
        <v/>
      </c>
    </row>
    <row r="25" ht="15.75" customFormat="1" customHeight="1" s="82">
      <c r="A25" s="122" t="n">
        <v>13</v>
      </c>
      <c r="B25" s="122" t="n"/>
      <c r="C25" s="123" t="inlineStr">
        <is>
          <t>1-100-24</t>
        </is>
      </c>
      <c r="D25" s="123" t="inlineStr">
        <is>
          <t>Затраты труда рабочих (ср 2,4)</t>
        </is>
      </c>
      <c r="E25" s="122" t="inlineStr">
        <is>
          <t>чел.-ч</t>
        </is>
      </c>
      <c r="F25" s="122" t="n">
        <v>15.21053</v>
      </c>
      <c r="G25" s="127" t="n">
        <v>8.09</v>
      </c>
      <c r="H25" s="127">
        <f>ROUND(F25*G25,2)</f>
        <v/>
      </c>
    </row>
    <row r="26" ht="15.75" customFormat="1" customHeight="1" s="82">
      <c r="A26" s="122" t="n">
        <v>14</v>
      </c>
      <c r="B26" s="122" t="n"/>
      <c r="C26" s="123" t="inlineStr">
        <is>
          <t>1-100-48</t>
        </is>
      </c>
      <c r="D26" s="123" t="inlineStr">
        <is>
          <t>Затраты труда рабочих (ср 4,8)</t>
        </is>
      </c>
      <c r="E26" s="122" t="inlineStr">
        <is>
          <t>чел.-ч</t>
        </is>
      </c>
      <c r="F26" s="122" t="n">
        <v>6.51986</v>
      </c>
      <c r="G26" s="127" t="n">
        <v>10.79</v>
      </c>
      <c r="H26" s="127">
        <f>ROUND(F26*G26,2)</f>
        <v/>
      </c>
    </row>
    <row r="27" ht="15.75" customFormat="1" customHeight="1" s="82">
      <c r="A27" s="122" t="n">
        <v>15</v>
      </c>
      <c r="B27" s="122" t="n"/>
      <c r="C27" s="123" t="inlineStr">
        <is>
          <t>1-100-32</t>
        </is>
      </c>
      <c r="D27" s="123" t="inlineStr">
        <is>
          <t>Затраты труда рабочих (ср 3,2)</t>
        </is>
      </c>
      <c r="E27" s="122" t="inlineStr">
        <is>
          <t>чел.-ч</t>
        </is>
      </c>
      <c r="F27" s="122" t="n">
        <v>3.77047</v>
      </c>
      <c r="G27" s="127" t="n">
        <v>8.74</v>
      </c>
      <c r="H27" s="127">
        <f>ROUND(F27*G27,2)</f>
        <v/>
      </c>
    </row>
    <row r="28" ht="15.75" customFormat="1" customHeight="1" s="82">
      <c r="A28" s="122" t="n">
        <v>16</v>
      </c>
      <c r="B28" s="122" t="n"/>
      <c r="C28" s="123" t="inlineStr">
        <is>
          <t>1-100-23</t>
        </is>
      </c>
      <c r="D28" s="123" t="inlineStr">
        <is>
          <t>Затраты труда рабочих (ср 2,3)</t>
        </is>
      </c>
      <c r="E28" s="122" t="inlineStr">
        <is>
          <t>чел.-ч</t>
        </is>
      </c>
      <c r="F28" s="122" t="n">
        <v>1.8576</v>
      </c>
      <c r="G28" s="127" t="n">
        <v>8.02</v>
      </c>
      <c r="H28" s="127">
        <f>ROUND(F28*G28,2)</f>
        <v/>
      </c>
    </row>
    <row r="29" ht="15.75" customFormat="1" customHeight="1" s="82">
      <c r="A29" s="122" t="n">
        <v>17</v>
      </c>
      <c r="B29" s="122" t="n"/>
      <c r="C29" s="123" t="inlineStr">
        <is>
          <t>1-100-43</t>
        </is>
      </c>
      <c r="D29" s="123" t="inlineStr">
        <is>
          <t>Затраты труда рабочих (ср 4,3)</t>
        </is>
      </c>
      <c r="E29" s="122" t="inlineStr">
        <is>
          <t>чел.-ч</t>
        </is>
      </c>
      <c r="F29" s="122" t="n">
        <v>0.58619</v>
      </c>
      <c r="G29" s="127" t="n">
        <v>10.06</v>
      </c>
      <c r="H29" s="127">
        <f>ROUND(F29*G29,2)</f>
        <v/>
      </c>
    </row>
    <row r="30" ht="15.75" customFormat="1" customHeight="1" s="23">
      <c r="A30" s="121" t="inlineStr">
        <is>
          <t>Затраты труда машинистов</t>
        </is>
      </c>
      <c r="B30" s="146" t="n"/>
      <c r="C30" s="146" t="n"/>
      <c r="D30" s="146" t="n"/>
      <c r="E30" s="147" t="n"/>
      <c r="F30" s="121" t="n">
        <v>478.57101</v>
      </c>
      <c r="G30" s="26" t="n"/>
      <c r="H30" s="26">
        <f>SUM(H31:H31)</f>
        <v/>
      </c>
    </row>
    <row r="31" ht="15.75" customFormat="1" customHeight="1" s="82">
      <c r="A31" s="122" t="n">
        <v>18</v>
      </c>
      <c r="B31" s="122" t="n"/>
      <c r="C31" s="123" t="n">
        <v>2</v>
      </c>
      <c r="D31" s="123" t="inlineStr">
        <is>
          <t>Затраты труда машинистов</t>
        </is>
      </c>
      <c r="E31" s="122" t="inlineStr">
        <is>
          <t>чел.-ч</t>
        </is>
      </c>
      <c r="F31" s="122" t="n">
        <v>478.57101</v>
      </c>
      <c r="G31" s="127" t="n">
        <v>11.96</v>
      </c>
      <c r="H31" s="127">
        <f>ROUND(F31*G31,2)</f>
        <v/>
      </c>
    </row>
    <row r="32" ht="15.75" customFormat="1" customHeight="1" s="23">
      <c r="A32" s="121" t="inlineStr">
        <is>
          <t>Машины и механизмы</t>
        </is>
      </c>
      <c r="B32" s="146" t="n"/>
      <c r="C32" s="146" t="n"/>
      <c r="D32" s="146" t="n"/>
      <c r="E32" s="147" t="n"/>
      <c r="F32" s="121" t="n"/>
      <c r="G32" s="26" t="n"/>
      <c r="H32" s="26">
        <f>SUM(H33:H90)</f>
        <v/>
      </c>
    </row>
    <row r="33" ht="31.5" customFormat="1" customHeight="1" s="82">
      <c r="A33" s="122" t="n">
        <v>19</v>
      </c>
      <c r="B33" s="122" t="n"/>
      <c r="C33" s="30" t="inlineStr">
        <is>
          <t>91.10.05-008</t>
        </is>
      </c>
      <c r="D33" s="123" t="inlineStr">
        <is>
          <t>Трубоукладчики, номинальная грузоподъемность 20 т</t>
        </is>
      </c>
      <c r="E33" s="122" t="inlineStr">
        <is>
          <t>маш.час</t>
        </is>
      </c>
      <c r="F33" s="122" t="n">
        <v>107.34515</v>
      </c>
      <c r="G33" s="127" t="n">
        <v>330.04</v>
      </c>
      <c r="H33" s="127">
        <f>ROUND(F33*G33,2)</f>
        <v/>
      </c>
    </row>
    <row r="34" ht="31.5" customFormat="1" customHeight="1" s="82">
      <c r="A34" s="122" t="n">
        <v>20</v>
      </c>
      <c r="B34" s="122" t="n"/>
      <c r="C34" s="30" t="inlineStr">
        <is>
          <t>91.10.05-009</t>
        </is>
      </c>
      <c r="D34" s="123" t="inlineStr">
        <is>
          <t>Трубоукладчики, номинальная грузоподъемность 30 т</t>
        </is>
      </c>
      <c r="E34" s="122" t="inlineStr">
        <is>
          <t>маш.час</t>
        </is>
      </c>
      <c r="F34" s="122" t="n">
        <v>14.49391</v>
      </c>
      <c r="G34" s="127" t="n">
        <v>482.12</v>
      </c>
      <c r="H34" s="127">
        <f>ROUND(F34*G34,2)</f>
        <v/>
      </c>
    </row>
    <row r="35" ht="31.5" customFormat="1" customHeight="1" s="82">
      <c r="A35" s="122" t="n">
        <v>21</v>
      </c>
      <c r="B35" s="122" t="n"/>
      <c r="C35" s="30" t="inlineStr">
        <is>
          <t>91.17.02-051</t>
        </is>
      </c>
      <c r="D35" s="123" t="inlineStr">
        <is>
          <t>Лаборатории для контроля сварных соединений высокопроходимые, передвижные</t>
        </is>
      </c>
      <c r="E35" s="122" t="inlineStr">
        <is>
          <t>маш.час</t>
        </is>
      </c>
      <c r="F35" s="122" t="n">
        <v>16.5396</v>
      </c>
      <c r="G35" s="127" t="n">
        <v>330.91</v>
      </c>
      <c r="H35" s="127">
        <f>ROUND(F35*G35,2)</f>
        <v/>
      </c>
    </row>
    <row r="36" ht="31.5" customFormat="1" customHeight="1" s="82">
      <c r="A36" s="122" t="n">
        <v>22</v>
      </c>
      <c r="B36" s="122" t="n"/>
      <c r="C36" s="30" t="inlineStr">
        <is>
          <t>91.10.01-003</t>
        </is>
      </c>
      <c r="D36" s="123" t="inlineStr">
        <is>
          <t>Агрегаты наполнительно-опрессовочные до 500 м3/ч</t>
        </is>
      </c>
      <c r="E36" s="122" t="inlineStr">
        <is>
          <t>маш.час</t>
        </is>
      </c>
      <c r="F36" s="122" t="n">
        <v>12.6083</v>
      </c>
      <c r="G36" s="127" t="n">
        <v>422.53</v>
      </c>
      <c r="H36" s="127">
        <f>ROUND(F36*G36,2)</f>
        <v/>
      </c>
    </row>
    <row r="37" ht="31.5" customFormat="1" customHeight="1" s="82">
      <c r="A37" s="122" t="n">
        <v>23</v>
      </c>
      <c r="B37" s="122" t="n"/>
      <c r="C37" s="30" t="inlineStr">
        <is>
          <t>91.16.01-006</t>
        </is>
      </c>
      <c r="D37" s="123" t="inlineStr">
        <is>
          <t>Электростанции передвижные, мощность 100 кВт</t>
        </is>
      </c>
      <c r="E37" s="122" t="inlineStr">
        <is>
          <t>маш.час</t>
        </is>
      </c>
      <c r="F37" s="122" t="n">
        <v>24.56</v>
      </c>
      <c r="G37" s="127" t="n">
        <v>166.18</v>
      </c>
      <c r="H37" s="127">
        <f>ROUND(F37*G37,2)</f>
        <v/>
      </c>
    </row>
    <row r="38" ht="31.5" customFormat="1" customHeight="1" s="82">
      <c r="A38" s="122" t="n">
        <v>24</v>
      </c>
      <c r="B38" s="122" t="n"/>
      <c r="C38" s="30" t="inlineStr">
        <is>
          <t>91.16.01-004</t>
        </is>
      </c>
      <c r="D38" s="123" t="inlineStr">
        <is>
          <t>Электростанции передвижные, мощность 60 кВт</t>
        </is>
      </c>
      <c r="E38" s="122" t="inlineStr">
        <is>
          <t>маш.час</t>
        </is>
      </c>
      <c r="F38" s="122" t="n">
        <v>28.39538</v>
      </c>
      <c r="G38" s="127" t="n">
        <v>116.79</v>
      </c>
      <c r="H38" s="127">
        <f>ROUND(F38*G38,2)</f>
        <v/>
      </c>
    </row>
    <row r="39" ht="31.5" customFormat="1" customHeight="1" s="82">
      <c r="A39" s="122" t="n">
        <v>25</v>
      </c>
      <c r="B39" s="122" t="n"/>
      <c r="C39" s="30" t="inlineStr">
        <is>
          <t>91.10.01-001</t>
        </is>
      </c>
      <c r="D39" s="123" t="inlineStr">
        <is>
          <t>Агрегаты наполнительно-опрессовочные до 70 м3/ч</t>
        </is>
      </c>
      <c r="E39" s="122" t="inlineStr">
        <is>
          <t>маш.час</t>
        </is>
      </c>
      <c r="F39" s="122" t="n">
        <v>23.0868</v>
      </c>
      <c r="G39" s="127" t="n">
        <v>129.8</v>
      </c>
      <c r="H39" s="127">
        <f>ROUND(F39*G39,2)</f>
        <v/>
      </c>
    </row>
    <row r="40" ht="31.5" customFormat="1" customHeight="1" s="82">
      <c r="A40" s="122" t="n">
        <v>26</v>
      </c>
      <c r="B40" s="122" t="n"/>
      <c r="C40" s="30" t="inlineStr">
        <is>
          <t>91.05.05-015</t>
        </is>
      </c>
      <c r="D40" s="123" t="inlineStr">
        <is>
          <t>Краны на автомобильном ходу, грузоподъемность 16 т</t>
        </is>
      </c>
      <c r="E40" s="122" t="inlineStr">
        <is>
          <t>маш.час</t>
        </is>
      </c>
      <c r="F40" s="122" t="n">
        <v>22.1569</v>
      </c>
      <c r="G40" s="127" t="n">
        <v>115.4</v>
      </c>
      <c r="H40" s="127">
        <f>ROUND(F40*G40,2)</f>
        <v/>
      </c>
    </row>
    <row r="41" ht="31.5" customFormat="1" customHeight="1" s="82">
      <c r="A41" s="122" t="n">
        <v>27</v>
      </c>
      <c r="B41" s="122" t="n"/>
      <c r="C41" s="30" t="inlineStr">
        <is>
          <t>91.16.01-005</t>
        </is>
      </c>
      <c r="D41" s="123" t="inlineStr">
        <is>
          <t>Электростанции передвижные, мощность 75 кВт</t>
        </is>
      </c>
      <c r="E41" s="122" t="inlineStr">
        <is>
          <t>маш.час</t>
        </is>
      </c>
      <c r="F41" s="122" t="n">
        <v>18.91642</v>
      </c>
      <c r="G41" s="127" t="n">
        <v>133.8</v>
      </c>
      <c r="H41" s="127">
        <f>ROUND(F41*G41,2)</f>
        <v/>
      </c>
    </row>
    <row r="42" ht="31.5" customFormat="1" customHeight="1" s="82">
      <c r="A42" s="122" t="n">
        <v>28</v>
      </c>
      <c r="B42" s="122" t="n"/>
      <c r="C42" s="30" t="inlineStr">
        <is>
          <t>91.15.02-023</t>
        </is>
      </c>
      <c r="D42" s="123" t="inlineStr">
        <is>
          <t>Тракторы на гусеничном ходу, мощность 59 кВт (80 л.с.)</t>
        </is>
      </c>
      <c r="E42" s="122" t="inlineStr">
        <is>
          <t>маш.час</t>
        </is>
      </c>
      <c r="F42" s="122" t="n">
        <v>31.98136</v>
      </c>
      <c r="G42" s="127" t="n">
        <v>77.2</v>
      </c>
      <c r="H42" s="127">
        <f>ROUND(F42*G42,2)</f>
        <v/>
      </c>
    </row>
    <row r="43" ht="31.5" customFormat="1" customHeight="1" s="82">
      <c r="A43" s="122" t="n">
        <v>29</v>
      </c>
      <c r="B43" s="122" t="n"/>
      <c r="C43" s="30" t="inlineStr">
        <is>
          <t>91.17.01-004</t>
        </is>
      </c>
      <c r="D43" s="123" t="inlineStr">
        <is>
          <t>Выпрямители сварочные, номинальный сварочный ток 60-500 А</t>
        </is>
      </c>
      <c r="E43" s="122" t="inlineStr">
        <is>
          <t>маш.час</t>
        </is>
      </c>
      <c r="F43" s="122" t="n">
        <v>134.6603</v>
      </c>
      <c r="G43" s="127" t="n">
        <v>15.13</v>
      </c>
      <c r="H43" s="127">
        <f>ROUND(F43*G43,2)</f>
        <v/>
      </c>
    </row>
    <row r="44" ht="15.75" customFormat="1" customHeight="1" s="82">
      <c r="A44" s="122" t="n">
        <v>30</v>
      </c>
      <c r="B44" s="122" t="n"/>
      <c r="C44" s="30" t="inlineStr">
        <is>
          <t>91.01.01-036</t>
        </is>
      </c>
      <c r="D44" s="123" t="inlineStr">
        <is>
          <t>Бульдозеры, мощность 96 кВт (130 л.с.)</t>
        </is>
      </c>
      <c r="E44" s="122" t="inlineStr">
        <is>
          <t>маш.час</t>
        </is>
      </c>
      <c r="F44" s="122" t="n">
        <v>21.648</v>
      </c>
      <c r="G44" s="127" t="n">
        <v>94.05</v>
      </c>
      <c r="H44" s="127">
        <f>ROUND(F44*G44,2)</f>
        <v/>
      </c>
    </row>
    <row r="45" ht="31.5" customFormat="1" customHeight="1" s="82">
      <c r="A45" s="122" t="n">
        <v>31</v>
      </c>
      <c r="B45" s="122" t="n"/>
      <c r="C45" s="30" t="inlineStr">
        <is>
          <t>91.15.02-024</t>
        </is>
      </c>
      <c r="D45" s="123" t="inlineStr">
        <is>
          <t>Тракторы на гусеничном ходу, мощность 79 кВт (108 л.с.)</t>
        </is>
      </c>
      <c r="E45" s="122" t="inlineStr">
        <is>
          <t>маш.час</t>
        </is>
      </c>
      <c r="F45" s="122" t="n">
        <v>21.43881</v>
      </c>
      <c r="G45" s="127" t="n">
        <v>83.09999999999999</v>
      </c>
      <c r="H45" s="127">
        <f>ROUND(F45*G45,2)</f>
        <v/>
      </c>
    </row>
    <row r="46" ht="31.5" customFormat="1" customHeight="1" s="82">
      <c r="A46" s="122" t="n">
        <v>32</v>
      </c>
      <c r="B46" s="122" t="n"/>
      <c r="C46" s="30" t="inlineStr">
        <is>
          <t>91.01.05-085</t>
        </is>
      </c>
      <c r="D46" s="123" t="inlineStr">
        <is>
          <t>Экскаваторы одноковшовые дизельные на гусеничном ходу, емкость ковша 0,5 м3</t>
        </is>
      </c>
      <c r="E46" s="122" t="inlineStr">
        <is>
          <t>маш.час</t>
        </is>
      </c>
      <c r="F46" s="122" t="n">
        <v>15.8755</v>
      </c>
      <c r="G46" s="127" t="n">
        <v>100</v>
      </c>
      <c r="H46" s="127">
        <f>ROUND(F46*G46,2)</f>
        <v/>
      </c>
    </row>
    <row r="47" ht="15.75" customFormat="1" customHeight="1" s="82">
      <c r="A47" s="122" t="n">
        <v>33</v>
      </c>
      <c r="B47" s="122" t="n"/>
      <c r="C47" s="30" t="inlineStr">
        <is>
          <t>91.01.01-038</t>
        </is>
      </c>
      <c r="D47" s="123" t="inlineStr">
        <is>
          <t>Бульдозеры, мощность 121 кВт (165 л.с.)</t>
        </is>
      </c>
      <c r="E47" s="122" t="inlineStr">
        <is>
          <t>маш.час</t>
        </is>
      </c>
      <c r="F47" s="122" t="n">
        <v>12.11573</v>
      </c>
      <c r="G47" s="127" t="n">
        <v>122.4</v>
      </c>
      <c r="H47" s="127">
        <f>ROUND(F47*G47,2)</f>
        <v/>
      </c>
    </row>
    <row r="48" ht="31.5" customFormat="1" customHeight="1" s="82">
      <c r="A48" s="122" t="n">
        <v>34</v>
      </c>
      <c r="B48" s="122" t="n"/>
      <c r="C48" s="30" t="inlineStr">
        <is>
          <t>91.01.05-086</t>
        </is>
      </c>
      <c r="D48" s="123" t="inlineStr">
        <is>
          <t>Экскаваторы одноковшовые дизельные на гусеничном ходу, емкость ковша 0,65 м3</t>
        </is>
      </c>
      <c r="E48" s="122" t="inlineStr">
        <is>
          <t>маш.час</t>
        </is>
      </c>
      <c r="F48" s="122" t="n">
        <v>12.1758</v>
      </c>
      <c r="G48" s="127" t="n">
        <v>115.27</v>
      </c>
      <c r="H48" s="127">
        <f>ROUND(F48*G48,2)</f>
        <v/>
      </c>
    </row>
    <row r="49" ht="47.25" customFormat="1" customHeight="1" s="82">
      <c r="A49" s="122" t="n">
        <v>35</v>
      </c>
      <c r="B49" s="122" t="n"/>
      <c r="C49" s="30" t="inlineStr">
        <is>
          <t>91.18.01-007</t>
        </is>
      </c>
      <c r="D49" s="123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49" s="122" t="inlineStr">
        <is>
          <t>маш.час</t>
        </is>
      </c>
      <c r="F49" s="122" t="n">
        <v>15.03044</v>
      </c>
      <c r="G49" s="127" t="n">
        <v>90</v>
      </c>
      <c r="H49" s="127">
        <f>ROUND(F49*G49,2)</f>
        <v/>
      </c>
    </row>
    <row r="50" ht="31.5" customFormat="1" customHeight="1" s="82">
      <c r="A50" s="122" t="n">
        <v>36</v>
      </c>
      <c r="B50" s="122" t="n"/>
      <c r="C50" s="30" t="inlineStr">
        <is>
          <t>91.19.12-061</t>
        </is>
      </c>
      <c r="D50" s="123" t="inlineStr">
        <is>
          <t>Установки для открытого водоотлива на базе трактора 700 м3/час</t>
        </is>
      </c>
      <c r="E50" s="122" t="inlineStr">
        <is>
          <t>маш.час</t>
        </is>
      </c>
      <c r="F50" s="122" t="n">
        <v>8.065200000000001</v>
      </c>
      <c r="G50" s="127" t="n">
        <v>162</v>
      </c>
      <c r="H50" s="127">
        <f>ROUND(F50*G50,2)</f>
        <v/>
      </c>
    </row>
    <row r="51" ht="31.5" customFormat="1" customHeight="1" s="82">
      <c r="A51" s="122" t="n">
        <v>37</v>
      </c>
      <c r="B51" s="122" t="n"/>
      <c r="C51" s="30" t="inlineStr">
        <is>
          <t>91.17.04-033</t>
        </is>
      </c>
      <c r="D51" s="123" t="inlineStr">
        <is>
          <t>Агрегаты сварочные двухпостовые для ручной сварки на тракторе, мощность 79 кВт (108 л.с.)</t>
        </is>
      </c>
      <c r="E51" s="122" t="inlineStr">
        <is>
          <t>маш.час</t>
        </is>
      </c>
      <c r="F51" s="122" t="n">
        <v>9.5205</v>
      </c>
      <c r="G51" s="127" t="n">
        <v>133.97</v>
      </c>
      <c r="H51" s="127">
        <f>ROUND(F51*G51,2)</f>
        <v/>
      </c>
    </row>
    <row r="52" ht="31.5" customFormat="1" customHeight="1" s="82">
      <c r="A52" s="122" t="n">
        <v>38</v>
      </c>
      <c r="B52" s="122" t="n"/>
      <c r="C52" s="30" t="inlineStr">
        <is>
          <t>91.10.01-004</t>
        </is>
      </c>
      <c r="D52" s="123" t="inlineStr">
        <is>
          <t>Агрегаты опрессовочные с подачей при наполнении 25 м3/ч</t>
        </is>
      </c>
      <c r="E52" s="122" t="inlineStr">
        <is>
          <t>маш.час</t>
        </is>
      </c>
      <c r="F52" s="122" t="n">
        <v>12.64608</v>
      </c>
      <c r="G52" s="127" t="n">
        <v>97.59999999999999</v>
      </c>
      <c r="H52" s="127">
        <f>ROUND(F52*G52,2)</f>
        <v/>
      </c>
    </row>
    <row r="53" ht="31.5" customFormat="1" customHeight="1" s="82">
      <c r="A53" s="122" t="n">
        <v>39</v>
      </c>
      <c r="B53" s="122" t="n"/>
      <c r="C53" s="30" t="inlineStr">
        <is>
          <t>91.10.05-005</t>
        </is>
      </c>
      <c r="D53" s="123" t="inlineStr">
        <is>
          <t>Трубоукладчики для труб диаметром до 700 мм, грузоподъемность 12,5 т</t>
        </is>
      </c>
      <c r="E53" s="122" t="inlineStr">
        <is>
          <t>маш.час</t>
        </is>
      </c>
      <c r="F53" s="122" t="n">
        <v>7.25855</v>
      </c>
      <c r="G53" s="127" t="n">
        <v>152.5</v>
      </c>
      <c r="H53" s="127">
        <f>ROUND(F53*G53,2)</f>
        <v/>
      </c>
    </row>
    <row r="54" ht="31.5" customFormat="1" customHeight="1" s="82">
      <c r="A54" s="122" t="n">
        <v>40</v>
      </c>
      <c r="B54" s="122" t="n"/>
      <c r="C54" s="30" t="inlineStr">
        <is>
          <t>91.12.02-002</t>
        </is>
      </c>
      <c r="D54" s="123" t="inlineStr">
        <is>
          <t>Корчеватели-собиратели с трактором, мощность 79 кВт (108 л.с.)</t>
        </is>
      </c>
      <c r="E54" s="122" t="inlineStr">
        <is>
          <t>маш.час</t>
        </is>
      </c>
      <c r="F54" s="122" t="n">
        <v>9.91512</v>
      </c>
      <c r="G54" s="127" t="n">
        <v>88.91</v>
      </c>
      <c r="H54" s="127">
        <f>ROUND(F54*G54,2)</f>
        <v/>
      </c>
    </row>
    <row r="55" ht="15.75" customFormat="1" customHeight="1" s="82">
      <c r="A55" s="122" t="n">
        <v>41</v>
      </c>
      <c r="B55" s="122" t="n"/>
      <c r="C55" s="30" t="inlineStr">
        <is>
          <t>91.01.01-039</t>
        </is>
      </c>
      <c r="D55" s="123" t="inlineStr">
        <is>
          <t>Бульдозеры, мощность 132 кВт (180 л.с.)</t>
        </is>
      </c>
      <c r="E55" s="122" t="inlineStr">
        <is>
          <t>маш.час</t>
        </is>
      </c>
      <c r="F55" s="122" t="n">
        <v>4.48175</v>
      </c>
      <c r="G55" s="127" t="n">
        <v>132.79</v>
      </c>
      <c r="H55" s="127">
        <f>ROUND(F55*G55,2)</f>
        <v/>
      </c>
    </row>
    <row r="56" ht="15.75" customFormat="1" customHeight="1" s="82">
      <c r="A56" s="122" t="n">
        <v>42</v>
      </c>
      <c r="B56" s="122" t="n"/>
      <c r="C56" s="30" t="inlineStr">
        <is>
          <t>91.14.06-012</t>
        </is>
      </c>
      <c r="D56" s="123" t="inlineStr">
        <is>
          <t>Трубоплетевозы на автомобильном ходу до 19 т</t>
        </is>
      </c>
      <c r="E56" s="122" t="inlineStr">
        <is>
          <t>маш.час</t>
        </is>
      </c>
      <c r="F56" s="122" t="n">
        <v>2.9848</v>
      </c>
      <c r="G56" s="127" t="n">
        <v>196.8</v>
      </c>
      <c r="H56" s="127">
        <f>ROUND(F56*G56,2)</f>
        <v/>
      </c>
    </row>
    <row r="57" ht="31.5" customFormat="1" customHeight="1" s="82">
      <c r="A57" s="122" t="n">
        <v>43</v>
      </c>
      <c r="B57" s="122" t="n"/>
      <c r="C57" s="30" t="inlineStr">
        <is>
          <t>91.18.01-014</t>
        </is>
      </c>
      <c r="D57" s="123" t="inlineStr">
        <is>
          <t>Компрессоры передвижные, давление 2,5 МПа, производительность 34 м3/мин</t>
        </is>
      </c>
      <c r="E57" s="122" t="inlineStr">
        <is>
          <t>маш.час</t>
        </is>
      </c>
      <c r="F57" s="122" t="n">
        <v>1.01908</v>
      </c>
      <c r="G57" s="127" t="n">
        <v>525.3099999999999</v>
      </c>
      <c r="H57" s="127">
        <f>ROUND(F57*G57,2)</f>
        <v/>
      </c>
    </row>
    <row r="58" ht="31.5" customFormat="1" customHeight="1" s="82">
      <c r="A58" s="122" t="n">
        <v>44</v>
      </c>
      <c r="B58" s="122" t="n"/>
      <c r="C58" s="30" t="inlineStr">
        <is>
          <t>91.01.05-070</t>
        </is>
      </c>
      <c r="D58" s="123" t="inlineStr">
        <is>
          <t>Экскаваторы на гусеничном ходу импортного производства, емкость ковша 1,25 м3</t>
        </is>
      </c>
      <c r="E58" s="122" t="inlineStr">
        <is>
          <t>маш.час</t>
        </is>
      </c>
      <c r="F58" s="122" t="n">
        <v>2.08</v>
      </c>
      <c r="G58" s="127" t="n">
        <v>254.89</v>
      </c>
      <c r="H58" s="127">
        <f>ROUND(F58*G58,2)</f>
        <v/>
      </c>
    </row>
    <row r="59" ht="31.5" customFormat="1" customHeight="1" s="82">
      <c r="A59" s="122" t="n">
        <v>45</v>
      </c>
      <c r="B59" s="122" t="n"/>
      <c r="C59" s="30" t="inlineStr">
        <is>
          <t>91.10.04-024</t>
        </is>
      </c>
      <c r="D59" s="123" t="inlineStr">
        <is>
          <t>Машины изоляционные для труб диаметром 600-800 мм</t>
        </is>
      </c>
      <c r="E59" s="122" t="inlineStr">
        <is>
          <t>маш.час</t>
        </is>
      </c>
      <c r="F59" s="122" t="n">
        <v>2.29515</v>
      </c>
      <c r="G59" s="127" t="n">
        <v>198.44</v>
      </c>
      <c r="H59" s="127">
        <f>ROUND(F59*G59,2)</f>
        <v/>
      </c>
    </row>
    <row r="60" ht="15.75" customFormat="1" customHeight="1" s="82">
      <c r="A60" s="122" t="n">
        <v>46</v>
      </c>
      <c r="B60" s="122" t="n"/>
      <c r="C60" s="30" t="inlineStr">
        <is>
          <t>91.08.11-011</t>
        </is>
      </c>
      <c r="D60" s="123" t="inlineStr">
        <is>
          <t>Заливщики швов на базе автомобиля</t>
        </is>
      </c>
      <c r="E60" s="122" t="inlineStr">
        <is>
          <t>маш.час</t>
        </is>
      </c>
      <c r="F60" s="122" t="n">
        <v>2.42788</v>
      </c>
      <c r="G60" s="127" t="n">
        <v>175.25</v>
      </c>
      <c r="H60" s="127">
        <f>ROUND(F60*G60,2)</f>
        <v/>
      </c>
    </row>
    <row r="61" ht="15.75" customFormat="1" customHeight="1" s="82">
      <c r="A61" s="122" t="n">
        <v>47</v>
      </c>
      <c r="B61" s="122" t="n"/>
      <c r="C61" s="30" t="inlineStr">
        <is>
          <t>91.09.03-034</t>
        </is>
      </c>
      <c r="D61" s="123" t="inlineStr">
        <is>
          <t>Платформы узкой колеи</t>
        </is>
      </c>
      <c r="E61" s="122" t="inlineStr">
        <is>
          <t>маш.час</t>
        </is>
      </c>
      <c r="F61" s="122" t="n">
        <v>32.4351</v>
      </c>
      <c r="G61" s="127" t="n">
        <v>13</v>
      </c>
      <c r="H61" s="127">
        <f>ROUND(F61*G61,2)</f>
        <v/>
      </c>
    </row>
    <row r="62" ht="15.75" customFormat="1" customHeight="1" s="82">
      <c r="A62" s="122" t="n">
        <v>48</v>
      </c>
      <c r="B62" s="122" t="n"/>
      <c r="C62" s="30" t="inlineStr">
        <is>
          <t>91.08.04-022</t>
        </is>
      </c>
      <c r="D62" s="123" t="inlineStr">
        <is>
          <t>Котлы битумные передвижные 1000 л</t>
        </is>
      </c>
      <c r="E62" s="122" t="inlineStr">
        <is>
          <t>маш.час</t>
        </is>
      </c>
      <c r="F62" s="122" t="n">
        <v>8.3902</v>
      </c>
      <c r="G62" s="127" t="n">
        <v>50</v>
      </c>
      <c r="H62" s="127">
        <f>ROUND(F62*G62,2)</f>
        <v/>
      </c>
    </row>
    <row r="63" ht="31.5" customFormat="1" customHeight="1" s="82">
      <c r="A63" s="122" t="n">
        <v>49</v>
      </c>
      <c r="B63" s="122" t="n"/>
      <c r="C63" s="30" t="inlineStr">
        <is>
          <t>91.08.03-030</t>
        </is>
      </c>
      <c r="D63" s="123" t="inlineStr">
        <is>
          <t>Катки самоходные пневмоколесные статические, масса 30 т</t>
        </is>
      </c>
      <c r="E63" s="122" t="inlineStr">
        <is>
          <t>маш.час</t>
        </is>
      </c>
      <c r="F63" s="122" t="n">
        <v>1.05006</v>
      </c>
      <c r="G63" s="127" t="n">
        <v>364.07</v>
      </c>
      <c r="H63" s="127">
        <f>ROUND(F63*G63,2)</f>
        <v/>
      </c>
    </row>
    <row r="64" ht="15.75" customFormat="1" customHeight="1" s="82">
      <c r="A64" s="122" t="n">
        <v>50</v>
      </c>
      <c r="B64" s="122" t="n"/>
      <c r="C64" s="30" t="inlineStr">
        <is>
          <t>91.01.01-035</t>
        </is>
      </c>
      <c r="D64" s="123" t="inlineStr">
        <is>
          <t>Бульдозеры, мощность 79 кВт (108 л.с.)</t>
        </is>
      </c>
      <c r="E64" s="122" t="inlineStr">
        <is>
          <t>маш.час</t>
        </is>
      </c>
      <c r="F64" s="122" t="n">
        <v>4.49468</v>
      </c>
      <c r="G64" s="127" t="n">
        <v>79.06999999999999</v>
      </c>
      <c r="H64" s="127">
        <f>ROUND(F64*G64,2)</f>
        <v/>
      </c>
    </row>
    <row r="65" ht="31.5" customFormat="1" customHeight="1" s="82">
      <c r="A65" s="122" t="n">
        <v>51</v>
      </c>
      <c r="B65" s="122" t="n"/>
      <c r="C65" s="30" t="inlineStr">
        <is>
          <t>91.17.02-021</t>
        </is>
      </c>
      <c r="D65" s="123" t="inlineStr">
        <is>
          <t>Гамма-дефектоскопы с толщиной просвечиваемой стали до 80 мм</t>
        </is>
      </c>
      <c r="E65" s="122" t="inlineStr">
        <is>
          <t>маш.час</t>
        </is>
      </c>
      <c r="F65" s="122" t="n">
        <v>5.082</v>
      </c>
      <c r="G65" s="127" t="n">
        <v>61.72</v>
      </c>
      <c r="H65" s="127">
        <f>ROUND(F65*G65,2)</f>
        <v/>
      </c>
    </row>
    <row r="66" ht="31.5" customFormat="1" customHeight="1" s="82">
      <c r="A66" s="122" t="n">
        <v>52</v>
      </c>
      <c r="B66" s="122" t="n"/>
      <c r="C66" s="30" t="inlineStr">
        <is>
          <t>91.10.04-013</t>
        </is>
      </c>
      <c r="D66" s="123" t="inlineStr">
        <is>
          <t>Машины для очистки и грунтовки труб диаметром 600-800 мм</t>
        </is>
      </c>
      <c r="E66" s="122" t="inlineStr">
        <is>
          <t>маш.час</t>
        </is>
      </c>
      <c r="F66" s="122" t="n">
        <v>1.0855</v>
      </c>
      <c r="G66" s="127" t="n">
        <v>242.41</v>
      </c>
      <c r="H66" s="127">
        <f>ROUND(F66*G66,2)</f>
        <v/>
      </c>
    </row>
    <row r="67" ht="31.5" customFormat="1" customHeight="1" s="82">
      <c r="A67" s="122" t="n">
        <v>53</v>
      </c>
      <c r="B67" s="122" t="n"/>
      <c r="C67" s="30" t="inlineStr">
        <is>
          <t>91.15.02-013</t>
        </is>
      </c>
      <c r="D67" s="123" t="inlineStr">
        <is>
          <t>Тракторы на гусеничном ходу, мощность 128,7 кВт (175 л.с.)</t>
        </is>
      </c>
      <c r="E67" s="122" t="inlineStr">
        <is>
          <t>маш.час</t>
        </is>
      </c>
      <c r="F67" s="122" t="n">
        <v>1.386</v>
      </c>
      <c r="G67" s="127" t="n">
        <v>181.29</v>
      </c>
      <c r="H67" s="127">
        <f>ROUND(F67*G67,2)</f>
        <v/>
      </c>
    </row>
    <row r="68" ht="31.5" customFormat="1" customHeight="1" s="82">
      <c r="A68" s="122" t="n">
        <v>54</v>
      </c>
      <c r="B68" s="122" t="n"/>
      <c r="C68" s="30" t="inlineStr">
        <is>
          <t>91.10.05-007</t>
        </is>
      </c>
      <c r="D68" s="123" t="inlineStr">
        <is>
          <t>Трубоукладчики, номинальная грузоподъемность 12,5 т</t>
        </is>
      </c>
      <c r="E68" s="122" t="inlineStr">
        <is>
          <t>маш.час</t>
        </is>
      </c>
      <c r="F68" s="122" t="n">
        <v>0.6820000000000001</v>
      </c>
      <c r="G68" s="127" t="n">
        <v>239.44</v>
      </c>
      <c r="H68" s="127">
        <f>ROUND(F68*G68,2)</f>
        <v/>
      </c>
    </row>
    <row r="69" ht="15.75" customFormat="1" customHeight="1" s="82">
      <c r="A69" s="122" t="n">
        <v>55</v>
      </c>
      <c r="B69" s="122" t="n"/>
      <c r="C69" s="30" t="inlineStr">
        <is>
          <t>91.10.08-003</t>
        </is>
      </c>
      <c r="D69" s="123" t="inlineStr">
        <is>
          <t>Установки для сушки труб диаметром 800 мм</t>
        </is>
      </c>
      <c r="E69" s="122" t="inlineStr">
        <is>
          <t>маш.час</t>
        </is>
      </c>
      <c r="F69" s="122" t="n">
        <v>0.2834</v>
      </c>
      <c r="G69" s="127" t="n">
        <v>496.98</v>
      </c>
      <c r="H69" s="127">
        <f>ROUND(F69*G69,2)</f>
        <v/>
      </c>
    </row>
    <row r="70" ht="15.75" customFormat="1" customHeight="1" s="82">
      <c r="A70" s="122" t="n">
        <v>56</v>
      </c>
      <c r="B70" s="122" t="n"/>
      <c r="C70" s="30" t="inlineStr">
        <is>
          <t>91.14.02-001</t>
        </is>
      </c>
      <c r="D70" s="123" t="inlineStr">
        <is>
          <t>Автомобили бортовые, грузоподъемность до 5 т</t>
        </is>
      </c>
      <c r="E70" s="122" t="inlineStr">
        <is>
          <t>маш.час</t>
        </is>
      </c>
      <c r="F70" s="122" t="n">
        <v>1.77094</v>
      </c>
      <c r="G70" s="127" t="n">
        <v>65.70999999999999</v>
      </c>
      <c r="H70" s="127">
        <f>ROUND(F70*G70,2)</f>
        <v/>
      </c>
    </row>
    <row r="71" ht="31.5" customFormat="1" customHeight="1" s="82">
      <c r="A71" s="122" t="n">
        <v>57</v>
      </c>
      <c r="B71" s="122" t="n"/>
      <c r="C71" s="30" t="inlineStr">
        <is>
          <t>91.10.10-013</t>
        </is>
      </c>
      <c r="D71" s="123" t="inlineStr">
        <is>
          <t>Центраторы внутренние гидравлические для труб диаметром 900-1000 мм</t>
        </is>
      </c>
      <c r="E71" s="122" t="inlineStr">
        <is>
          <t>маш.час</t>
        </is>
      </c>
      <c r="F71" s="122" t="n">
        <v>4.29548</v>
      </c>
      <c r="G71" s="127" t="n">
        <v>20.52</v>
      </c>
      <c r="H71" s="127">
        <f>ROUND(F71*G71,2)</f>
        <v/>
      </c>
    </row>
    <row r="72" ht="31.5" customFormat="1" customHeight="1" s="82">
      <c r="A72" s="122" t="n">
        <v>58</v>
      </c>
      <c r="B72" s="122" t="n"/>
      <c r="C72" s="30" t="inlineStr">
        <is>
          <t>91.04.01-033</t>
        </is>
      </c>
      <c r="D72" s="123" t="inlineStr">
        <is>
          <t>Машины бурильные на тракторе 85 кВт (115 л.с.), глубина бурения 3,5 м</t>
        </is>
      </c>
      <c r="E72" s="122" t="inlineStr">
        <is>
          <t>маш.час</t>
        </is>
      </c>
      <c r="F72" s="122" t="n">
        <v>0.44</v>
      </c>
      <c r="G72" s="127" t="n">
        <v>187.68</v>
      </c>
      <c r="H72" s="127">
        <f>ROUND(F72*G72,2)</f>
        <v/>
      </c>
    </row>
    <row r="73" ht="15.75" customFormat="1" customHeight="1" s="82">
      <c r="A73" s="122" t="n">
        <v>59</v>
      </c>
      <c r="B73" s="122" t="n"/>
      <c r="C73" s="30" t="inlineStr">
        <is>
          <t>91.17.02-032</t>
        </is>
      </c>
      <c r="D73" s="123" t="inlineStr">
        <is>
          <t>Дефектоскопы ультразвуковые</t>
        </is>
      </c>
      <c r="E73" s="122" t="inlineStr">
        <is>
          <t>маш.час</t>
        </is>
      </c>
      <c r="F73" s="122" t="n">
        <v>9.424799999999999</v>
      </c>
      <c r="G73" s="127" t="n">
        <v>7.5</v>
      </c>
      <c r="H73" s="127">
        <f>ROUND(F73*G73,2)</f>
        <v/>
      </c>
    </row>
    <row r="74" ht="31.5" customFormat="1" customHeight="1" s="82">
      <c r="A74" s="122" t="n">
        <v>60</v>
      </c>
      <c r="B74" s="122" t="n"/>
      <c r="C74" s="30" t="inlineStr">
        <is>
          <t>91.12.07-001</t>
        </is>
      </c>
      <c r="D74" s="123" t="inlineStr">
        <is>
          <t>Агрегаты для травосеяния на откосах автомобильных и железных дорог</t>
        </is>
      </c>
      <c r="E74" s="122" t="inlineStr">
        <is>
          <t>маш.час</t>
        </is>
      </c>
      <c r="F74" s="122" t="n">
        <v>2.20324</v>
      </c>
      <c r="G74" s="127" t="n">
        <v>25.1</v>
      </c>
      <c r="H74" s="127">
        <f>ROUND(F74*G74,2)</f>
        <v/>
      </c>
    </row>
    <row r="75" ht="31.5" customFormat="1" customHeight="1" s="82">
      <c r="A75" s="122" t="n">
        <v>61</v>
      </c>
      <c r="B75" s="122" t="n"/>
      <c r="C75" s="30" t="inlineStr">
        <is>
          <t>91.13.03-111</t>
        </is>
      </c>
      <c r="D75" s="123" t="inlineStr">
        <is>
          <t>Спецавтомобили-вездеходы, грузоподъемность до 8 т</t>
        </is>
      </c>
      <c r="E75" s="122" t="inlineStr">
        <is>
          <t>маш.час</t>
        </is>
      </c>
      <c r="F75" s="122" t="n">
        <v>0.17812</v>
      </c>
      <c r="G75" s="127" t="n">
        <v>189.95</v>
      </c>
      <c r="H75" s="127">
        <f>ROUND(F75*G75,2)</f>
        <v/>
      </c>
    </row>
    <row r="76" ht="47.25" customFormat="1" customHeight="1" s="82">
      <c r="A76" s="122" t="n">
        <v>62</v>
      </c>
      <c r="B76" s="122" t="n"/>
      <c r="C76" s="30" t="inlineStr">
        <is>
          <t>91.17.04-036</t>
        </is>
      </c>
      <c r="D76" s="123" t="inlineStr">
        <is>
          <t>Агрегаты сварочные передвижные с дизельным двигателем, номинальный сварочный ток 250-400 А</t>
        </is>
      </c>
      <c r="E76" s="122" t="inlineStr">
        <is>
          <t>маш.час</t>
        </is>
      </c>
      <c r="F76" s="122" t="n">
        <v>2.23764</v>
      </c>
      <c r="G76" s="127" t="n">
        <v>14</v>
      </c>
      <c r="H76" s="127">
        <f>ROUND(F76*G76,2)</f>
        <v/>
      </c>
    </row>
    <row r="77" ht="31.5" customFormat="1" customHeight="1" s="82">
      <c r="A77" s="122" t="n">
        <v>63</v>
      </c>
      <c r="B77" s="122" t="n"/>
      <c r="C77" s="30" t="inlineStr">
        <is>
          <t>91.08.09-023</t>
        </is>
      </c>
      <c r="D77" s="123" t="inlineStr">
        <is>
          <t>Трамбовки пневматические при работе от передвижных компрессорных станций</t>
        </is>
      </c>
      <c r="E77" s="122" t="inlineStr">
        <is>
          <t>маш.час</t>
        </is>
      </c>
      <c r="F77" s="122" t="n">
        <v>53.571</v>
      </c>
      <c r="G77" s="127" t="n">
        <v>0.55</v>
      </c>
      <c r="H77" s="127">
        <f>ROUND(F77*G77,2)</f>
        <v/>
      </c>
    </row>
    <row r="78" ht="15.75" customFormat="1" customHeight="1" s="82">
      <c r="A78" s="122" t="n">
        <v>64</v>
      </c>
      <c r="B78" s="122" t="n"/>
      <c r="C78" s="30" t="inlineStr">
        <is>
          <t>91.06.05-011</t>
        </is>
      </c>
      <c r="D78" s="123" t="inlineStr">
        <is>
          <t>Погрузчики, грузоподъемность 5 т</t>
        </is>
      </c>
      <c r="E78" s="122" t="inlineStr">
        <is>
          <t>маш.час</t>
        </is>
      </c>
      <c r="F78" s="122" t="n">
        <v>0.27591</v>
      </c>
      <c r="G78" s="127" t="n">
        <v>89.98999999999999</v>
      </c>
      <c r="H78" s="127">
        <f>ROUND(F78*G78,2)</f>
        <v/>
      </c>
    </row>
    <row r="79" ht="31.5" customFormat="1" customHeight="1" s="82">
      <c r="A79" s="122" t="n">
        <v>65</v>
      </c>
      <c r="B79" s="122" t="n"/>
      <c r="C79" s="30" t="inlineStr">
        <is>
          <t>91.01.02-004</t>
        </is>
      </c>
      <c r="D79" s="123" t="inlineStr">
        <is>
          <t>Автогрейдеры среднего типа, мощность 99 кВт (135 л.с.)</t>
        </is>
      </c>
      <c r="E79" s="122" t="inlineStr">
        <is>
          <t>маш.час</t>
        </is>
      </c>
      <c r="F79" s="122" t="n">
        <v>0.1978</v>
      </c>
      <c r="G79" s="127" t="n">
        <v>123</v>
      </c>
      <c r="H79" s="127">
        <f>ROUND(F79*G79,2)</f>
        <v/>
      </c>
    </row>
    <row r="80" ht="15.75" customFormat="1" customHeight="1" s="82">
      <c r="A80" s="122" t="n">
        <v>66</v>
      </c>
      <c r="B80" s="122" t="n"/>
      <c r="C80" s="30" t="inlineStr">
        <is>
          <t>91.15.01-001</t>
        </is>
      </c>
      <c r="D80" s="123" t="inlineStr">
        <is>
          <t>Прицепы тракторные 2 т</t>
        </is>
      </c>
      <c r="E80" s="122" t="inlineStr">
        <is>
          <t>маш.час</t>
        </is>
      </c>
      <c r="F80" s="122" t="n">
        <v>5.84253</v>
      </c>
      <c r="G80" s="127" t="n">
        <v>4.01</v>
      </c>
      <c r="H80" s="127">
        <f>ROUND(F80*G80,2)</f>
        <v/>
      </c>
    </row>
    <row r="81" ht="15.75" customFormat="1" customHeight="1" s="82">
      <c r="A81" s="122" t="n">
        <v>67</v>
      </c>
      <c r="B81" s="122" t="n"/>
      <c r="C81" s="30" t="inlineStr">
        <is>
          <t>91.01.01-034</t>
        </is>
      </c>
      <c r="D81" s="123" t="inlineStr">
        <is>
          <t>Бульдозеры, мощность 59 кВт (80 л.с.)</t>
        </is>
      </c>
      <c r="E81" s="122" t="inlineStr">
        <is>
          <t>маш.час</t>
        </is>
      </c>
      <c r="F81" s="122" t="n">
        <v>0.34788</v>
      </c>
      <c r="G81" s="127" t="n">
        <v>59.47</v>
      </c>
      <c r="H81" s="127">
        <f>ROUND(F81*G81,2)</f>
        <v/>
      </c>
    </row>
    <row r="82" ht="15.75" customFormat="1" customHeight="1" s="82">
      <c r="A82" s="122" t="n">
        <v>68</v>
      </c>
      <c r="B82" s="122" t="n"/>
      <c r="C82" s="30" t="inlineStr">
        <is>
          <t>91.17.04-042</t>
        </is>
      </c>
      <c r="D82" s="123" t="inlineStr">
        <is>
          <t>Аппараты для газовой сварки и резки</t>
        </is>
      </c>
      <c r="E82" s="122" t="inlineStr">
        <is>
          <t>маш.час</t>
        </is>
      </c>
      <c r="F82" s="122" t="n">
        <v>8.273099999999999</v>
      </c>
      <c r="G82" s="127" t="n">
        <v>1.2</v>
      </c>
      <c r="H82" s="127">
        <f>ROUND(F82*G82,2)</f>
        <v/>
      </c>
    </row>
    <row r="83" ht="15.75" customFormat="1" customHeight="1" s="82">
      <c r="A83" s="122" t="n">
        <v>69</v>
      </c>
      <c r="B83" s="122" t="n"/>
      <c r="C83" s="30" t="inlineStr">
        <is>
          <t>91.13.01-038</t>
        </is>
      </c>
      <c r="D83" s="123" t="inlineStr">
        <is>
          <t>Машины поливомоечные 6000 л</t>
        </is>
      </c>
      <c r="E83" s="122" t="inlineStr">
        <is>
          <t>маш.час</t>
        </is>
      </c>
      <c r="F83" s="122" t="n">
        <v>0.08944000000000001</v>
      </c>
      <c r="G83" s="127" t="n">
        <v>110</v>
      </c>
      <c r="H83" s="127">
        <f>ROUND(F83*G83,2)</f>
        <v/>
      </c>
    </row>
    <row r="84" ht="31.5" customFormat="1" customHeight="1" s="82">
      <c r="A84" s="122" t="n">
        <v>70</v>
      </c>
      <c r="B84" s="122" t="n"/>
      <c r="C84" s="30" t="inlineStr">
        <is>
          <t>91.10.11-051</t>
        </is>
      </c>
      <c r="D84" s="123" t="inlineStr">
        <is>
          <t>Устройства для исправления вмятин на трубах диаметром 600-1400 мм</t>
        </is>
      </c>
      <c r="E84" s="122" t="inlineStr">
        <is>
          <t>маш.час</t>
        </is>
      </c>
      <c r="F84" s="122" t="n">
        <v>0.24932</v>
      </c>
      <c r="G84" s="127" t="n">
        <v>35.16</v>
      </c>
      <c r="H84" s="127">
        <f>ROUND(F84*G84,2)</f>
        <v/>
      </c>
    </row>
    <row r="85" ht="15.75" customFormat="1" customHeight="1" s="82">
      <c r="A85" s="122" t="n">
        <v>71</v>
      </c>
      <c r="B85" s="122" t="n"/>
      <c r="C85" s="30" t="inlineStr">
        <is>
          <t>91.08.04-021</t>
        </is>
      </c>
      <c r="D85" s="123" t="inlineStr">
        <is>
          <t>Котлы битумные передвижные 400 л</t>
        </is>
      </c>
      <c r="E85" s="122" t="inlineStr">
        <is>
          <t>маш.час</t>
        </is>
      </c>
      <c r="F85" s="122" t="n">
        <v>0.18212</v>
      </c>
      <c r="G85" s="127" t="n">
        <v>30</v>
      </c>
      <c r="H85" s="127">
        <f>ROUND(F85*G85,2)</f>
        <v/>
      </c>
    </row>
    <row r="86" ht="31.5" customFormat="1" customHeight="1" s="82">
      <c r="A86" s="122" t="n">
        <v>72</v>
      </c>
      <c r="B86" s="122" t="n"/>
      <c r="C86" s="30" t="inlineStr">
        <is>
          <t>91.13.01-032</t>
        </is>
      </c>
      <c r="D86" s="123" t="inlineStr">
        <is>
          <t>Машины дорожной службы (машина дорожного мастера)</t>
        </is>
      </c>
      <c r="E86" s="122" t="inlineStr">
        <is>
          <t>маш.час</t>
        </is>
      </c>
      <c r="F86" s="122" t="n">
        <v>0.04982</v>
      </c>
      <c r="G86" s="127" t="n">
        <v>86.5</v>
      </c>
      <c r="H86" s="127">
        <f>ROUND(F86*G86,2)</f>
        <v/>
      </c>
    </row>
    <row r="87" ht="31.5" customFormat="1" customHeight="1" s="82">
      <c r="A87" s="122" t="n">
        <v>73</v>
      </c>
      <c r="B87" s="122" t="n"/>
      <c r="C87" s="30" t="inlineStr">
        <is>
          <t>91.17.04-233</t>
        </is>
      </c>
      <c r="D87" s="123" t="inlineStr">
        <is>
          <t>Установки для сварки ручной дуговой (постоянного тока)</t>
        </is>
      </c>
      <c r="E87" s="122" t="inlineStr">
        <is>
          <t>маш.час</t>
        </is>
      </c>
      <c r="F87" s="122" t="n">
        <v>0.33</v>
      </c>
      <c r="G87" s="127" t="n">
        <v>8.1</v>
      </c>
      <c r="H87" s="127">
        <f>ROUND(F87*G87,2)</f>
        <v/>
      </c>
    </row>
    <row r="88" ht="47.25" customFormat="1" customHeight="1" s="82">
      <c r="A88" s="122" t="n">
        <v>74</v>
      </c>
      <c r="B88" s="122" t="n"/>
      <c r="C88" s="30" t="inlineStr">
        <is>
          <t>91.21.11-001</t>
        </is>
      </c>
      <c r="D88" s="123" t="inlineStr">
        <is>
          <t>Мотобуры ручные, диаметр сверла 200 мм, глубина сверления до 1 м, мощность двигателя 1,6 кВт</t>
        </is>
      </c>
      <c r="E88" s="122" t="inlineStr">
        <is>
          <t>маш.час</t>
        </is>
      </c>
      <c r="F88" s="122" t="n">
        <v>0.22472</v>
      </c>
      <c r="G88" s="127" t="n">
        <v>7.07</v>
      </c>
      <c r="H88" s="127">
        <f>ROUND(F88*G88,2)</f>
        <v/>
      </c>
    </row>
    <row r="89" ht="31.5" customFormat="1" customHeight="1" s="82">
      <c r="A89" s="122" t="n">
        <v>75</v>
      </c>
      <c r="B89" s="122" t="n"/>
      <c r="C89" s="30" t="inlineStr">
        <is>
          <t>91.21.22-071</t>
        </is>
      </c>
      <c r="D89" s="123" t="inlineStr">
        <is>
          <t>Вентиляторы радиальные общего назначения, производительность до 15000 м3/час</t>
        </is>
      </c>
      <c r="E89" s="122" t="inlineStr">
        <is>
          <t>маш.час</t>
        </is>
      </c>
      <c r="F89" s="122" t="n">
        <v>0.1122</v>
      </c>
      <c r="G89" s="127" t="n">
        <v>3.42</v>
      </c>
      <c r="H89" s="127">
        <f>ROUND(F89*G89,2)</f>
        <v/>
      </c>
    </row>
    <row r="90" ht="31.5" customFormat="1" customHeight="1" s="82">
      <c r="A90" s="122" t="n">
        <v>76</v>
      </c>
      <c r="B90" s="122" t="n"/>
      <c r="C90" s="30" t="inlineStr">
        <is>
          <t>91.21.03-502</t>
        </is>
      </c>
      <c r="D90" s="123" t="inlineStr">
        <is>
          <t>Аппараты пескоструйные, объем до 19 л, расход воздуха 270-700 л/мин</t>
        </is>
      </c>
      <c r="E90" s="122" t="inlineStr">
        <is>
          <t>маш.час</t>
        </is>
      </c>
      <c r="F90" s="122" t="n">
        <v>1.6632</v>
      </c>
      <c r="G90" s="127" t="n">
        <v>0.14</v>
      </c>
      <c r="H90" s="127">
        <f>ROUND(F90*G90,2)</f>
        <v/>
      </c>
    </row>
    <row r="91" ht="15.75" customFormat="1" customHeight="1" s="23">
      <c r="A91" s="121" t="inlineStr">
        <is>
          <t>Материалы</t>
        </is>
      </c>
      <c r="B91" s="146" t="n"/>
      <c r="C91" s="146" t="n"/>
      <c r="D91" s="146" t="n"/>
      <c r="E91" s="147" t="n"/>
      <c r="F91" s="121" t="n"/>
      <c r="G91" s="26" t="n"/>
      <c r="H91" s="26">
        <f>SUM(H92:H171)</f>
        <v/>
      </c>
    </row>
    <row r="92" ht="31.5" customFormat="1" customHeight="1" s="82">
      <c r="A92" s="122" t="n">
        <v>77</v>
      </c>
      <c r="B92" s="122" t="n"/>
      <c r="C92" s="30" t="inlineStr">
        <is>
          <t>Прайс из СД ОП</t>
        </is>
      </c>
      <c r="D92" s="123" t="inlineStr">
        <is>
          <t>Стоимость нефти для данного объёма трубопровода</t>
        </is>
      </c>
      <c r="E92" s="122" t="inlineStr">
        <is>
          <t>м3</t>
        </is>
      </c>
      <c r="F92" s="139" t="n">
        <v>194.55</v>
      </c>
      <c r="G92" s="127" t="n">
        <v>4673.08</v>
      </c>
      <c r="H92" s="127">
        <f>ROUND(F92*G92,2)</f>
        <v/>
      </c>
    </row>
    <row r="93" ht="78.75" customFormat="1" customHeight="1" s="82">
      <c r="A93" s="122" t="n">
        <v>78</v>
      </c>
      <c r="B93" s="122" t="n"/>
      <c r="C93" s="30" t="inlineStr">
        <is>
          <t>23.4.01.03-0083</t>
        </is>
      </c>
      <c r="D93" s="123" t="inlineStr">
        <is>
          <t>Трубы стальные с тепловой изоляцией из пенополиуретана в полиэтиленовой оболочке, наружный диаметр трубы 720 мм, наружный диаметр изоляции 900 мм, толщина стенки трубы 12 мм</t>
        </is>
      </c>
      <c r="E93" s="122" t="inlineStr">
        <is>
          <t>м</t>
        </is>
      </c>
      <c r="F93" s="122" t="n">
        <v>55</v>
      </c>
      <c r="G93" s="127" t="n">
        <v>3732.4</v>
      </c>
      <c r="H93" s="127">
        <f>ROUND(F93*G93,2)</f>
        <v/>
      </c>
    </row>
    <row r="94" ht="78.75" customFormat="1" customHeight="1" s="82">
      <c r="A94" s="122" t="n">
        <v>79</v>
      </c>
      <c r="B94" s="122" t="n"/>
      <c r="C94" s="30" t="inlineStr">
        <is>
          <t>23.4.01.03-0086</t>
        </is>
      </c>
      <c r="D94" s="123" t="inlineStr">
        <is>
          <t>Трубы стальные с тепловой изоляцией из пенополиуретана в полиэтиленовой оболочке, наружный диаметр трубы 1020 мм, наружный диаметр изоляции 1200 мм, толщина стенки трубы 12 мм</t>
        </is>
      </c>
      <c r="E94" s="122" t="inlineStr">
        <is>
          <t>м</t>
        </is>
      </c>
      <c r="F94" s="122" t="n">
        <v>19</v>
      </c>
      <c r="G94" s="127" t="n">
        <v>5287.6</v>
      </c>
      <c r="H94" s="127">
        <f>ROUND(F94*G94,2)</f>
        <v/>
      </c>
    </row>
    <row r="95" ht="31.5" customFormat="1" customHeight="1" s="82">
      <c r="A95" s="122" t="n">
        <v>80</v>
      </c>
      <c r="B95" s="122" t="n"/>
      <c r="C95" s="30" t="inlineStr">
        <is>
          <t>Прайс из СД ОП</t>
        </is>
      </c>
      <c r="D95" s="123" t="inlineStr">
        <is>
          <t>Отвод гнутый 45 град Ду720</t>
        </is>
      </c>
      <c r="E95" s="122" t="inlineStr">
        <is>
          <t>шт</t>
        </is>
      </c>
      <c r="F95" s="122" t="n">
        <v>1</v>
      </c>
      <c r="G95" s="127" t="n">
        <v>85002</v>
      </c>
      <c r="H95" s="127">
        <f>ROUND(F95*G95,2)</f>
        <v/>
      </c>
    </row>
    <row r="96" ht="31.5" customFormat="1" customHeight="1" s="82">
      <c r="A96" s="122" t="n">
        <v>81</v>
      </c>
      <c r="B96" s="122" t="n"/>
      <c r="C96" s="30" t="inlineStr">
        <is>
          <t>Прайс из СД ОП</t>
        </is>
      </c>
      <c r="D96" s="123" t="inlineStr">
        <is>
          <t>Отвод гнутый 40 град Ду720</t>
        </is>
      </c>
      <c r="E96" s="122" t="inlineStr">
        <is>
          <t>шт</t>
        </is>
      </c>
      <c r="F96" s="122" t="n">
        <v>1</v>
      </c>
      <c r="G96" s="127" t="n">
        <v>80069</v>
      </c>
      <c r="H96" s="127">
        <f>ROUND(F96*G96,2)</f>
        <v/>
      </c>
    </row>
    <row r="97" ht="31.5" customFormat="1" customHeight="1" s="82">
      <c r="A97" s="122" t="n">
        <v>82</v>
      </c>
      <c r="B97" s="122" t="n"/>
      <c r="C97" s="30" t="inlineStr">
        <is>
          <t>Прайс из СД ОП</t>
        </is>
      </c>
      <c r="D97" s="123" t="inlineStr">
        <is>
          <t>Отвод гнутый 36 град Ду720</t>
        </is>
      </c>
      <c r="E97" s="122" t="inlineStr">
        <is>
          <t>шт</t>
        </is>
      </c>
      <c r="F97" s="122" t="n">
        <v>1</v>
      </c>
      <c r="G97" s="127" t="n">
        <v>74789</v>
      </c>
      <c r="H97" s="127">
        <f>ROUND(F97*G97,2)</f>
        <v/>
      </c>
    </row>
    <row r="98" ht="31.5" customFormat="1" customHeight="1" s="82">
      <c r="A98" s="122" t="n">
        <v>83</v>
      </c>
      <c r="B98" s="122" t="n"/>
      <c r="C98" s="30" t="inlineStr">
        <is>
          <t>Прайс из СД ОП</t>
        </is>
      </c>
      <c r="D98" s="123" t="inlineStr">
        <is>
          <t>Отвод гнутый 30 град Ду720</t>
        </is>
      </c>
      <c r="E98" s="122" t="inlineStr">
        <is>
          <t>шт</t>
        </is>
      </c>
      <c r="F98" s="122" t="n">
        <v>1</v>
      </c>
      <c r="G98" s="127" t="n">
        <v>67609</v>
      </c>
      <c r="H98" s="127">
        <f>ROUND(F98*G98,2)</f>
        <v/>
      </c>
    </row>
    <row r="99" ht="31.5" customFormat="1" customHeight="1" s="82">
      <c r="A99" s="122" t="n">
        <v>84</v>
      </c>
      <c r="B99" s="122" t="n"/>
      <c r="C99" s="30" t="inlineStr">
        <is>
          <t>05.1.02.10-0004</t>
        </is>
      </c>
      <c r="D99" s="123" t="inlineStr">
        <is>
          <t>Утяжелители железобетонные клиновидные для труб диаметром 600-700 мм</t>
        </is>
      </c>
      <c r="E99" s="122" t="inlineStr">
        <is>
          <t>шт</t>
        </is>
      </c>
      <c r="F99" s="122" t="n">
        <v>28.71</v>
      </c>
      <c r="G99" s="127" t="n">
        <v>1928.19</v>
      </c>
      <c r="H99" s="127">
        <f>ROUND(F99*G99,2)</f>
        <v/>
      </c>
    </row>
    <row r="100" ht="47.25" customFormat="1" customHeight="1" s="82">
      <c r="A100" s="122" t="n">
        <v>85</v>
      </c>
      <c r="B100" s="122" t="n"/>
      <c r="C100" s="30" t="inlineStr">
        <is>
          <t>05.1.08.06-0026</t>
        </is>
      </c>
      <c r="D100" s="123" t="inlineStr">
        <is>
          <t>Плиты дорожные 1П30.18.30 /бетон В30 (М400), объем 0,88 м3, расход арматуры 46,48 кг/ (ГОСТ 21924.2-84)</t>
        </is>
      </c>
      <c r="E100" s="122" t="inlineStr">
        <is>
          <t>шт.</t>
        </is>
      </c>
      <c r="F100" s="122" t="n">
        <v>13.2</v>
      </c>
      <c r="G100" s="127" t="n">
        <v>1281.3</v>
      </c>
      <c r="H100" s="127">
        <f>ROUND(F100*G100,2)</f>
        <v/>
      </c>
    </row>
    <row r="101" ht="15.75" customFormat="1" customHeight="1" s="82">
      <c r="A101" s="122" t="n">
        <v>86</v>
      </c>
      <c r="B101" s="122" t="n"/>
      <c r="C101" s="30" t="inlineStr">
        <is>
          <t>16.2.01.02-0001</t>
        </is>
      </c>
      <c r="D101" s="123" t="inlineStr">
        <is>
          <t>Земля растительная</t>
        </is>
      </c>
      <c r="E101" s="122" t="inlineStr">
        <is>
          <t>м3</t>
        </is>
      </c>
      <c r="F101" s="122" t="n">
        <v>91.61</v>
      </c>
      <c r="G101" s="127" t="n">
        <v>135.6</v>
      </c>
      <c r="H101" s="127">
        <f>ROUND(F101*G101,2)</f>
        <v/>
      </c>
    </row>
    <row r="102" ht="31.5" customFormat="1" customHeight="1" s="82">
      <c r="A102" s="122" t="n">
        <v>87</v>
      </c>
      <c r="B102" s="122" t="n"/>
      <c r="C102" s="30" t="inlineStr">
        <is>
          <t>02.3.01.02-0033</t>
        </is>
      </c>
      <c r="D102" s="123" t="inlineStr">
        <is>
          <t>Песок природный обогащенный для строительных работ средний</t>
        </is>
      </c>
      <c r="E102" s="122" t="inlineStr">
        <is>
          <t>м3</t>
        </is>
      </c>
      <c r="F102" s="122" t="n">
        <v>109.56</v>
      </c>
      <c r="G102" s="127" t="n">
        <v>70.59999999999999</v>
      </c>
      <c r="H102" s="127">
        <f>ROUND(F102*G102,2)</f>
        <v/>
      </c>
    </row>
    <row r="103" ht="31.5" customFormat="1" customHeight="1" s="82">
      <c r="A103" s="122" t="n">
        <v>88</v>
      </c>
      <c r="B103" s="122" t="n"/>
      <c r="C103" s="30" t="inlineStr">
        <is>
          <t>01.7.06.10-0012</t>
        </is>
      </c>
      <c r="D103" s="123" t="inlineStr">
        <is>
          <t>Лента полиэтиленовая термоусаживающаяся шириной 640 мм</t>
        </is>
      </c>
      <c r="E103" s="122" t="inlineStr">
        <is>
          <t>м</t>
        </is>
      </c>
      <c r="F103" s="122" t="n">
        <v>73.458</v>
      </c>
      <c r="G103" s="127" t="n">
        <v>96.22</v>
      </c>
      <c r="H103" s="127">
        <f>ROUND(F103*G103,2)</f>
        <v/>
      </c>
    </row>
    <row r="104" ht="63" customFormat="1" customHeight="1" s="82">
      <c r="A104" s="122" t="n">
        <v>89</v>
      </c>
      <c r="B104" s="122" t="n"/>
      <c r="C104" s="30" t="inlineStr">
        <is>
          <t>23.5.02.02-0070</t>
        </is>
      </c>
      <c r="D104" s="123" t="inlineStr">
        <is>
          <t>Трубы стальные электросварные прямошовные со снятой фаской из стали марок БСт2кп-БСт4кп и БСт2пс-БСт4пс наружный диаметр 152 мм, толщина стенки 5 мм</t>
        </is>
      </c>
      <c r="E104" s="122" t="inlineStr">
        <is>
          <t>м</t>
        </is>
      </c>
      <c r="F104" s="122" t="n">
        <v>49.5</v>
      </c>
      <c r="G104" s="127" t="n">
        <v>129.39</v>
      </c>
      <c r="H104" s="127">
        <f>ROUND(F104*G104,2)</f>
        <v/>
      </c>
    </row>
    <row r="105" ht="31.5" customFormat="1" customHeight="1" s="82">
      <c r="A105" s="122" t="n">
        <v>90</v>
      </c>
      <c r="B105" s="122" t="n"/>
      <c r="C105" s="30" t="inlineStr">
        <is>
          <t>Прайс из СД ОП</t>
        </is>
      </c>
      <c r="D105" s="123" t="inlineStr">
        <is>
          <t>Профиль «Нефтегаз» - ПВХП (2000*30 мм)</t>
        </is>
      </c>
      <c r="E105" s="122" t="inlineStr">
        <is>
          <t>м</t>
        </is>
      </c>
      <c r="F105" s="122" t="n">
        <v>73.458</v>
      </c>
      <c r="G105" s="127" t="n">
        <v>85.7</v>
      </c>
      <c r="H105" s="127">
        <f>ROUND(F105*G105,2)</f>
        <v/>
      </c>
    </row>
    <row r="106" ht="31.5" customFormat="1" customHeight="1" s="82">
      <c r="A106" s="122" t="n">
        <v>91</v>
      </c>
      <c r="B106" s="122" t="n"/>
      <c r="C106" s="30" t="inlineStr">
        <is>
          <t>01.7.07.24-0005</t>
        </is>
      </c>
      <c r="D106" s="123" t="inlineStr">
        <is>
          <t>Пленка радиографическая рулонная, ширина 400 мм</t>
        </is>
      </c>
      <c r="E106" s="122" t="inlineStr">
        <is>
          <t>10 м</t>
        </is>
      </c>
      <c r="F106" s="122" t="n">
        <v>2.181</v>
      </c>
      <c r="G106" s="127" t="n">
        <v>2140</v>
      </c>
      <c r="H106" s="127">
        <f>ROUND(F106*G106,2)</f>
        <v/>
      </c>
    </row>
    <row r="107" ht="15.75" customFormat="1" customHeight="1" s="82">
      <c r="A107" s="122" t="n">
        <v>92</v>
      </c>
      <c r="B107" s="122" t="n"/>
      <c r="C107" s="30" t="inlineStr">
        <is>
          <t>16.2.02.07-0161</t>
        </is>
      </c>
      <c r="D107" s="123" t="inlineStr">
        <is>
          <t>Семена газонных трав (смесь)</t>
        </is>
      </c>
      <c r="E107" s="122" t="inlineStr">
        <is>
          <t>кг</t>
        </is>
      </c>
      <c r="F107" s="122" t="n">
        <v>15.655</v>
      </c>
      <c r="G107" s="127" t="n">
        <v>146.25</v>
      </c>
      <c r="H107" s="127">
        <f>ROUND(F107*G107,2)</f>
        <v/>
      </c>
    </row>
    <row r="108" ht="63" customFormat="1" customHeight="1" s="82">
      <c r="A108" s="122" t="n">
        <v>93</v>
      </c>
      <c r="B108" s="122" t="n"/>
      <c r="C108" s="30" t="inlineStr">
        <is>
          <t>23.3.03.02-0157</t>
        </is>
      </c>
      <c r="D108" s="123" t="inlineStr">
        <is>
          <t>Трубы стальные бесшовные горячедеформированные со снятой фаской из стали марок 15, 20, 35, наружный диаметр 219 мм, толщина стенки 6 мм</t>
        </is>
      </c>
      <c r="E108" s="122" t="inlineStr">
        <is>
          <t>м</t>
        </is>
      </c>
      <c r="F108" s="122" t="n">
        <v>7.3326</v>
      </c>
      <c r="G108" s="127" t="n">
        <v>195.38</v>
      </c>
      <c r="H108" s="127">
        <f>ROUND(F108*G108,2)</f>
        <v/>
      </c>
    </row>
    <row r="109" ht="63" customFormat="1" customHeight="1" s="82">
      <c r="A109" s="122" t="n">
        <v>94</v>
      </c>
      <c r="B109" s="122" t="n"/>
      <c r="C109" s="30" t="inlineStr">
        <is>
          <t>08.2.02.13-0030</t>
        </is>
      </c>
      <c r="D109" s="123" t="inlineStr">
        <is>
          <t>Канат двойной свивки ТЛК-О, конструкции 6х37(1+6+15+15)+1 о.с., без покрытия, из проволок марки В, маркировочная группа 1770 н/мм2, диаметр 33 мм</t>
        </is>
      </c>
      <c r="E109" s="122" t="inlineStr">
        <is>
          <t>10 м</t>
        </is>
      </c>
      <c r="F109" s="122" t="n">
        <v>1.3629</v>
      </c>
      <c r="G109" s="127" t="n">
        <v>721.5599999999999</v>
      </c>
      <c r="H109" s="127">
        <f>ROUND(F109*G109,2)</f>
        <v/>
      </c>
    </row>
    <row r="110" ht="63" customFormat="1" customHeight="1" s="82">
      <c r="A110" s="122" t="n">
        <v>95</v>
      </c>
      <c r="B110" s="122" t="n"/>
      <c r="C110" s="30" t="inlineStr">
        <is>
          <t>23.7.02.01-0028</t>
        </is>
      </c>
      <c r="D110" s="123" t="inlineStr">
        <is>
          <t>Узлы трубопроводов с установкой необходимых деталей из электросварных труб Ст3сп-Ст6сп, номинальный диаметр 700 мм, толщина стенки 12 мм</t>
        </is>
      </c>
      <c r="E110" s="122" t="inlineStr">
        <is>
          <t>т</t>
        </is>
      </c>
      <c r="F110" s="122" t="n">
        <v>0.0726</v>
      </c>
      <c r="G110" s="127" t="n">
        <v>12862.38</v>
      </c>
      <c r="H110" s="127">
        <f>ROUND(F110*G110,2)</f>
        <v/>
      </c>
    </row>
    <row r="111" ht="31.5" customFormat="1" customHeight="1" s="82">
      <c r="A111" s="122" t="n">
        <v>96</v>
      </c>
      <c r="B111" s="122" t="n"/>
      <c r="C111" s="30" t="inlineStr">
        <is>
          <t>01.7.11.07-0184</t>
        </is>
      </c>
      <c r="D111" s="123" t="inlineStr">
        <is>
          <t>Электроды с основным покрытием Э50А, диаметр 4 мм</t>
        </is>
      </c>
      <c r="E111" s="122" t="inlineStr">
        <is>
          <t>т</t>
        </is>
      </c>
      <c r="F111" s="122" t="n">
        <v>0.0772</v>
      </c>
      <c r="G111" s="127" t="n">
        <v>11524</v>
      </c>
      <c r="H111" s="127">
        <f>ROUND(F111*G111,2)</f>
        <v/>
      </c>
    </row>
    <row r="112" ht="31.5" customFormat="1" customHeight="1" s="82">
      <c r="A112" s="122" t="n">
        <v>97</v>
      </c>
      <c r="B112" s="122" t="n"/>
      <c r="C112" s="30" t="inlineStr">
        <is>
          <t>02.2.05.04-0104</t>
        </is>
      </c>
      <c r="D112" s="123" t="inlineStr">
        <is>
          <t>Щебень из природного камня для строительных работ марка: 1000, фракция 20-80 (70) мм</t>
        </is>
      </c>
      <c r="E112" s="122" t="inlineStr">
        <is>
          <t>м3</t>
        </is>
      </c>
      <c r="F112" s="122" t="n">
        <v>8.58</v>
      </c>
      <c r="G112" s="127" t="n">
        <v>98.55</v>
      </c>
      <c r="H112" s="127">
        <f>ROUND(F112*G112,2)</f>
        <v/>
      </c>
    </row>
    <row r="113" ht="47.25" customFormat="1" customHeight="1" s="82">
      <c r="A113" s="122" t="n">
        <v>98</v>
      </c>
      <c r="B113" s="122" t="n"/>
      <c r="C113" s="30" t="inlineStr">
        <is>
          <t>24.3.05.06-0011</t>
        </is>
      </c>
      <c r="D113" s="123" t="inlineStr">
        <is>
          <t>Манжета предохраняющая для заделки концов кожуха трубопроводов, номинальным наружным диаметром 1000 мм</t>
        </is>
      </c>
      <c r="E113" s="122" t="inlineStr">
        <is>
          <t>шт</t>
        </is>
      </c>
      <c r="F113" s="122" t="n">
        <v>0.66</v>
      </c>
      <c r="G113" s="127" t="n">
        <v>1249.15</v>
      </c>
      <c r="H113" s="127">
        <f>ROUND(F113*G113,2)</f>
        <v/>
      </c>
    </row>
    <row r="114" ht="15.75" customFormat="1" customHeight="1" s="82">
      <c r="A114" s="122" t="n">
        <v>99</v>
      </c>
      <c r="B114" s="122" t="n"/>
      <c r="C114" s="30" t="inlineStr">
        <is>
          <t>01.7.12.05-0060</t>
        </is>
      </c>
      <c r="D114" s="123" t="inlineStr">
        <is>
          <t>Нетканый геотекстиль: Дорнит 600 г/м2</t>
        </is>
      </c>
      <c r="E114" s="122" t="inlineStr">
        <is>
          <t>м2</t>
        </is>
      </c>
      <c r="F114" s="122" t="n">
        <v>57.133</v>
      </c>
      <c r="G114" s="127" t="n">
        <v>13.53</v>
      </c>
      <c r="H114" s="127">
        <f>ROUND(F114*G114,2)</f>
        <v/>
      </c>
    </row>
    <row r="115" ht="47.25" customFormat="1" customHeight="1" s="82">
      <c r="A115" s="122" t="n">
        <v>100</v>
      </c>
      <c r="B115" s="122" t="n"/>
      <c r="C115" s="30" t="inlineStr">
        <is>
          <t>01.5.03.03-0026</t>
        </is>
      </c>
      <c r="D115" s="123" t="inlineStr">
        <is>
          <t>Знаки дорожные на оцинкованной подоснове со световозвращающей пленкой запрещающие, круг диаметром 700 мм, тип 3.1-3.33</t>
        </is>
      </c>
      <c r="E115" s="122" t="inlineStr">
        <is>
          <t>шт.</t>
        </is>
      </c>
      <c r="F115" s="122" t="n">
        <v>3.96</v>
      </c>
      <c r="G115" s="127" t="n">
        <v>183.59</v>
      </c>
      <c r="H115" s="127">
        <f>ROUND(F115*G115,2)</f>
        <v/>
      </c>
    </row>
    <row r="116" ht="31.5" customFormat="1" customHeight="1" s="82">
      <c r="A116" s="122" t="n">
        <v>101</v>
      </c>
      <c r="B116" s="122" t="n"/>
      <c r="C116" s="30" t="inlineStr">
        <is>
          <t>01.2.03.02-0001</t>
        </is>
      </c>
      <c r="D116" s="123" t="inlineStr">
        <is>
          <t>Грунтовка битумная под полимерное или резиновое покрытие</t>
        </is>
      </c>
      <c r="E116" s="122" t="inlineStr">
        <is>
          <t>т</t>
        </is>
      </c>
      <c r="F116" s="122" t="n">
        <v>0.0234</v>
      </c>
      <c r="G116" s="127" t="n">
        <v>31060</v>
      </c>
      <c r="H116" s="127">
        <f>ROUND(F116*G116,2)</f>
        <v/>
      </c>
    </row>
    <row r="117" ht="31.5" customFormat="1" customHeight="1" s="82">
      <c r="A117" s="122" t="n">
        <v>102</v>
      </c>
      <c r="B117" s="122" t="n"/>
      <c r="C117" s="30" t="inlineStr">
        <is>
          <t>18.1.09.01-0014</t>
        </is>
      </c>
      <c r="D117" s="123" t="inlineStr">
        <is>
          <t>Кран шаровой газовый стальной, номинальный диаметр 200 мм</t>
        </is>
      </c>
      <c r="E117" s="122" t="inlineStr">
        <is>
          <t>шт</t>
        </is>
      </c>
      <c r="F117" s="122" t="n">
        <v>0.264</v>
      </c>
      <c r="G117" s="127" t="n">
        <v>2722.64</v>
      </c>
      <c r="H117" s="127">
        <f>ROUND(F117*G117,2)</f>
        <v/>
      </c>
    </row>
    <row r="118" ht="47.25" customFormat="1" customHeight="1" s="82">
      <c r="A118" s="122" t="n">
        <v>103</v>
      </c>
      <c r="B118" s="122" t="n"/>
      <c r="C118" s="30" t="inlineStr">
        <is>
          <t>11.1.03.01-0087</t>
        </is>
      </c>
      <c r="D118" s="123" t="inlineStr">
        <is>
          <t>Бруски обрезные, хвойных пород, длина 4-6,5 м, ширина 75-150 мм, толщина 150 мм и более, сорт III</t>
        </is>
      </c>
      <c r="E118" s="122" t="inlineStr">
        <is>
          <t>м3</t>
        </is>
      </c>
      <c r="F118" s="122" t="n">
        <v>0.44152</v>
      </c>
      <c r="G118" s="127" t="n">
        <v>1514.2</v>
      </c>
      <c r="H118" s="127">
        <f>ROUND(F118*G118,2)</f>
        <v/>
      </c>
    </row>
    <row r="119" ht="31.5" customFormat="1" customHeight="1" s="82">
      <c r="A119" s="122" t="n">
        <v>104</v>
      </c>
      <c r="B119" s="122" t="n"/>
      <c r="C119" s="30" t="inlineStr">
        <is>
          <t>01.7.11.07-0185</t>
        </is>
      </c>
      <c r="D119" s="123" t="inlineStr">
        <is>
          <t>Электроды с основным покрытием Э60А, диаметр 4 мм</t>
        </is>
      </c>
      <c r="E119" s="122" t="inlineStr">
        <is>
          <t>т</t>
        </is>
      </c>
      <c r="F119" s="122" t="n">
        <v>0.04692</v>
      </c>
      <c r="G119" s="127" t="n">
        <v>14221</v>
      </c>
      <c r="H119" s="127">
        <f>ROUND(F119*G119,2)</f>
        <v/>
      </c>
    </row>
    <row r="120" ht="31.5" customFormat="1" customHeight="1" s="82">
      <c r="A120" s="122" t="n">
        <v>105</v>
      </c>
      <c r="B120" s="122" t="n"/>
      <c r="C120" s="30" t="inlineStr">
        <is>
          <t>05.1.07.27-0011</t>
        </is>
      </c>
      <c r="D120" s="123" t="inlineStr">
        <is>
          <t>Столбы оград: 2С 24и /бетон В15 (М200), объем 0,05 м3, расход арматуры 11,9 кг/ (серия 3.017-3)</t>
        </is>
      </c>
      <c r="E120" s="122" t="inlineStr">
        <is>
          <t>шт.</t>
        </is>
      </c>
      <c r="F120" s="122" t="n">
        <v>3.96</v>
      </c>
      <c r="G120" s="127" t="n">
        <v>143</v>
      </c>
      <c r="H120" s="127">
        <f>ROUND(F120*G120,2)</f>
        <v/>
      </c>
    </row>
    <row r="121" ht="31.5" customFormat="1" customHeight="1" s="82">
      <c r="A121" s="122" t="n">
        <v>106</v>
      </c>
      <c r="B121" s="122" t="n"/>
      <c r="C121" s="30" t="inlineStr">
        <is>
          <t>01.7.11.07-0183</t>
        </is>
      </c>
      <c r="D121" s="123" t="inlineStr">
        <is>
          <t>Электроды с основным покрытием Э50А, диаметр 3 мм</t>
        </is>
      </c>
      <c r="E121" s="122" t="inlineStr">
        <is>
          <t>т</t>
        </is>
      </c>
      <c r="F121" s="122" t="n">
        <v>0.034954</v>
      </c>
      <c r="G121" s="127" t="n">
        <v>12545.99</v>
      </c>
      <c r="H121" s="127">
        <f>ROUND(F121*G121,2)</f>
        <v/>
      </c>
    </row>
    <row r="122" ht="63" customFormat="1" customHeight="1" s="82">
      <c r="A122" s="122" t="n">
        <v>107</v>
      </c>
      <c r="B122" s="122" t="n"/>
      <c r="C122" s="30" t="inlineStr">
        <is>
          <t>23.3.03.02-0062</t>
        </is>
      </c>
      <c r="D122" s="123" t="inlineStr">
        <is>
          <t>Трубы стальные бесшовные горячедеформированные со снятой фаской из стали марок 15, 20, 35, наружный диаметр 89 мм, толщина стенки 4 мм</t>
        </is>
      </c>
      <c r="E122" s="122" t="inlineStr">
        <is>
          <t>м</t>
        </is>
      </c>
      <c r="F122" s="122" t="n">
        <v>5.3328</v>
      </c>
      <c r="G122" s="127" t="n">
        <v>73.12</v>
      </c>
      <c r="H122" s="127">
        <f>ROUND(F122*G122,2)</f>
        <v/>
      </c>
    </row>
    <row r="123" ht="47.25" customFormat="1" customHeight="1" s="82">
      <c r="A123" s="122" t="n">
        <v>108</v>
      </c>
      <c r="B123" s="122" t="n"/>
      <c r="C123" s="30" t="inlineStr">
        <is>
          <t>01.2.03.02-0012</t>
        </is>
      </c>
      <c r="D123" s="123" t="inlineStr">
        <is>
          <t>Грунтовка битумно-полимерная антикоррозионная для защитного покрытия при температуре эксплуатации от-45 °C до +40 °C</t>
        </is>
      </c>
      <c r="E123" s="122" t="inlineStr">
        <is>
          <t>т</t>
        </is>
      </c>
      <c r="F123" s="122" t="n">
        <v>0.011484</v>
      </c>
      <c r="G123" s="127" t="n">
        <v>33439.02</v>
      </c>
      <c r="H123" s="127">
        <f>ROUND(F123*G123,2)</f>
        <v/>
      </c>
    </row>
    <row r="124" ht="31.5" customFormat="1" customHeight="1" s="82">
      <c r="A124" s="122" t="n">
        <v>109</v>
      </c>
      <c r="B124" s="122" t="n"/>
      <c r="C124" s="30" t="inlineStr">
        <is>
          <t>12.2.03.11-0041</t>
        </is>
      </c>
      <c r="D124" s="123" t="inlineStr">
        <is>
          <t>Холсты стекловолокнистые термовлагоустойчивые</t>
        </is>
      </c>
      <c r="E124" s="122" t="inlineStr">
        <is>
          <t>10 м2</t>
        </is>
      </c>
      <c r="F124" s="122" t="n">
        <v>34.84</v>
      </c>
      <c r="G124" s="127" t="n">
        <v>10.71</v>
      </c>
      <c r="H124" s="127">
        <f>ROUND(F124*G124,2)</f>
        <v/>
      </c>
    </row>
    <row r="125" ht="15.75" customFormat="1" customHeight="1" s="82">
      <c r="A125" s="122" t="n">
        <v>110</v>
      </c>
      <c r="B125" s="122" t="n"/>
      <c r="C125" s="30" t="inlineStr">
        <is>
          <t>01.7.02.02-0021</t>
        </is>
      </c>
      <c r="D125" s="123" t="inlineStr">
        <is>
          <t>Бумага оберточная листовая</t>
        </is>
      </c>
      <c r="E125" s="122" t="inlineStr">
        <is>
          <t>1000 м2</t>
        </is>
      </c>
      <c r="F125" s="122" t="n">
        <v>0.2977</v>
      </c>
      <c r="G125" s="127" t="n">
        <v>1252</v>
      </c>
      <c r="H125" s="127">
        <f>ROUND(F125*G125,2)</f>
        <v/>
      </c>
    </row>
    <row r="126" ht="15.75" customFormat="1" customHeight="1" s="82">
      <c r="A126" s="122" t="n">
        <v>111</v>
      </c>
      <c r="B126" s="122" t="n"/>
      <c r="C126" s="30" t="inlineStr">
        <is>
          <t>24.3.05.06-0041</t>
        </is>
      </c>
      <c r="D126" s="123" t="inlineStr">
        <is>
          <t>Манжета термоусаживаемая</t>
        </is>
      </c>
      <c r="E126" s="122" t="inlineStr">
        <is>
          <t>шт</t>
        </is>
      </c>
      <c r="F126" s="122" t="n">
        <v>9.24</v>
      </c>
      <c r="G126" s="127" t="n">
        <v>38</v>
      </c>
      <c r="H126" s="127">
        <f>ROUND(F126*G126,2)</f>
        <v/>
      </c>
    </row>
    <row r="127" ht="63" customFormat="1" customHeight="1" s="82">
      <c r="A127" s="122" t="n">
        <v>112</v>
      </c>
      <c r="B127" s="122" t="n"/>
      <c r="C127" s="30" t="inlineStr">
        <is>
          <t>23.5.01.07-0046</t>
        </is>
      </c>
      <c r="D127" s="123" t="inlineStr">
        <is>
          <t>Трубы стальные сварные для магистральных газонефтепроводов, класс прочности К52, наружный диаметр 720 мм, толщина стенки 12 мм</t>
        </is>
      </c>
      <c r="E127" s="122" t="inlineStr">
        <is>
          <t>м</t>
        </is>
      </c>
      <c r="F127" s="122" t="n">
        <v>0.1155</v>
      </c>
      <c r="G127" s="127" t="n">
        <v>2398.39</v>
      </c>
      <c r="H127" s="127">
        <f>ROUND(F127*G127,2)</f>
        <v/>
      </c>
    </row>
    <row r="128" ht="15.75" customFormat="1" customHeight="1" s="82">
      <c r="A128" s="122" t="n">
        <v>113</v>
      </c>
      <c r="B128" s="122" t="n"/>
      <c r="C128" s="30" t="inlineStr">
        <is>
          <t>01.5.03.06-0012</t>
        </is>
      </c>
      <c r="D128" s="123" t="inlineStr">
        <is>
          <t>Столбики сигнальные дорожные пластиковые</t>
        </is>
      </c>
      <c r="E128" s="122" t="inlineStr">
        <is>
          <t>шт</t>
        </is>
      </c>
      <c r="F128" s="122" t="n">
        <v>5.3</v>
      </c>
      <c r="G128" s="127" t="n">
        <v>43.06</v>
      </c>
      <c r="H128" s="127">
        <f>ROUND(F128*G128,2)</f>
        <v/>
      </c>
    </row>
    <row r="129" ht="15.75" customFormat="1" customHeight="1" s="82">
      <c r="A129" s="122" t="n">
        <v>114</v>
      </c>
      <c r="B129" s="122" t="n"/>
      <c r="C129" s="30" t="inlineStr">
        <is>
          <t>01.5.03.06-0012</t>
        </is>
      </c>
      <c r="D129" s="123" t="inlineStr">
        <is>
          <t>Столбики сигнальные дорожные пластиковые</t>
        </is>
      </c>
      <c r="E129" s="122" t="inlineStr">
        <is>
          <t>шт.</t>
        </is>
      </c>
      <c r="F129" s="122" t="n">
        <v>5.28</v>
      </c>
      <c r="G129" s="127" t="n">
        <v>43.06</v>
      </c>
      <c r="H129" s="127">
        <f>ROUND(F129*G129,2)</f>
        <v/>
      </c>
    </row>
    <row r="130" ht="15.75" customFormat="1" customHeight="1" s="82">
      <c r="A130" s="122" t="n">
        <v>115</v>
      </c>
      <c r="B130" s="122" t="n"/>
      <c r="C130" s="30" t="inlineStr">
        <is>
          <t>01.7.03.01-0001</t>
        </is>
      </c>
      <c r="D130" s="123" t="inlineStr">
        <is>
          <t>Вода</t>
        </is>
      </c>
      <c r="E130" s="122" t="inlineStr">
        <is>
          <t>м3</t>
        </is>
      </c>
      <c r="F130" s="122" t="n">
        <v>82.38420000000001</v>
      </c>
      <c r="G130" s="127" t="n">
        <v>2.44</v>
      </c>
      <c r="H130" s="127">
        <f>ROUND(F130*G130,2)</f>
        <v/>
      </c>
    </row>
    <row r="131" ht="31.5" customFormat="1" customHeight="1" s="82">
      <c r="A131" s="122" t="n">
        <v>116</v>
      </c>
      <c r="B131" s="122" t="n"/>
      <c r="C131" s="30" t="inlineStr">
        <is>
          <t>23.1.02.03-0011</t>
        </is>
      </c>
      <c r="D131" s="123" t="inlineStr">
        <is>
          <t>Кольца центрирующие для труб, диаметр 1000 мм</t>
        </is>
      </c>
      <c r="E131" s="122" t="inlineStr">
        <is>
          <t>шт</t>
        </is>
      </c>
      <c r="F131" s="122" t="n">
        <v>3.4089</v>
      </c>
      <c r="G131" s="127" t="n">
        <v>57.89</v>
      </c>
      <c r="H131" s="127">
        <f>ROUND(F131*G131,2)</f>
        <v/>
      </c>
    </row>
    <row r="132" ht="31.5" customFormat="1" customHeight="1" s="82">
      <c r="A132" s="122" t="n">
        <v>117</v>
      </c>
      <c r="B132" s="122" t="n"/>
      <c r="C132" s="30" t="inlineStr">
        <is>
          <t>24.2.06.05-0003</t>
        </is>
      </c>
      <c r="D132" s="123" t="inlineStr">
        <is>
          <t>Пневмозаглушка резинокордная диаметром до 900 мм</t>
        </is>
      </c>
      <c r="E132" s="122" t="inlineStr">
        <is>
          <t>шт.</t>
        </is>
      </c>
      <c r="F132" s="122" t="n">
        <v>0.015</v>
      </c>
      <c r="G132" s="127" t="n">
        <v>11311</v>
      </c>
      <c r="H132" s="127">
        <f>ROUND(F132*G132,2)</f>
        <v/>
      </c>
    </row>
    <row r="133" ht="31.5" customFormat="1" customHeight="1" s="82">
      <c r="A133" s="122" t="n">
        <v>118</v>
      </c>
      <c r="B133" s="122" t="n"/>
      <c r="C133" s="30" t="inlineStr">
        <is>
          <t>01.7.12.16-0031</t>
        </is>
      </c>
      <c r="D133" s="123" t="inlineStr">
        <is>
          <t>Коврики защитные под утяжелители УБОм из НСМ толщиной 3,5 мм, размером 1900х2400 мм</t>
        </is>
      </c>
      <c r="E133" s="122" t="inlineStr">
        <is>
          <t>шт.</t>
        </is>
      </c>
      <c r="F133" s="122" t="n">
        <v>28.71</v>
      </c>
      <c r="G133" s="127" t="n">
        <v>5.68</v>
      </c>
      <c r="H133" s="127">
        <f>ROUND(F133*G133,2)</f>
        <v/>
      </c>
    </row>
    <row r="134" ht="31.5" customFormat="1" customHeight="1" s="82">
      <c r="A134" s="122" t="n">
        <v>119</v>
      </c>
      <c r="B134" s="122" t="n"/>
      <c r="C134" s="30" t="inlineStr">
        <is>
          <t>23.5.02.02-0012</t>
        </is>
      </c>
      <c r="D134" s="123" t="inlineStr">
        <is>
          <t>Трубы стальные электросварные прямошовные диаметром 100-150 мм</t>
        </is>
      </c>
      <c r="E134" s="122" t="inlineStr">
        <is>
          <t>т</t>
        </is>
      </c>
      <c r="F134" s="122" t="n">
        <v>0.018</v>
      </c>
      <c r="G134" s="127" t="n">
        <v>8920.1</v>
      </c>
      <c r="H134" s="127">
        <f>ROUND(F134*G134,2)</f>
        <v/>
      </c>
    </row>
    <row r="135" ht="63" customFormat="1" customHeight="1" s="82">
      <c r="A135" s="122" t="n">
        <v>120</v>
      </c>
      <c r="B135" s="122" t="n"/>
      <c r="C135" s="30" t="inlineStr">
        <is>
          <t>23.3.03.02-0075</t>
        </is>
      </c>
      <c r="D135" s="123" t="inlineStr">
        <is>
          <t>Трубы стальные бесшовные горячедеформированные со снятой фаской из стали марок 15, 20, 35, наружный диаметр 108 мм, толщина стенки 4 мм</t>
        </is>
      </c>
      <c r="E135" s="122" t="inlineStr">
        <is>
          <t>м</t>
        </is>
      </c>
      <c r="F135" s="122" t="n">
        <v>1.6665</v>
      </c>
      <c r="G135" s="127" t="n">
        <v>81.61</v>
      </c>
      <c r="H135" s="127">
        <f>ROUND(F135*G135,2)</f>
        <v/>
      </c>
    </row>
    <row r="136" ht="15.75" customFormat="1" customHeight="1" s="82">
      <c r="A136" s="122" t="n">
        <v>121</v>
      </c>
      <c r="B136" s="122" t="n"/>
      <c r="C136" s="30" t="inlineStr">
        <is>
          <t>01.3.02.09-0022</t>
        </is>
      </c>
      <c r="D136" s="123" t="inlineStr">
        <is>
          <t>Пропан-бутан смесь техническая</t>
        </is>
      </c>
      <c r="E136" s="122" t="inlineStr">
        <is>
          <t>кг</t>
        </is>
      </c>
      <c r="F136" s="122" t="n">
        <v>19.28685</v>
      </c>
      <c r="G136" s="127" t="n">
        <v>6.09</v>
      </c>
      <c r="H136" s="127">
        <f>ROUND(F136*G136,2)</f>
        <v/>
      </c>
    </row>
    <row r="137" ht="31.5" customFormat="1" customHeight="1" s="82">
      <c r="A137" s="122" t="n">
        <v>122</v>
      </c>
      <c r="B137" s="122" t="n"/>
      <c r="C137" s="30" t="inlineStr">
        <is>
          <t>16.3.02.01-0002</t>
        </is>
      </c>
      <c r="D137" s="123" t="inlineStr">
        <is>
          <t>Удобрение комплексное на основе диаммонийфосфата</t>
        </is>
      </c>
      <c r="E137" s="122" t="inlineStr">
        <is>
          <t>кг</t>
        </is>
      </c>
      <c r="F137" s="122" t="n">
        <v>19.714</v>
      </c>
      <c r="G137" s="127" t="n">
        <v>5.22</v>
      </c>
      <c r="H137" s="127">
        <f>ROUND(F137*G137,2)</f>
        <v/>
      </c>
    </row>
    <row r="138" ht="15.75" customFormat="1" customHeight="1" s="82">
      <c r="A138" s="122" t="n">
        <v>123</v>
      </c>
      <c r="B138" s="122" t="n"/>
      <c r="C138" s="30" t="inlineStr">
        <is>
          <t>01.2.03.03-0045</t>
        </is>
      </c>
      <c r="D138" s="123" t="inlineStr">
        <is>
          <t>Мастика битумно-полимерная</t>
        </is>
      </c>
      <c r="E138" s="122" t="inlineStr">
        <is>
          <t>т</t>
        </is>
      </c>
      <c r="F138" s="122" t="n">
        <v>0.0522</v>
      </c>
      <c r="G138" s="127" t="n">
        <v>1500</v>
      </c>
      <c r="H138" s="127">
        <f>ROUND(F138*G138,2)</f>
        <v/>
      </c>
    </row>
    <row r="139" ht="31.5" customFormat="1" customHeight="1" s="82">
      <c r="A139" s="122" t="n">
        <v>124</v>
      </c>
      <c r="B139" s="122" t="n"/>
      <c r="C139" s="30" t="inlineStr">
        <is>
          <t>01.7.11.07-0182</t>
        </is>
      </c>
      <c r="D139" s="123" t="inlineStr">
        <is>
          <t>Электроды с основным покрытием Э42А, диаметр 3 мм</t>
        </is>
      </c>
      <c r="E139" s="122" t="inlineStr">
        <is>
          <t>т</t>
        </is>
      </c>
      <c r="F139" s="122" t="n">
        <v>0.00594</v>
      </c>
      <c r="G139" s="127" t="n">
        <v>12143.01</v>
      </c>
      <c r="H139" s="127">
        <f>ROUND(F139*G139,2)</f>
        <v/>
      </c>
    </row>
    <row r="140" ht="15.75" customFormat="1" customHeight="1" s="82">
      <c r="A140" s="122" t="n">
        <v>125</v>
      </c>
      <c r="B140" s="122" t="n"/>
      <c r="C140" s="30" t="inlineStr">
        <is>
          <t>01.3.02.08-0001</t>
        </is>
      </c>
      <c r="D140" s="123" t="inlineStr">
        <is>
          <t>Кислород газообразный технический</t>
        </is>
      </c>
      <c r="E140" s="122" t="inlineStr">
        <is>
          <t>м3</t>
        </is>
      </c>
      <c r="F140" s="122" t="n">
        <v>11.58234</v>
      </c>
      <c r="G140" s="127" t="n">
        <v>6.22</v>
      </c>
      <c r="H140" s="127">
        <f>ROUND(F140*G140,2)</f>
        <v/>
      </c>
    </row>
    <row r="141" ht="31.5" customFormat="1" customHeight="1" s="82">
      <c r="A141" s="122" t="n">
        <v>126</v>
      </c>
      <c r="B141" s="122" t="n"/>
      <c r="C141" s="30" t="inlineStr">
        <is>
          <t>18.1.09.01-0011</t>
        </is>
      </c>
      <c r="D141" s="123" t="inlineStr">
        <is>
          <t>Кран шаровой газовый стальной, номинальный диаметр 80 мм</t>
        </is>
      </c>
      <c r="E141" s="122" t="inlineStr">
        <is>
          <t>шт</t>
        </is>
      </c>
      <c r="F141" s="122" t="n">
        <v>0.132</v>
      </c>
      <c r="G141" s="127" t="n">
        <v>537.64</v>
      </c>
      <c r="H141" s="127">
        <f>ROUND(F141*G141,2)</f>
        <v/>
      </c>
    </row>
    <row r="142" ht="63" customFormat="1" customHeight="1" s="82">
      <c r="A142" s="122" t="n">
        <v>127</v>
      </c>
      <c r="B142" s="122" t="n"/>
      <c r="C142" s="30" t="inlineStr">
        <is>
          <t>23.8.04.12-0132</t>
        </is>
      </c>
      <c r="D142" s="123" t="inlineStr">
        <is>
          <t>Тройники равнопроходные, номинальное давление до 16 МПа, номинальный диаметр 200 мм, наружный диаметр и толщина стенки 219х6,0 мм</t>
        </is>
      </c>
      <c r="E142" s="122" t="inlineStr">
        <is>
          <t>шт</t>
        </is>
      </c>
      <c r="F142" s="122" t="n">
        <v>0.198</v>
      </c>
      <c r="G142" s="127" t="n">
        <v>340.32</v>
      </c>
      <c r="H142" s="127">
        <f>ROUND(F142*G142,2)</f>
        <v/>
      </c>
    </row>
    <row r="143" ht="63" customFormat="1" customHeight="1" s="82">
      <c r="A143" s="122" t="n">
        <v>128</v>
      </c>
      <c r="B143" s="122" t="n"/>
      <c r="C143" s="30" t="inlineStr">
        <is>
          <t>23.8.04.06-0094</t>
        </is>
      </c>
      <c r="D143" s="123" t="inlineStr">
        <is>
          <t>Отвод крутоизогнутый, радиус кривизны 1,5 мм, номинальное давление до 16 МПа, номинальный диаметр 200 мм, наружный диаметр 219 мм, толщина стенки 6 мм</t>
        </is>
      </c>
      <c r="E143" s="122" t="inlineStr">
        <is>
          <t>шт</t>
        </is>
      </c>
      <c r="F143" s="122" t="n">
        <v>0.297</v>
      </c>
      <c r="G143" s="127" t="n">
        <v>224</v>
      </c>
      <c r="H143" s="127">
        <f>ROUND(F143*G143,2)</f>
        <v/>
      </c>
    </row>
    <row r="144" ht="31.5" customFormat="1" customHeight="1" s="82">
      <c r="A144" s="122" t="n">
        <v>129</v>
      </c>
      <c r="B144" s="122" t="n"/>
      <c r="C144" s="30" t="inlineStr">
        <is>
          <t>01.7.11.07-0181</t>
        </is>
      </c>
      <c r="D144" s="123" t="inlineStr">
        <is>
          <t>Электроды с основным покрытием Э42А, диаметр 2,5 мм</t>
        </is>
      </c>
      <c r="E144" s="122" t="inlineStr">
        <is>
          <t>т</t>
        </is>
      </c>
      <c r="F144" s="122" t="n">
        <v>0.004059</v>
      </c>
      <c r="G144" s="127" t="n">
        <v>14074</v>
      </c>
      <c r="H144" s="127">
        <f>ROUND(F144*G144,2)</f>
        <v/>
      </c>
    </row>
    <row r="145" ht="31.5" customFormat="1" customHeight="1" s="82">
      <c r="A145" s="122" t="n">
        <v>130</v>
      </c>
      <c r="B145" s="122" t="n"/>
      <c r="C145" s="30" t="inlineStr">
        <is>
          <t>08.4.03.04-0001</t>
        </is>
      </c>
      <c r="D145" s="123" t="inlineStr">
        <is>
          <t>Сталь арматурная, горячекатаная, класс А-I, А-II, А-III</t>
        </is>
      </c>
      <c r="E145" s="122" t="inlineStr">
        <is>
          <t>т</t>
        </is>
      </c>
      <c r="F145" s="122" t="n">
        <v>0.008999999999999999</v>
      </c>
      <c r="G145" s="127" t="n">
        <v>5650</v>
      </c>
      <c r="H145" s="127">
        <f>ROUND(F145*G145,2)</f>
        <v/>
      </c>
    </row>
    <row r="146" ht="31.5" customFormat="1" customHeight="1" s="82">
      <c r="A146" s="122" t="n">
        <v>131</v>
      </c>
      <c r="B146" s="122" t="n"/>
      <c r="C146" s="30" t="inlineStr">
        <is>
          <t>04.3.01.09-0023</t>
        </is>
      </c>
      <c r="D146" s="123" t="inlineStr">
        <is>
          <t>Раствор отделочный тяжелый цементный, состав 1:3</t>
        </is>
      </c>
      <c r="E146" s="122" t="inlineStr">
        <is>
          <t>м3</t>
        </is>
      </c>
      <c r="F146" s="122" t="n">
        <v>0.08352</v>
      </c>
      <c r="G146" s="127" t="n">
        <v>497</v>
      </c>
      <c r="H146" s="127">
        <f>ROUND(F146*G146,2)</f>
        <v/>
      </c>
    </row>
    <row r="147" ht="15.75" customFormat="1" customHeight="1" s="82">
      <c r="A147" s="122" t="n">
        <v>132</v>
      </c>
      <c r="B147" s="122" t="n"/>
      <c r="C147" s="30" t="inlineStr">
        <is>
          <t>14.4.01.09-0604</t>
        </is>
      </c>
      <c r="D147" s="123" t="inlineStr">
        <is>
          <t>Праймер эпоксидный</t>
        </is>
      </c>
      <c r="E147" s="122" t="inlineStr">
        <is>
          <t>кг</t>
        </is>
      </c>
      <c r="F147" s="122" t="n">
        <v>0.924</v>
      </c>
      <c r="G147" s="127" t="n">
        <v>40.33</v>
      </c>
      <c r="H147" s="127">
        <f>ROUND(F147*G147,2)</f>
        <v/>
      </c>
    </row>
    <row r="148" ht="15.75" customFormat="1" customHeight="1" s="82">
      <c r="A148" s="122" t="n">
        <v>133</v>
      </c>
      <c r="B148" s="122" t="n"/>
      <c r="C148" s="30" t="inlineStr">
        <is>
          <t>01.7.15.02-0083</t>
        </is>
      </c>
      <c r="D148" s="123" t="inlineStr">
        <is>
          <t>Болты с шестигранной головкой, диаметр 10 мм</t>
        </is>
      </c>
      <c r="E148" s="122" t="inlineStr">
        <is>
          <t>т</t>
        </is>
      </c>
      <c r="F148" s="122" t="n">
        <v>0.00192</v>
      </c>
      <c r="G148" s="127" t="n">
        <v>19400</v>
      </c>
      <c r="H148" s="127">
        <f>ROUND(F148*G148,2)</f>
        <v/>
      </c>
    </row>
    <row r="149" ht="31.5" customFormat="1" customHeight="1" s="82">
      <c r="A149" s="122" t="n">
        <v>134</v>
      </c>
      <c r="B149" s="122" t="n"/>
      <c r="C149" s="30" t="inlineStr">
        <is>
          <t>04.1.02.05-0010</t>
        </is>
      </c>
      <c r="D149" s="123" t="inlineStr">
        <is>
          <t>Смеси бетонные тяжелого бетона (БСТ), класс В27,5 (М350)</t>
        </is>
      </c>
      <c r="E149" s="122" t="inlineStr">
        <is>
          <t>м3</t>
        </is>
      </c>
      <c r="F149" s="122" t="n">
        <v>0.04872</v>
      </c>
      <c r="G149" s="127" t="n">
        <v>730</v>
      </c>
      <c r="H149" s="127">
        <f>ROUND(F149*G149,2)</f>
        <v/>
      </c>
    </row>
    <row r="150" ht="15.75" customFormat="1" customHeight="1" s="82">
      <c r="A150" s="122" t="n">
        <v>135</v>
      </c>
      <c r="B150" s="122" t="n"/>
      <c r="C150" s="30" t="inlineStr">
        <is>
          <t>23.8.03.01-0002</t>
        </is>
      </c>
      <c r="D150" s="123" t="inlineStr">
        <is>
          <t>Заглушки инвентарные металлические</t>
        </is>
      </c>
      <c r="E150" s="122" t="inlineStr">
        <is>
          <t>т</t>
        </is>
      </c>
      <c r="F150" s="122" t="n">
        <v>0.0033</v>
      </c>
      <c r="G150" s="127" t="n">
        <v>9200</v>
      </c>
      <c r="H150" s="127">
        <f>ROUND(F150*G150,2)</f>
        <v/>
      </c>
    </row>
    <row r="151" ht="31.5" customFormat="1" customHeight="1" s="82">
      <c r="A151" s="122" t="n">
        <v>136</v>
      </c>
      <c r="B151" s="122" t="n"/>
      <c r="C151" s="30" t="inlineStr">
        <is>
          <t>16.3.02.03-0004</t>
        </is>
      </c>
      <c r="D151" s="123" t="inlineStr">
        <is>
          <t>Удобрения сложно-смешанные гранулированные насыпью</t>
        </is>
      </c>
      <c r="E151" s="122" t="inlineStr">
        <is>
          <t>т</t>
        </is>
      </c>
      <c r="F151" s="122" t="n">
        <v>0.0197132</v>
      </c>
      <c r="G151" s="127" t="n">
        <v>1480</v>
      </c>
      <c r="H151" s="127">
        <f>ROUND(F151*G151,2)</f>
        <v/>
      </c>
    </row>
    <row r="152" ht="15.75" customFormat="1" customHeight="1" s="82">
      <c r="A152" s="122" t="n">
        <v>137</v>
      </c>
      <c r="B152" s="122" t="n"/>
      <c r="C152" s="30" t="inlineStr">
        <is>
          <t>01.7.11.07-0032</t>
        </is>
      </c>
      <c r="D152" s="123" t="inlineStr">
        <is>
          <t>Электроды сварочные Э42, диаметр 4 мм</t>
        </is>
      </c>
      <c r="E152" s="122" t="inlineStr">
        <is>
          <t>т</t>
        </is>
      </c>
      <c r="F152" s="122" t="n">
        <v>0.002784</v>
      </c>
      <c r="G152" s="127" t="n">
        <v>10315.01</v>
      </c>
      <c r="H152" s="127">
        <f>ROUND(F152*G152,2)</f>
        <v/>
      </c>
    </row>
    <row r="153" ht="15.75" customFormat="1" customHeight="1" s="82">
      <c r="A153" s="122" t="n">
        <v>138</v>
      </c>
      <c r="B153" s="122" t="n"/>
      <c r="C153" s="30" t="inlineStr">
        <is>
          <t>23.8.03.01-0002</t>
        </is>
      </c>
      <c r="D153" s="123" t="inlineStr">
        <is>
          <t>Заглушки инвентарные металлические</t>
        </is>
      </c>
      <c r="E153" s="122" t="inlineStr">
        <is>
          <t>т</t>
        </is>
      </c>
      <c r="F153" s="122" t="n">
        <v>0.003</v>
      </c>
      <c r="G153" s="127" t="n">
        <v>9200</v>
      </c>
      <c r="H153" s="127">
        <f>ROUND(F153*G153,2)</f>
        <v/>
      </c>
    </row>
    <row r="154" ht="15.75" customFormat="1" customHeight="1" s="82">
      <c r="A154" s="122" t="n">
        <v>139</v>
      </c>
      <c r="B154" s="122" t="n"/>
      <c r="C154" s="30" t="inlineStr">
        <is>
          <t>14.4.01.08-0001</t>
        </is>
      </c>
      <c r="D154" s="123" t="inlineStr">
        <is>
          <t>Грунтовка В-КФ-093</t>
        </is>
      </c>
      <c r="E154" s="122" t="inlineStr">
        <is>
          <t>т</t>
        </is>
      </c>
      <c r="F154" s="122" t="n">
        <v>0.0007739999999999999</v>
      </c>
      <c r="G154" s="127" t="n">
        <v>35003</v>
      </c>
      <c r="H154" s="127">
        <f>ROUND(F154*G154,2)</f>
        <v/>
      </c>
    </row>
    <row r="155" ht="31.5" customFormat="1" customHeight="1" s="82">
      <c r="A155" s="122" t="n">
        <v>140</v>
      </c>
      <c r="B155" s="122" t="n"/>
      <c r="C155" s="30" t="inlineStr">
        <is>
          <t>11.1.02.04-0031</t>
        </is>
      </c>
      <c r="D155" s="123" t="inlineStr">
        <is>
          <t>Лесоматериалы круглые, хвойных пород, для строительства, диаметр 14-24 см, длина 3-6,5 м</t>
        </is>
      </c>
      <c r="E155" s="122" t="inlineStr">
        <is>
          <t>м3</t>
        </is>
      </c>
      <c r="F155" s="122" t="n">
        <v>0.026</v>
      </c>
      <c r="G155" s="127" t="n">
        <v>558.33</v>
      </c>
      <c r="H155" s="127">
        <f>ROUND(F155*G155,2)</f>
        <v/>
      </c>
    </row>
    <row r="156" ht="31.5" customFormat="1" customHeight="1" s="82">
      <c r="A156" s="122" t="n">
        <v>141</v>
      </c>
      <c r="B156" s="122" t="n"/>
      <c r="C156" s="30" t="inlineStr">
        <is>
          <t>11.1.03.01-0080</t>
        </is>
      </c>
      <c r="D156" s="123" t="inlineStr">
        <is>
          <t>Бруски обрезные, хвойных пород, длина 4-6,5 м, ширина 75-150 мм, толщина 40-75 мм, сорт IV</t>
        </is>
      </c>
      <c r="E156" s="122" t="inlineStr">
        <is>
          <t>м3</t>
        </is>
      </c>
      <c r="F156" s="122" t="n">
        <v>0.0129213</v>
      </c>
      <c r="G156" s="127" t="n">
        <v>1056</v>
      </c>
      <c r="H156" s="127">
        <f>ROUND(F156*G156,2)</f>
        <v/>
      </c>
    </row>
    <row r="157" ht="15.75" customFormat="1" customHeight="1" s="82">
      <c r="A157" s="122" t="n">
        <v>142</v>
      </c>
      <c r="B157" s="122" t="n"/>
      <c r="C157" s="30" t="inlineStr">
        <is>
          <t>14.5.09.11-0102</t>
        </is>
      </c>
      <c r="D157" s="123" t="inlineStr">
        <is>
          <t>Уайт-спирит</t>
        </is>
      </c>
      <c r="E157" s="122" t="inlineStr">
        <is>
          <t>кг</t>
        </is>
      </c>
      <c r="F157" s="122" t="n">
        <v>2.0328</v>
      </c>
      <c r="G157" s="127" t="n">
        <v>6.67</v>
      </c>
      <c r="H157" s="127">
        <f>ROUND(F157*G157,2)</f>
        <v/>
      </c>
    </row>
    <row r="158" ht="63" customFormat="1" customHeight="1" s="82">
      <c r="A158" s="122" t="n">
        <v>143</v>
      </c>
      <c r="B158" s="122" t="n"/>
      <c r="C158" s="30" t="inlineStr">
        <is>
          <t>23.8.04.12-0118</t>
        </is>
      </c>
      <c r="D158" s="123" t="inlineStr">
        <is>
          <t>Тройники равнопроходные, номинальное давление до 16 МПа, номинальный диаметр 80 мм, наружный диаметр и толщина стенки 89х3,5 мм</t>
        </is>
      </c>
      <c r="E158" s="122" t="inlineStr">
        <is>
          <t>шт</t>
        </is>
      </c>
      <c r="F158" s="122" t="n">
        <v>0.099</v>
      </c>
      <c r="G158" s="127" t="n">
        <v>133.37</v>
      </c>
      <c r="H158" s="127">
        <f>ROUND(F158*G158,2)</f>
        <v/>
      </c>
    </row>
    <row r="159" ht="63" customFormat="1" customHeight="1" s="82">
      <c r="A159" s="122" t="n">
        <v>144</v>
      </c>
      <c r="B159" s="122" t="n"/>
      <c r="C159" s="30" t="inlineStr">
        <is>
          <t>23.8.04.06-0069</t>
        </is>
      </c>
      <c r="D159" s="123" t="inlineStr">
        <is>
          <t>Отвод крутоизогнутый, радиус кривизны 1,5 мм, номинальное давление до 16 МПа, номинальный диаметр 80 мм, наружный диаметр 89 мм, толщина стенки 3,5 мм</t>
        </is>
      </c>
      <c r="E159" s="122" t="inlineStr">
        <is>
          <t>шт</t>
        </is>
      </c>
      <c r="F159" s="122" t="n">
        <v>0.264</v>
      </c>
      <c r="G159" s="127" t="n">
        <v>42.35</v>
      </c>
      <c r="H159" s="127">
        <f>ROUND(F159*G159,2)</f>
        <v/>
      </c>
    </row>
    <row r="160" ht="15.75" customFormat="1" customHeight="1" s="82">
      <c r="A160" s="122" t="n">
        <v>145</v>
      </c>
      <c r="B160" s="122" t="n"/>
      <c r="C160" s="30" t="inlineStr">
        <is>
          <t>18.4.01.08-0041</t>
        </is>
      </c>
      <c r="D160" s="123" t="inlineStr">
        <is>
          <t>Свеча вытяжная</t>
        </is>
      </c>
      <c r="E160" s="122" t="inlineStr">
        <is>
          <t>шт</t>
        </is>
      </c>
      <c r="F160" s="122" t="n">
        <v>0.33</v>
      </c>
      <c r="G160" s="127" t="n">
        <v>30</v>
      </c>
      <c r="H160" s="127">
        <f>ROUND(F160*G160,2)</f>
        <v/>
      </c>
    </row>
    <row r="161" ht="63" customFormat="1" customHeight="1" s="82">
      <c r="A161" s="122" t="n">
        <v>146</v>
      </c>
      <c r="B161" s="122" t="n"/>
      <c r="C161" s="30" t="inlineStr">
        <is>
          <t>23.8.04.06-0064</t>
        </is>
      </c>
      <c r="D161" s="123" t="inlineStr">
        <is>
          <t>Отвод крутоизогнутый, радиус кривизны 1,5 мм, номинальное давление до 16 МПа, номинальный диаметр 50 мм, наружный диаметр 57 мм, толщина стенки 4 мм</t>
        </is>
      </c>
      <c r="E161" s="122" t="inlineStr">
        <is>
          <t>шт</t>
        </is>
      </c>
      <c r="F161" s="122" t="n">
        <v>0.33</v>
      </c>
      <c r="G161" s="127" t="n">
        <v>27.02</v>
      </c>
      <c r="H161" s="127">
        <f>ROUND(F161*G161,2)</f>
        <v/>
      </c>
    </row>
    <row r="162" ht="15.75" customFormat="1" customHeight="1" s="82">
      <c r="A162" s="122" t="n">
        <v>147</v>
      </c>
      <c r="B162" s="122" t="n"/>
      <c r="C162" s="30" t="inlineStr">
        <is>
          <t>14.4.04.08-0003</t>
        </is>
      </c>
      <c r="D162" s="123" t="inlineStr">
        <is>
          <t>Эмаль ПФ-115, серая</t>
        </is>
      </c>
      <c r="E162" s="122" t="inlineStr">
        <is>
          <t>т</t>
        </is>
      </c>
      <c r="F162" s="122" t="n">
        <v>0.0002248</v>
      </c>
      <c r="G162" s="127" t="n">
        <v>14312.87</v>
      </c>
      <c r="H162" s="127">
        <f>ROUND(F162*G162,2)</f>
        <v/>
      </c>
    </row>
    <row r="163" ht="15.75" customFormat="1" customHeight="1" s="82">
      <c r="A163" s="122" t="n">
        <v>148</v>
      </c>
      <c r="B163" s="122" t="n"/>
      <c r="C163" s="30" t="inlineStr">
        <is>
          <t>01.7.20.08-0021</t>
        </is>
      </c>
      <c r="D163" s="123" t="inlineStr">
        <is>
          <t>Брезент</t>
        </is>
      </c>
      <c r="E163" s="122" t="inlineStr">
        <is>
          <t>м2</t>
        </is>
      </c>
      <c r="F163" s="122" t="n">
        <v>0.078</v>
      </c>
      <c r="G163" s="127" t="n">
        <v>37.43</v>
      </c>
      <c r="H163" s="127">
        <f>ROUND(F163*G163,2)</f>
        <v/>
      </c>
    </row>
    <row r="164" ht="31.5" customFormat="1" customHeight="1" s="82">
      <c r="A164" s="122" t="n">
        <v>149</v>
      </c>
      <c r="B164" s="122" t="n"/>
      <c r="C164" s="30" t="inlineStr">
        <is>
          <t>02.3.01.02-1012</t>
        </is>
      </c>
      <c r="D164" s="123" t="inlineStr">
        <is>
          <t>Песок природный II класс, средний, круглые сита</t>
        </is>
      </c>
      <c r="E164" s="122" t="inlineStr">
        <is>
          <t>м3</t>
        </is>
      </c>
      <c r="F164" s="122" t="n">
        <v>0.0462</v>
      </c>
      <c r="G164" s="127" t="n">
        <v>59.99</v>
      </c>
      <c r="H164" s="127">
        <f>ROUND(F164*G164,2)</f>
        <v/>
      </c>
    </row>
    <row r="165" ht="15.75" customFormat="1" customHeight="1" s="82">
      <c r="A165" s="122" t="n">
        <v>150</v>
      </c>
      <c r="B165" s="122" t="n"/>
      <c r="C165" s="30" t="inlineStr">
        <is>
          <t>01.7.20.08-0162</t>
        </is>
      </c>
      <c r="D165" s="123" t="inlineStr">
        <is>
          <t>Ткань мешочная</t>
        </is>
      </c>
      <c r="E165" s="122" t="inlineStr">
        <is>
          <t>10 м2</t>
        </is>
      </c>
      <c r="F165" s="122" t="n">
        <v>0.01625</v>
      </c>
      <c r="G165" s="127" t="n">
        <v>84.75</v>
      </c>
      <c r="H165" s="127">
        <f>ROUND(F165*G165,2)</f>
        <v/>
      </c>
    </row>
    <row r="166" ht="31.5" customFormat="1" customHeight="1" s="82">
      <c r="A166" s="122" t="n">
        <v>151</v>
      </c>
      <c r="B166" s="122" t="n"/>
      <c r="C166" s="30" t="inlineStr">
        <is>
          <t>999-9950</t>
        </is>
      </c>
      <c r="D166" s="123" t="inlineStr">
        <is>
          <t>Вспомогательные ненормируемые ресурсы (2% от Оплаты труда рабочих)</t>
        </is>
      </c>
      <c r="E166" s="122" t="inlineStr">
        <is>
          <t>руб</t>
        </is>
      </c>
      <c r="F166" s="122" t="n">
        <v>0.8316</v>
      </c>
      <c r="G166" s="127" t="n">
        <v>1</v>
      </c>
      <c r="H166" s="127">
        <f>ROUND(F166*G166,2)</f>
        <v/>
      </c>
    </row>
    <row r="167" ht="15.75" customFormat="1" customHeight="1" s="82">
      <c r="A167" s="122" t="n">
        <v>152</v>
      </c>
      <c r="B167" s="122" t="n"/>
      <c r="C167" s="30" t="inlineStr">
        <is>
          <t>14.5.09.07-0031</t>
        </is>
      </c>
      <c r="D167" s="123" t="inlineStr">
        <is>
          <t>Растворитель Р-4А</t>
        </is>
      </c>
      <c r="E167" s="122" t="inlineStr">
        <is>
          <t>т</t>
        </is>
      </c>
      <c r="F167" s="122" t="n">
        <v>0.0001352</v>
      </c>
      <c r="G167" s="127" t="n">
        <v>5479.9</v>
      </c>
      <c r="H167" s="127">
        <f>ROUND(F167*G167,2)</f>
        <v/>
      </c>
    </row>
    <row r="168" ht="15.75" customFormat="1" customHeight="1" s="82">
      <c r="A168" s="122" t="n">
        <v>153</v>
      </c>
      <c r="B168" s="122" t="n"/>
      <c r="C168" s="30" t="inlineStr">
        <is>
          <t>01.7.11.07-0034</t>
        </is>
      </c>
      <c r="D168" s="123" t="inlineStr">
        <is>
          <t>Электроды сварочные Э42А, диаметр 4 мм</t>
        </is>
      </c>
      <c r="E168" s="122" t="inlineStr">
        <is>
          <t>кг</t>
        </is>
      </c>
      <c r="F168" s="122" t="n">
        <v>0.0594</v>
      </c>
      <c r="G168" s="127" t="n">
        <v>10.57</v>
      </c>
      <c r="H168" s="127">
        <f>ROUND(F168*G168,2)</f>
        <v/>
      </c>
    </row>
    <row r="169" ht="15.75" customFormat="1" customHeight="1" s="82">
      <c r="A169" s="122" t="n">
        <v>154</v>
      </c>
      <c r="B169" s="122" t="n"/>
      <c r="C169" s="30" t="inlineStr">
        <is>
          <t>01.7.20.08-0051</t>
        </is>
      </c>
      <c r="D169" s="123" t="inlineStr">
        <is>
          <t>Ветошь</t>
        </is>
      </c>
      <c r="E169" s="122" t="inlineStr">
        <is>
          <t>кг</t>
        </is>
      </c>
      <c r="F169" s="122" t="n">
        <v>0.31416</v>
      </c>
      <c r="G169" s="127" t="n">
        <v>1.82</v>
      </c>
      <c r="H169" s="127">
        <f>ROUND(F169*G169,2)</f>
        <v/>
      </c>
    </row>
    <row r="170" ht="15.75" customFormat="1" customHeight="1" s="82">
      <c r="A170" s="122" t="n">
        <v>155</v>
      </c>
      <c r="B170" s="122" t="n"/>
      <c r="C170" s="30" t="inlineStr">
        <is>
          <t>14.4.04.09-0019</t>
        </is>
      </c>
      <c r="D170" s="123" t="inlineStr">
        <is>
          <t>Эмаль ХВ-125, серебристая</t>
        </is>
      </c>
      <c r="E170" s="122" t="inlineStr">
        <is>
          <t>т</t>
        </is>
      </c>
      <c r="F170" s="122" t="n">
        <v>1.65e-05</v>
      </c>
      <c r="G170" s="127" t="n">
        <v>18750</v>
      </c>
      <c r="H170" s="127">
        <f>ROUND(F170*G170,2)</f>
        <v/>
      </c>
    </row>
    <row r="171" ht="15.75" customFormat="1" customHeight="1" s="82">
      <c r="A171" s="122" t="n">
        <v>156</v>
      </c>
      <c r="B171" s="122" t="n"/>
      <c r="C171" s="30" t="inlineStr">
        <is>
          <t>14.4.01.18-0002</t>
        </is>
      </c>
      <c r="D171" s="123" t="inlineStr">
        <is>
          <t>Грунтовка ФЛ-03К, коричневая</t>
        </is>
      </c>
      <c r="E171" s="122" t="inlineStr">
        <is>
          <t>т</t>
        </is>
      </c>
      <c r="F171" s="122" t="n">
        <v>9.9e-06</v>
      </c>
      <c r="G171" s="127" t="n">
        <v>29470.1</v>
      </c>
      <c r="H171" s="127">
        <f>ROUND(F171*G171,2)</f>
        <v/>
      </c>
    </row>
    <row r="172" ht="15.75" customFormat="1" customHeight="1" s="82"/>
    <row r="173" ht="15.75" customFormat="1" customHeight="1" s="82"/>
    <row r="174" ht="15.75" customFormat="1" customHeight="1" s="82"/>
    <row r="175" ht="15.75" customFormat="1" customHeight="1" s="82">
      <c r="B175" s="82" t="n"/>
      <c r="C175" s="82" t="n"/>
      <c r="D175" s="82" t="n"/>
    </row>
    <row r="176" ht="15.75" customFormat="1" customHeight="1" s="82">
      <c r="B176" s="82" t="inlineStr">
        <is>
          <t>Составил ______________________        М.С. Колотиевская</t>
        </is>
      </c>
      <c r="C176" s="82" t="n"/>
      <c r="D176" s="82" t="n"/>
    </row>
    <row r="177" ht="15.75" customFormat="1" customHeight="1" s="82">
      <c r="B177" s="19" t="inlineStr">
        <is>
          <t xml:space="preserve">                         (подпись, инициалы, фамилия)</t>
        </is>
      </c>
      <c r="C177" s="82" t="n"/>
      <c r="D177" s="82" t="n"/>
    </row>
    <row r="178" ht="15.75" customFormat="1" customHeight="1" s="82">
      <c r="B178" s="82" t="n"/>
      <c r="C178" s="82" t="n"/>
      <c r="D178" s="82" t="n"/>
    </row>
    <row r="179" ht="15.75" customFormat="1" customHeight="1" s="82">
      <c r="B179" s="82" t="inlineStr">
        <is>
          <t>Проверил ______________________      А.В. Костянецкая</t>
        </is>
      </c>
      <c r="C179" s="82" t="n"/>
      <c r="D179" s="82" t="n"/>
    </row>
    <row r="180" ht="15.75" customFormat="1" customHeight="1" s="82">
      <c r="B180" s="19" t="inlineStr">
        <is>
          <t xml:space="preserve">                        (подпись, инициалы, фамилия)</t>
        </is>
      </c>
      <c r="C180" s="82" t="n"/>
      <c r="D180" s="82" t="n"/>
    </row>
    <row r="181" ht="15.75" customFormat="1" customHeight="1" s="82"/>
  </sheetData>
  <mergeCells count="15">
    <mergeCell ref="A30:E30"/>
    <mergeCell ref="A91:E91"/>
    <mergeCell ref="A4:H4"/>
    <mergeCell ref="A3:H3"/>
    <mergeCell ref="A12:E12"/>
    <mergeCell ref="B9:B10"/>
    <mergeCell ref="C9:C10"/>
    <mergeCell ref="D9:D10"/>
    <mergeCell ref="A7:H7"/>
    <mergeCell ref="A9:A10"/>
    <mergeCell ref="E9:E10"/>
    <mergeCell ref="C5:H5"/>
    <mergeCell ref="F9:F10"/>
    <mergeCell ref="A32:E32"/>
    <mergeCell ref="G9:H9"/>
  </mergeCells>
  <conditionalFormatting sqref="F11:F91">
    <cfRule type="expression" priority="1" dxfId="0" stopIfTrue="1">
      <formula>ROUND(F11*10000,0)/10000=F11</formula>
    </cfRule>
  </conditionalFormatting>
  <conditionalFormatting sqref="F92">
    <cfRule type="expression" priority="2" dxfId="0" stopIfTrue="1">
      <formula>F92&gt;=1/10000</formula>
    </cfRule>
  </conditionalFormatting>
  <conditionalFormatting sqref="F93:F171">
    <cfRule type="expression" priority="3" dxfId="0" stopIfTrue="1">
      <formula>ROUND(F11*10000,0)/10000=F11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35" zoomScale="145" zoomScaleNormal="100" zoomScaleSheetLayoutView="145" workbookViewId="0">
      <selection activeCell="B43" sqref="B43"/>
    </sheetView>
  </sheetViews>
  <sheetFormatPr baseColWidth="8" defaultColWidth="9.140625" defaultRowHeight="15"/>
  <cols>
    <col width="4.140625" customWidth="1" style="80" min="1" max="1"/>
    <col width="36.28515625" customWidth="1" style="80" min="2" max="2"/>
    <col width="18.85546875" customWidth="1" style="80" min="3" max="3"/>
    <col width="18.28515625" customWidth="1" style="80" min="4" max="4"/>
    <col width="20.85546875" customWidth="1" style="80" min="5" max="5"/>
    <col width="13.5703125" customWidth="1" style="80" min="11" max="11"/>
  </cols>
  <sheetData>
    <row r="1" ht="15.75" customHeight="1" s="80">
      <c r="A1" s="50" t="n"/>
      <c r="B1" s="82" t="n"/>
      <c r="C1" s="82" t="n"/>
      <c r="D1" s="82" t="n"/>
      <c r="E1" s="82" t="n"/>
    </row>
    <row r="2" ht="15.75" customHeight="1" s="80">
      <c r="B2" s="82" t="n"/>
      <c r="C2" s="82" t="n"/>
      <c r="D2" s="82" t="n"/>
      <c r="E2" s="128" t="inlineStr">
        <is>
          <t>Приложение № 4</t>
        </is>
      </c>
    </row>
    <row r="3" ht="15.75" customHeight="1" s="80">
      <c r="B3" s="82" t="n"/>
      <c r="C3" s="82" t="n"/>
      <c r="D3" s="82" t="n"/>
      <c r="E3" s="82" t="n"/>
    </row>
    <row r="4" ht="15.75" customHeight="1" s="80">
      <c r="B4" s="82" t="n"/>
      <c r="C4" s="82" t="n"/>
      <c r="D4" s="82" t="n"/>
      <c r="E4" s="82" t="n"/>
    </row>
    <row r="5" ht="15.75" customHeight="1" s="80">
      <c r="B5" s="113" t="inlineStr">
        <is>
          <t>Ресурсная модель</t>
        </is>
      </c>
    </row>
    <row r="6" ht="15.75" customHeight="1" s="80">
      <c r="B6" s="111" t="n"/>
      <c r="C6" s="82" t="n"/>
      <c r="D6" s="82" t="n"/>
      <c r="E6" s="82" t="n"/>
    </row>
    <row r="7" ht="15.75" customHeight="1" s="80">
      <c r="B7" s="126" t="inlineStr">
        <is>
          <t>Наименование разрабатываемой расценки УНЦ —  Ж4 Переустр. НП диам. 720 мм____коэф. 0,330_35 кВ</t>
        </is>
      </c>
    </row>
    <row r="8" ht="15.75" customHeight="1" s="80">
      <c r="B8" s="126" t="inlineStr">
        <is>
          <t>Единица измерения  — 1 переход</t>
        </is>
      </c>
    </row>
    <row r="9">
      <c r="B9" s="51" t="n"/>
      <c r="C9" s="67" t="n"/>
      <c r="D9" s="67" t="n"/>
      <c r="E9" s="67" t="n"/>
    </row>
    <row r="10" ht="78.75" customFormat="1" customHeight="1" s="82">
      <c r="B10" s="117" t="inlineStr">
        <is>
          <t>Наименование</t>
        </is>
      </c>
      <c r="C10" s="117" t="inlineStr">
        <is>
          <t>Сметная стоимость в ценах на 01.01.2023
 (руб.)</t>
        </is>
      </c>
      <c r="D10" s="117" t="inlineStr">
        <is>
          <t>Удельный вес, 
(в СМР)</t>
        </is>
      </c>
      <c r="E10" s="117" t="inlineStr">
        <is>
          <t>Удельный вес, % 
(от всего по РМ)</t>
        </is>
      </c>
    </row>
    <row r="11" ht="15" customFormat="1" customHeight="1" s="82">
      <c r="B11" s="132" t="inlineStr">
        <is>
          <t>Оплата труда рабочих</t>
        </is>
      </c>
      <c r="C11" s="52">
        <f>'Прил.5 Расчет СМР и ОБ'!J14</f>
        <v/>
      </c>
      <c r="D11" s="53">
        <f>C11/C24</f>
        <v/>
      </c>
      <c r="E11" s="53">
        <f>C11/C40</f>
        <v/>
      </c>
    </row>
    <row r="12" ht="15" customFormat="1" customHeight="1" s="82">
      <c r="B12" s="132" t="inlineStr">
        <is>
          <t>Эксплуатация машин основных</t>
        </is>
      </c>
      <c r="C12" s="52">
        <f>'Прил.5 Расчет СМР и ОБ'!J35</f>
        <v/>
      </c>
      <c r="D12" s="53">
        <f>C12/C24</f>
        <v/>
      </c>
      <c r="E12" s="53">
        <f>C12/C40</f>
        <v/>
      </c>
    </row>
    <row r="13" ht="15" customFormat="1" customHeight="1" s="82">
      <c r="B13" s="132" t="inlineStr">
        <is>
          <t>Эксплуатация машин прочих</t>
        </is>
      </c>
      <c r="C13" s="52">
        <f>'Прил.5 Расчет СМР и ОБ'!J78</f>
        <v/>
      </c>
      <c r="D13" s="53">
        <f>C13/C24</f>
        <v/>
      </c>
      <c r="E13" s="53">
        <f>C13/C40</f>
        <v/>
      </c>
    </row>
    <row r="14" ht="15" customFormat="1" customHeight="1" s="82">
      <c r="B14" s="132" t="inlineStr">
        <is>
          <t>ЭКСПЛУАТАЦИЯ МАШИН, ВСЕГО:</t>
        </is>
      </c>
      <c r="C14" s="52">
        <f>C13+C12</f>
        <v/>
      </c>
      <c r="D14" s="53">
        <f>C14/C24</f>
        <v/>
      </c>
      <c r="E14" s="53">
        <f>C14/C40</f>
        <v/>
      </c>
    </row>
    <row r="15" ht="15" customFormat="1" customHeight="1" s="82">
      <c r="B15" s="132" t="inlineStr">
        <is>
          <t>в том числе зарплата машинистов</t>
        </is>
      </c>
      <c r="C15" s="52">
        <f>'Прил.5 Расчет СМР и ОБ'!J16</f>
        <v/>
      </c>
      <c r="D15" s="53">
        <f>C15/C24</f>
        <v/>
      </c>
      <c r="E15" s="53">
        <f>C15/C40</f>
        <v/>
      </c>
    </row>
    <row r="16" ht="15" customFormat="1" customHeight="1" s="82">
      <c r="B16" s="132" t="inlineStr">
        <is>
          <t>Материалы основные</t>
        </is>
      </c>
      <c r="C16" s="52">
        <f>'Прил.5 Расчет СМР и ОБ'!J93</f>
        <v/>
      </c>
      <c r="D16" s="53">
        <f>C16/C24</f>
        <v/>
      </c>
      <c r="E16" s="53">
        <f>C16/C40</f>
        <v/>
      </c>
    </row>
    <row r="17" ht="15" customFormat="1" customHeight="1" s="82">
      <c r="B17" s="132" t="inlineStr">
        <is>
          <t>Материалы прочие</t>
        </is>
      </c>
      <c r="C17" s="52">
        <f>'Прил.5 Расчет СМР и ОБ'!J170</f>
        <v/>
      </c>
      <c r="D17" s="53">
        <f>C17/C24</f>
        <v/>
      </c>
      <c r="E17" s="53">
        <f>C17/C40</f>
        <v/>
      </c>
    </row>
    <row r="18" ht="15" customFormat="1" customHeight="1" s="82">
      <c r="B18" s="132" t="inlineStr">
        <is>
          <t>МАТЕРИАЛЫ, ВСЕГО:</t>
        </is>
      </c>
      <c r="C18" s="52">
        <f>C17+C16</f>
        <v/>
      </c>
      <c r="D18" s="53">
        <f>C18/C24</f>
        <v/>
      </c>
      <c r="E18" s="53">
        <f>C18/C40</f>
        <v/>
      </c>
    </row>
    <row r="19" ht="15" customFormat="1" customHeight="1" s="82">
      <c r="B19" s="132" t="inlineStr">
        <is>
          <t>ИТОГО</t>
        </is>
      </c>
      <c r="C19" s="52">
        <f>C18+C14+C11</f>
        <v/>
      </c>
      <c r="D19" s="53">
        <f>C19/C24</f>
        <v/>
      </c>
      <c r="E19" s="54">
        <f>C19/C40</f>
        <v/>
      </c>
    </row>
    <row r="20" ht="15" customFormat="1" customHeight="1" s="82">
      <c r="B20" s="132" t="inlineStr">
        <is>
          <t>Сметная прибыль, руб.</t>
        </is>
      </c>
      <c r="C20" s="52" t="n">
        <v>405579.29905722</v>
      </c>
      <c r="D20" s="53">
        <f>C20/C24</f>
        <v/>
      </c>
      <c r="E20" s="53">
        <f>C20/C40</f>
        <v/>
      </c>
    </row>
    <row r="21" ht="15" customFormat="1" customHeight="1" s="82">
      <c r="B21" s="132" t="inlineStr">
        <is>
          <t>Сметная прибыль, %</t>
        </is>
      </c>
      <c r="C21" s="55">
        <f>C20/(C11+C15)</f>
        <v/>
      </c>
      <c r="D21" s="53" t="n"/>
      <c r="E21" s="54" t="n"/>
    </row>
    <row r="22" ht="15" customFormat="1" customHeight="1" s="82">
      <c r="B22" s="132" t="inlineStr">
        <is>
          <t>Накладные расходы, руб.</t>
        </is>
      </c>
      <c r="C22" s="52" t="n">
        <v>753521.35533872</v>
      </c>
      <c r="D22" s="53">
        <f>C22/C24</f>
        <v/>
      </c>
      <c r="E22" s="53">
        <f>C22/C40</f>
        <v/>
      </c>
    </row>
    <row r="23" ht="15" customFormat="1" customHeight="1" s="82">
      <c r="B23" s="132" t="inlineStr">
        <is>
          <t>Накладные расходы, %</t>
        </is>
      </c>
      <c r="C23" s="55">
        <f>C22/(C11+C15)</f>
        <v/>
      </c>
      <c r="D23" s="53" t="n"/>
      <c r="E23" s="54" t="n"/>
    </row>
    <row r="24" ht="15" customFormat="1" customHeight="1" s="82">
      <c r="B24" s="132" t="inlineStr">
        <is>
          <t>ВСЕГО СМР с НР и СП</t>
        </is>
      </c>
      <c r="C24" s="52">
        <f>C19+C20+C22</f>
        <v/>
      </c>
      <c r="D24" s="53">
        <f>C24/C24</f>
        <v/>
      </c>
      <c r="E24" s="53">
        <f>C24/C40</f>
        <v/>
      </c>
    </row>
    <row r="25" ht="31.5" customFormat="1" customHeight="1" s="82">
      <c r="B25" s="132" t="inlineStr">
        <is>
          <t>ВСЕГО стоимость оборудования, в том числе</t>
        </is>
      </c>
      <c r="C25" s="52">
        <f>'Прил.5 Расчет СМР и ОБ'!J85</f>
        <v/>
      </c>
      <c r="D25" s="53" t="n"/>
      <c r="E25" s="53">
        <f>C25/C40</f>
        <v/>
      </c>
    </row>
    <row r="26" ht="31.5" customFormat="1" customHeight="1" s="82">
      <c r="B26" s="132" t="inlineStr">
        <is>
          <t>стоимость оборудования технологического</t>
        </is>
      </c>
      <c r="C26" s="52">
        <f>C25</f>
        <v/>
      </c>
      <c r="D26" s="53" t="n"/>
      <c r="E26" s="53">
        <f>C26/C40</f>
        <v/>
      </c>
    </row>
    <row r="27" ht="15" customFormat="1" customHeight="1" s="82">
      <c r="B27" s="132" t="inlineStr">
        <is>
          <t>ИТОГО (СМР + ОБОРУДОВАНИЕ)</t>
        </is>
      </c>
      <c r="C27" s="56">
        <f>C24+C25</f>
        <v/>
      </c>
      <c r="D27" s="53" t="n"/>
      <c r="E27" s="53">
        <f>C27/C40</f>
        <v/>
      </c>
    </row>
    <row r="28" ht="33" customFormat="1" customHeight="1" s="82">
      <c r="B28" s="132" t="inlineStr">
        <is>
          <t>ПРОЧ. ЗАТР., УЧТЕННЫЕ ПОКАЗАТЕЛЕМ,  в том числе</t>
        </is>
      </c>
      <c r="C28" s="132" t="n"/>
      <c r="D28" s="54" t="n"/>
      <c r="E28" s="54" t="n"/>
    </row>
    <row r="29" ht="31.5" customFormat="1" customHeight="1" s="82">
      <c r="B29" s="132" t="inlineStr">
        <is>
          <t>Временные здания и сооружения - 3,3%</t>
        </is>
      </c>
      <c r="C29" s="56">
        <f>ROUND(C24*0.033,2)</f>
        <v/>
      </c>
      <c r="D29" s="54" t="n"/>
      <c r="E29" s="53">
        <f>C29/C40</f>
        <v/>
      </c>
    </row>
    <row r="30" ht="63" customFormat="1" customHeight="1" s="82">
      <c r="B30" s="132" t="inlineStr">
        <is>
          <t>Дополнительные затраты при производстве строительно-монтажных работ в зимнее время - 1,%</t>
        </is>
      </c>
      <c r="C30" s="56">
        <f>ROUND((C24+C29)*0.01,2)</f>
        <v/>
      </c>
      <c r="D30" s="54" t="n"/>
      <c r="E30" s="53">
        <f>C30/C40</f>
        <v/>
      </c>
    </row>
    <row r="31" ht="15.75" customFormat="1" customHeight="1" s="82">
      <c r="B31" s="132" t="inlineStr">
        <is>
          <t>Пусконаладочные работы</t>
        </is>
      </c>
      <c r="C31" s="56">
        <f>ROUND(C25*80%*7%,2)</f>
        <v/>
      </c>
      <c r="D31" s="54" t="n"/>
      <c r="E31" s="53">
        <f>C31/C40</f>
        <v/>
      </c>
    </row>
    <row r="32" ht="31.5" customFormat="1" customHeight="1" s="82">
      <c r="B32" s="132" t="inlineStr">
        <is>
          <t>Затраты по перевозке работников к месту работы и обратно</t>
        </is>
      </c>
      <c r="C32" s="56" t="n">
        <v>0</v>
      </c>
      <c r="D32" s="54" t="n"/>
      <c r="E32" s="53">
        <f>C32/C40</f>
        <v/>
      </c>
    </row>
    <row r="33" ht="47.25" customFormat="1" customHeight="1" s="82">
      <c r="B33" s="132" t="inlineStr">
        <is>
          <t>Затраты, связанные с осуществлением работ вахтовым методом</t>
        </is>
      </c>
      <c r="C33" s="56" t="n">
        <v>0</v>
      </c>
      <c r="D33" s="54" t="n"/>
      <c r="E33" s="53">
        <f>C33/C40</f>
        <v/>
      </c>
    </row>
    <row r="34" ht="63" customFormat="1" customHeight="1" s="82">
      <c r="B34" s="13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56" t="n">
        <v>0</v>
      </c>
      <c r="D34" s="54" t="n"/>
      <c r="E34" s="53">
        <f>C34/C40</f>
        <v/>
      </c>
    </row>
    <row r="35" ht="94.5" customFormat="1" customHeight="1" s="82">
      <c r="B35" s="132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56" t="n">
        <v>0</v>
      </c>
      <c r="D35" s="54" t="n"/>
      <c r="E35" s="53">
        <f>C35/C40</f>
        <v/>
      </c>
    </row>
    <row r="36" ht="47.25" customFormat="1" customHeight="1" s="82">
      <c r="B36" s="57" t="inlineStr">
        <is>
          <t>Строительный контроль и содержание службы заказчика - 2,14%</t>
        </is>
      </c>
      <c r="C36" s="58">
        <f>ROUND((C27+C29+C31+C30)*0.0214,2)</f>
        <v/>
      </c>
      <c r="D36" s="59" t="n"/>
      <c r="E36" s="60">
        <f>C36/C40</f>
        <v/>
      </c>
      <c r="K36" s="46" t="n"/>
    </row>
    <row r="37" ht="15.75" customFormat="1" customHeight="1" s="82">
      <c r="B37" s="135" t="inlineStr">
        <is>
          <t>Авторский надзор - 0,2%</t>
        </is>
      </c>
      <c r="C37" s="135">
        <f>ROUND((C27+C29+C30+C31)*0.002,2)</f>
        <v/>
      </c>
      <c r="D37" s="61" t="n"/>
      <c r="E37" s="61">
        <f>C37/C40</f>
        <v/>
      </c>
    </row>
    <row r="38" ht="63" customFormat="1" customHeight="1" s="82">
      <c r="B38" s="62" t="inlineStr">
        <is>
          <t>ИТОГО (СМР+ОБОРУДОВАНИЕ+ПРОЧ. ЗАТР., УЧТЕННЫЕ ПОКАЗАТЕЛЕМ)</t>
        </is>
      </c>
      <c r="C38" s="63">
        <f>C27+C29+C30+C31+C36+C37</f>
        <v/>
      </c>
      <c r="D38" s="64" t="n"/>
      <c r="E38" s="65">
        <f>C38/C40</f>
        <v/>
      </c>
    </row>
    <row r="39" ht="15.75" customFormat="1" customHeight="1" s="82">
      <c r="B39" s="132" t="inlineStr">
        <is>
          <t>Непредвиденные расходы</t>
        </is>
      </c>
      <c r="C39" s="52">
        <f>ROUND(C38*0.03,2)</f>
        <v/>
      </c>
      <c r="D39" s="54" t="n"/>
      <c r="E39" s="53">
        <f>C39/C40</f>
        <v/>
      </c>
    </row>
    <row r="40" ht="15.75" customFormat="1" customHeight="1" s="82">
      <c r="B40" s="132" t="inlineStr">
        <is>
          <t>ВСЕГО:</t>
        </is>
      </c>
      <c r="C40" s="52">
        <f>C39+C38</f>
        <v/>
      </c>
      <c r="D40" s="54" t="n"/>
      <c r="E40" s="53">
        <f>C40/C40</f>
        <v/>
      </c>
    </row>
    <row r="41" ht="31.5" customFormat="1" customHeight="1" s="82">
      <c r="B41" s="132" t="inlineStr">
        <is>
          <t>ИТОГО ПОКАЗАТЕЛЬ НА ЕД. ИЗМ.</t>
        </is>
      </c>
      <c r="C41" s="52">
        <f>C40/'Прил.5 Расчет СМР и ОБ'!E177</f>
        <v/>
      </c>
      <c r="D41" s="54" t="n"/>
      <c r="E41" s="54" t="n"/>
    </row>
    <row r="42" ht="15.75" customFormat="1" customHeight="1" s="82">
      <c r="B42" s="82" t="n"/>
      <c r="C42" s="82" t="n"/>
      <c r="D42" s="82" t="n"/>
    </row>
    <row r="43" ht="15.75" customFormat="1" customHeight="1" s="82">
      <c r="B43" s="82" t="inlineStr">
        <is>
          <t>Составил ______________________        М.С. Колотиевская</t>
        </is>
      </c>
      <c r="C43" s="82" t="n"/>
      <c r="D43" s="82" t="n"/>
    </row>
    <row r="44" ht="15.75" customFormat="1" customHeight="1" s="82">
      <c r="B44" s="19" t="inlineStr">
        <is>
          <t xml:space="preserve">                         (подпись, инициалы, фамилия)</t>
        </is>
      </c>
      <c r="C44" s="82" t="n"/>
      <c r="D44" s="82" t="n"/>
    </row>
    <row r="45" ht="15.75" customFormat="1" customHeight="1" s="82">
      <c r="B45" s="82" t="n"/>
      <c r="C45" s="82" t="n"/>
      <c r="D45" s="82" t="n"/>
    </row>
    <row r="46" ht="15.75" customFormat="1" customHeight="1" s="82">
      <c r="B46" s="82" t="inlineStr">
        <is>
          <t>Проверил ______________________      А.В. Костянецкая</t>
        </is>
      </c>
      <c r="C46" s="82" t="n"/>
      <c r="D46" s="82" t="n"/>
    </row>
    <row r="47" ht="15.75" customFormat="1" customHeight="1" s="82">
      <c r="B47" s="19" t="inlineStr">
        <is>
          <t xml:space="preserve">                        (подпись, инициалы, фамилия)</t>
        </is>
      </c>
      <c r="C47" s="82" t="n"/>
      <c r="D47" s="82" t="n"/>
    </row>
    <row r="48" ht="15.75" customFormat="1" customHeight="1" s="82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185"/>
  <sheetViews>
    <sheetView view="pageBreakPreview" topLeftCell="A173" zoomScale="145" zoomScaleNormal="100" zoomScaleSheetLayoutView="145" workbookViewId="0">
      <selection activeCell="C181" sqref="C181"/>
    </sheetView>
  </sheetViews>
  <sheetFormatPr baseColWidth="8" defaultColWidth="9.140625" defaultRowHeight="15" outlineLevelRow="1"/>
  <cols>
    <col width="5.7109375" customWidth="1" style="37" min="1" max="1"/>
    <col width="22.5703125" customWidth="1" style="37" min="2" max="2"/>
    <col width="39.140625" customWidth="1" style="37" min="3" max="3"/>
    <col width="10.7109375" customWidth="1" style="37" min="4" max="4"/>
    <col width="12.7109375" customWidth="1" style="37" min="5" max="5"/>
    <col width="14.5703125" customWidth="1" style="37" min="6" max="6"/>
    <col width="13.42578125" customWidth="1" style="37" min="7" max="7"/>
    <col width="12.7109375" customWidth="1" style="37" min="8" max="8"/>
    <col width="14.5703125" customWidth="1" style="37" min="9" max="9"/>
    <col width="15.140625" customWidth="1" style="37" min="10" max="10"/>
    <col width="22.42578125" customWidth="1" style="37" min="11" max="11"/>
    <col width="16.28515625" customWidth="1" style="37" min="12" max="12"/>
    <col width="10.85546875" customWidth="1" style="37" min="13" max="13"/>
    <col width="9.140625" customWidth="1" style="37" min="14" max="14"/>
  </cols>
  <sheetData>
    <row r="1" ht="14.25" customFormat="1" customHeight="1" s="37">
      <c r="A1" s="67" t="n"/>
    </row>
    <row r="2" ht="15.75" customFormat="1" customHeight="1" s="37">
      <c r="A2" s="82" t="n"/>
      <c r="B2" s="82" t="n"/>
      <c r="C2" s="82" t="n"/>
      <c r="D2" s="82" t="n"/>
      <c r="E2" s="82" t="n"/>
      <c r="F2" s="82" t="n"/>
      <c r="G2" s="82" t="n"/>
      <c r="H2" s="128" t="inlineStr">
        <is>
          <t>Приложение №5</t>
        </is>
      </c>
    </row>
    <row r="3" ht="15.75" customFormat="1" customHeight="1" s="37">
      <c r="A3" s="82" t="n"/>
      <c r="B3" s="82" t="n"/>
      <c r="C3" s="82" t="n"/>
      <c r="D3" s="82" t="n"/>
      <c r="E3" s="82" t="n"/>
      <c r="F3" s="82" t="n"/>
      <c r="G3" s="82" t="n"/>
      <c r="H3" s="82" t="n"/>
      <c r="I3" s="82" t="n"/>
      <c r="J3" s="82" t="n"/>
    </row>
    <row r="4" ht="15.75" customFormat="1" customHeight="1" s="67">
      <c r="A4" s="113" t="inlineStr">
        <is>
          <t>Расчет стоимости СМР и оборудования</t>
        </is>
      </c>
      <c r="I4" s="113" t="n"/>
      <c r="J4" s="113" t="n"/>
    </row>
    <row r="5" ht="15.75" customFormat="1" customHeight="1" s="67">
      <c r="A5" s="113" t="n"/>
      <c r="B5" s="113" t="n"/>
      <c r="C5" s="113" t="n"/>
      <c r="D5" s="113" t="n"/>
      <c r="E5" s="113" t="n"/>
      <c r="F5" s="113" t="n"/>
      <c r="G5" s="113" t="n"/>
      <c r="H5" s="113" t="n"/>
      <c r="I5" s="113" t="n"/>
      <c r="J5" s="113" t="n"/>
    </row>
    <row r="6" customFormat="1" s="67">
      <c r="A6" s="129" t="inlineStr">
        <is>
          <t xml:space="preserve">Наименование разрабатываемого показателя УНЦ — </t>
        </is>
      </c>
      <c r="D6" s="129" t="inlineStr">
        <is>
          <t xml:space="preserve"> Ж4 Переустр. НП диам. 720 мм____коэф. 0,330_35 кВ</t>
        </is>
      </c>
    </row>
    <row r="7" ht="15.75" customFormat="1" customHeight="1" s="67">
      <c r="A7" s="129" t="inlineStr">
        <is>
          <t>Единица измерения  — 1 переход</t>
        </is>
      </c>
      <c r="D7" s="38" t="n"/>
      <c r="E7" s="38" t="n"/>
      <c r="F7" s="38" t="n"/>
      <c r="G7" s="38" t="n"/>
      <c r="H7" s="38" t="n"/>
      <c r="I7" s="38" t="n"/>
      <c r="J7" s="38" t="n"/>
    </row>
    <row r="8" ht="15.75" customFormat="1" customHeight="1" s="67">
      <c r="A8" s="82" t="n"/>
      <c r="B8" s="82" t="n"/>
      <c r="C8" s="82" t="n"/>
      <c r="D8" s="82" t="n"/>
      <c r="E8" s="82" t="n"/>
      <c r="F8" s="82" t="n"/>
      <c r="G8" s="82" t="n"/>
      <c r="H8" s="82" t="n"/>
      <c r="I8" s="82" t="n"/>
      <c r="J8" s="82" t="n"/>
    </row>
    <row r="9" ht="27" customFormat="1" customHeight="1" s="82">
      <c r="A9" s="132" t="inlineStr">
        <is>
          <t>№ пп.</t>
        </is>
      </c>
      <c r="B9" s="117" t="inlineStr">
        <is>
          <t>Код ресурса</t>
        </is>
      </c>
      <c r="C9" s="117" t="inlineStr">
        <is>
          <t>Наименование</t>
        </is>
      </c>
      <c r="D9" s="117" t="inlineStr">
        <is>
          <t>Ед. изм.</t>
        </is>
      </c>
      <c r="E9" s="117" t="inlineStr">
        <is>
          <t>Кол-во единиц по проектным данным</t>
        </is>
      </c>
      <c r="F9" s="117" t="inlineStr">
        <is>
          <t>Сметная стоимость в ценах на 01.01.2000 (руб.)</t>
        </is>
      </c>
      <c r="G9" s="147" t="n"/>
      <c r="H9" s="117" t="inlineStr">
        <is>
          <t>Удельный вес, %</t>
        </is>
      </c>
      <c r="I9" s="117" t="inlineStr">
        <is>
          <t>Сметная стоимость в ценах на 01.01.2023 (руб.)</t>
        </is>
      </c>
      <c r="J9" s="147" t="n"/>
      <c r="K9" s="6" t="n"/>
    </row>
    <row r="10" ht="28.5" customFormat="1" customHeight="1" s="82">
      <c r="A10" s="149" t="n"/>
      <c r="B10" s="149" t="n"/>
      <c r="C10" s="149" t="n"/>
      <c r="D10" s="149" t="n"/>
      <c r="E10" s="149" t="n"/>
      <c r="F10" s="117" t="inlineStr">
        <is>
          <t>на ед. изм.</t>
        </is>
      </c>
      <c r="G10" s="117" t="inlineStr">
        <is>
          <t>общая</t>
        </is>
      </c>
      <c r="H10" s="149" t="n"/>
      <c r="I10" s="117" t="inlineStr">
        <is>
          <t>на ед. изм.</t>
        </is>
      </c>
      <c r="J10" s="117" t="inlineStr">
        <is>
          <t>общая</t>
        </is>
      </c>
    </row>
    <row r="11" ht="15.75" customFormat="1" customHeight="1" s="82">
      <c r="A11" s="132" t="n">
        <v>1</v>
      </c>
      <c r="B11" s="117" t="n">
        <v>2</v>
      </c>
      <c r="C11" s="117" t="n">
        <v>3</v>
      </c>
      <c r="D11" s="117" t="n">
        <v>4</v>
      </c>
      <c r="E11" s="117" t="n">
        <v>5</v>
      </c>
      <c r="F11" s="117" t="n">
        <v>6</v>
      </c>
      <c r="G11" s="117" t="n">
        <v>7</v>
      </c>
      <c r="H11" s="117" t="n">
        <v>8</v>
      </c>
      <c r="I11" s="117" t="n">
        <v>9</v>
      </c>
      <c r="J11" s="117" t="n">
        <v>10</v>
      </c>
    </row>
    <row r="12" ht="15.75" customFormat="1" customHeight="1" s="82">
      <c r="A12" s="135" t="n"/>
      <c r="B12" s="133" t="inlineStr">
        <is>
          <t>Затраты труда рабочих-строителей</t>
        </is>
      </c>
      <c r="C12" s="146" t="n"/>
      <c r="D12" s="146" t="n"/>
      <c r="E12" s="146" t="n"/>
      <c r="F12" s="146" t="n"/>
      <c r="G12" s="146" t="n"/>
      <c r="H12" s="147" t="n"/>
      <c r="I12" s="135" t="n"/>
      <c r="J12" s="135" t="n"/>
    </row>
    <row r="13" ht="31.5" customFormat="1" customHeight="1" s="82">
      <c r="A13" s="122" t="n">
        <v>1</v>
      </c>
      <c r="B13" s="122" t="inlineStr">
        <is>
          <t>1-100-34</t>
        </is>
      </c>
      <c r="C13" s="123" t="inlineStr">
        <is>
          <t>Затраты труда рабочих (Средний разряд работы 3,4)</t>
        </is>
      </c>
      <c r="D13" s="122" t="inlineStr">
        <is>
          <t>чел.-ч</t>
        </is>
      </c>
      <c r="E13" s="122" t="n">
        <v>969.17089305402</v>
      </c>
      <c r="F13" s="127" t="n">
        <v>9.07</v>
      </c>
      <c r="G13" s="127">
        <f>ROUND(E13*F13,2)</f>
        <v/>
      </c>
      <c r="H13" s="40">
        <f>G13/G14</f>
        <v/>
      </c>
      <c r="I13" s="127">
        <f>ФОТр.тек.!E13</f>
        <v/>
      </c>
      <c r="J13" s="127">
        <f>ROUND(E13*I13,2)</f>
        <v/>
      </c>
    </row>
    <row r="14" ht="31.5" customFormat="1" customHeight="1" s="82">
      <c r="A14" s="122" t="n"/>
      <c r="B14" s="122" t="n"/>
      <c r="C14" s="123" t="inlineStr">
        <is>
          <t>Итого по разделу "Затраты труда рабочих-строителей"</t>
        </is>
      </c>
      <c r="D14" s="122" t="inlineStr">
        <is>
          <t>чел.-ч</t>
        </is>
      </c>
      <c r="E14" s="122">
        <f>SUM(E13:E13)</f>
        <v/>
      </c>
      <c r="F14" s="127" t="n"/>
      <c r="G14" s="127">
        <f>SUM(G13:G13)</f>
        <v/>
      </c>
      <c r="H14" s="40" t="n">
        <v>1</v>
      </c>
      <c r="I14" s="127" t="n"/>
      <c r="J14" s="127">
        <f>SUM(J13:J13)</f>
        <v/>
      </c>
    </row>
    <row r="15" ht="15.75" customFormat="1" customHeight="1" s="82">
      <c r="A15" s="122" t="n"/>
      <c r="B15" s="122" t="inlineStr">
        <is>
          <t>Затраты труда машинистов</t>
        </is>
      </c>
      <c r="C15" s="146" t="n"/>
      <c r="D15" s="146" t="n"/>
      <c r="E15" s="146" t="n"/>
      <c r="F15" s="146" t="n"/>
      <c r="G15" s="146" t="n"/>
      <c r="H15" s="147" t="n"/>
      <c r="I15" s="127" t="n"/>
      <c r="J15" s="127" t="n"/>
    </row>
    <row r="16" ht="15.75" customFormat="1" customHeight="1" s="82">
      <c r="A16" s="122" t="n">
        <v>2</v>
      </c>
      <c r="B16" s="122" t="n">
        <v>2</v>
      </c>
      <c r="C16" s="123" t="inlineStr">
        <is>
          <t>Затраты труда машинистов</t>
        </is>
      </c>
      <c r="D16" s="122" t="inlineStr">
        <is>
          <t>чел.-ч</t>
        </is>
      </c>
      <c r="E16" s="122" t="n">
        <v>478.57101</v>
      </c>
      <c r="F16" s="127" t="n">
        <v>11.96</v>
      </c>
      <c r="G16" s="127">
        <f>ROUND(E16*F16,2)</f>
        <v/>
      </c>
      <c r="H16" s="40" t="n">
        <v>1</v>
      </c>
      <c r="I16" s="127">
        <f>ROUND(F16*Прил.10!$D$10,2)</f>
        <v/>
      </c>
      <c r="J16" s="127">
        <f>ROUND(E16*I16,2)</f>
        <v/>
      </c>
    </row>
    <row r="17" ht="15.75" customFormat="1" customHeight="1" s="82">
      <c r="A17" s="122" t="n"/>
      <c r="B17" s="121" t="inlineStr">
        <is>
          <t>Машины и механизмы</t>
        </is>
      </c>
      <c r="C17" s="146" t="n"/>
      <c r="D17" s="146" t="n"/>
      <c r="E17" s="146" t="n"/>
      <c r="F17" s="146" t="n"/>
      <c r="G17" s="146" t="n"/>
      <c r="H17" s="147" t="n"/>
      <c r="I17" s="127" t="n"/>
      <c r="J17" s="127" t="n"/>
    </row>
    <row r="18" ht="15.75" customFormat="1" customHeight="1" s="82">
      <c r="A18" s="122" t="n"/>
      <c r="B18" s="122" t="inlineStr">
        <is>
          <t>Основные Машины и механизмы</t>
        </is>
      </c>
      <c r="C18" s="146" t="n"/>
      <c r="D18" s="146" t="n"/>
      <c r="E18" s="146" t="n"/>
      <c r="F18" s="146" t="n"/>
      <c r="G18" s="146" t="n"/>
      <c r="H18" s="147" t="n"/>
      <c r="I18" s="127" t="n"/>
      <c r="J18" s="127" t="n"/>
    </row>
    <row r="19" ht="31.5" customFormat="1" customHeight="1" s="82">
      <c r="A19" s="122" t="n">
        <v>3</v>
      </c>
      <c r="B19" s="136" t="inlineStr">
        <is>
          <t>91.10.05-008</t>
        </is>
      </c>
      <c r="C19" s="138" t="inlineStr">
        <is>
          <t>Трубоукладчики, номинальная грузоподъемность 20 т</t>
        </is>
      </c>
      <c r="D19" s="141" t="inlineStr">
        <is>
          <t>маш.час</t>
        </is>
      </c>
      <c r="E19" s="139" t="n">
        <v>107.34515</v>
      </c>
      <c r="F19" s="43" t="n">
        <v>330.04</v>
      </c>
      <c r="G19" s="43">
        <f>ROUND(E19*F19,2)</f>
        <v/>
      </c>
      <c r="H19" s="40">
        <f>G19/G79</f>
        <v/>
      </c>
      <c r="I19" s="127">
        <f>ROUND(F19*Прил.10!$D$11,2)</f>
        <v/>
      </c>
      <c r="J19" s="127">
        <f>ROUND(E19*I19,2)</f>
        <v/>
      </c>
    </row>
    <row r="20" ht="31.5" customFormat="1" customHeight="1" s="82">
      <c r="A20" s="122" t="n">
        <v>4</v>
      </c>
      <c r="B20" s="136" t="inlineStr">
        <is>
          <t>91.10.05-009</t>
        </is>
      </c>
      <c r="C20" s="138" t="inlineStr">
        <is>
          <t>Трубоукладчики, номинальная грузоподъемность 30 т</t>
        </is>
      </c>
      <c r="D20" s="141" t="inlineStr">
        <is>
          <t>маш.час</t>
        </is>
      </c>
      <c r="E20" s="139" t="n">
        <v>14.49391</v>
      </c>
      <c r="F20" s="43" t="n">
        <v>482.12</v>
      </c>
      <c r="G20" s="43">
        <f>ROUND(E20*F20,2)</f>
        <v/>
      </c>
      <c r="H20" s="40">
        <f>G20/G79</f>
        <v/>
      </c>
      <c r="I20" s="127">
        <f>ROUND(F20*Прил.10!$D$11,2)</f>
        <v/>
      </c>
      <c r="J20" s="127">
        <f>ROUND(E20*I20,2)</f>
        <v/>
      </c>
    </row>
    <row r="21" ht="47.25" customFormat="1" customHeight="1" s="82">
      <c r="A21" s="122" t="n">
        <v>5</v>
      </c>
      <c r="B21" s="136" t="inlineStr">
        <is>
          <t>91.17.02-051</t>
        </is>
      </c>
      <c r="C21" s="138" t="inlineStr">
        <is>
          <t>Лаборатории для контроля сварных соединений высокопроходимые, передвижные</t>
        </is>
      </c>
      <c r="D21" s="141" t="inlineStr">
        <is>
          <t>маш.час</t>
        </is>
      </c>
      <c r="E21" s="139" t="n">
        <v>16.5396</v>
      </c>
      <c r="F21" s="43" t="n">
        <v>330.91</v>
      </c>
      <c r="G21" s="43">
        <f>ROUND(E21*F21,2)</f>
        <v/>
      </c>
      <c r="H21" s="40">
        <f>G21/G79</f>
        <v/>
      </c>
      <c r="I21" s="127">
        <f>ROUND(F21*Прил.10!$D$11,2)</f>
        <v/>
      </c>
      <c r="J21" s="127">
        <f>ROUND(E21*I21,2)</f>
        <v/>
      </c>
    </row>
    <row r="22" ht="31.5" customFormat="1" customHeight="1" s="82">
      <c r="A22" s="122" t="n">
        <v>6</v>
      </c>
      <c r="B22" s="136" t="inlineStr">
        <is>
          <t>91.10.01-003</t>
        </is>
      </c>
      <c r="C22" s="138" t="inlineStr">
        <is>
          <t>Агрегаты наполнительно-опрессовочные до 500 м3/ч</t>
        </is>
      </c>
      <c r="D22" s="141" t="inlineStr">
        <is>
          <t>маш.час</t>
        </is>
      </c>
      <c r="E22" s="139" t="n">
        <v>12.6083</v>
      </c>
      <c r="F22" s="43" t="n">
        <v>422.53</v>
      </c>
      <c r="G22" s="43">
        <f>ROUND(E22*F22,2)</f>
        <v/>
      </c>
      <c r="H22" s="40">
        <f>G22/G79</f>
        <v/>
      </c>
      <c r="I22" s="127">
        <f>ROUND(F22*Прил.10!$D$11,2)</f>
        <v/>
      </c>
      <c r="J22" s="127">
        <f>ROUND(E22*I22,2)</f>
        <v/>
      </c>
    </row>
    <row r="23" ht="31.5" customFormat="1" customHeight="1" s="82">
      <c r="A23" s="122" t="n">
        <v>7</v>
      </c>
      <c r="B23" s="136" t="inlineStr">
        <is>
          <t>91.16.01-006</t>
        </is>
      </c>
      <c r="C23" s="138" t="inlineStr">
        <is>
          <t>Электростанции передвижные, мощность 100 кВт</t>
        </is>
      </c>
      <c r="D23" s="141" t="inlineStr">
        <is>
          <t>маш.час</t>
        </is>
      </c>
      <c r="E23" s="139" t="n">
        <v>24.56</v>
      </c>
      <c r="F23" s="43" t="n">
        <v>166.18</v>
      </c>
      <c r="G23" s="43">
        <f>ROUND(E23*F23,2)</f>
        <v/>
      </c>
      <c r="H23" s="40">
        <f>G23/G79</f>
        <v/>
      </c>
      <c r="I23" s="127">
        <f>ROUND(F23*Прил.10!$D$11,2)</f>
        <v/>
      </c>
      <c r="J23" s="127">
        <f>ROUND(E23*I23,2)</f>
        <v/>
      </c>
    </row>
    <row r="24" ht="31.5" customFormat="1" customHeight="1" s="82">
      <c r="A24" s="122" t="n">
        <v>8</v>
      </c>
      <c r="B24" s="136" t="inlineStr">
        <is>
          <t>91.16.01-004</t>
        </is>
      </c>
      <c r="C24" s="138" t="inlineStr">
        <is>
          <t>Электростанции передвижные, мощность 60 кВт</t>
        </is>
      </c>
      <c r="D24" s="141" t="inlineStr">
        <is>
          <t>маш.час</t>
        </is>
      </c>
      <c r="E24" s="139" t="n">
        <v>28.39538</v>
      </c>
      <c r="F24" s="43" t="n">
        <v>116.79</v>
      </c>
      <c r="G24" s="43">
        <f>ROUND(E24*F24,2)</f>
        <v/>
      </c>
      <c r="H24" s="40">
        <f>G24/G79</f>
        <v/>
      </c>
      <c r="I24" s="127">
        <f>ROUND(F24*Прил.10!$D$11,2)</f>
        <v/>
      </c>
      <c r="J24" s="127">
        <f>ROUND(E24*I24,2)</f>
        <v/>
      </c>
    </row>
    <row r="25" ht="31.5" customFormat="1" customHeight="1" s="82">
      <c r="A25" s="122" t="n">
        <v>9</v>
      </c>
      <c r="B25" s="136" t="inlineStr">
        <is>
          <t>91.10.01-001</t>
        </is>
      </c>
      <c r="C25" s="138" t="inlineStr">
        <is>
          <t>Агрегаты наполнительно-опрессовочные до 70 м3/ч</t>
        </is>
      </c>
      <c r="D25" s="141" t="inlineStr">
        <is>
          <t>маш.час</t>
        </is>
      </c>
      <c r="E25" s="139" t="n">
        <v>23.0868</v>
      </c>
      <c r="F25" s="43" t="n">
        <v>129.8</v>
      </c>
      <c r="G25" s="43">
        <f>ROUND(E25*F25,2)</f>
        <v/>
      </c>
      <c r="H25" s="40">
        <f>G25/G79</f>
        <v/>
      </c>
      <c r="I25" s="127">
        <f>ROUND(F25*Прил.10!$D$11,2)</f>
        <v/>
      </c>
      <c r="J25" s="127">
        <f>ROUND(E25*I25,2)</f>
        <v/>
      </c>
    </row>
    <row r="26" ht="31.5" customFormat="1" customHeight="1" s="82">
      <c r="A26" s="122" t="n">
        <v>10</v>
      </c>
      <c r="B26" s="136" t="inlineStr">
        <is>
          <t>91.05.05-015</t>
        </is>
      </c>
      <c r="C26" s="138" t="inlineStr">
        <is>
          <t>Краны на автомобильном ходу, грузоподъемность 16 т</t>
        </is>
      </c>
      <c r="D26" s="141" t="inlineStr">
        <is>
          <t>маш.час</t>
        </is>
      </c>
      <c r="E26" s="139" t="n">
        <v>22.1569</v>
      </c>
      <c r="F26" s="43" t="n">
        <v>115.4</v>
      </c>
      <c r="G26" s="43">
        <f>ROUND(E26*F26,2)</f>
        <v/>
      </c>
      <c r="H26" s="40">
        <f>G26/G79</f>
        <v/>
      </c>
      <c r="I26" s="127">
        <f>ROUND(F26*Прил.10!$D$11,2)</f>
        <v/>
      </c>
      <c r="J26" s="127">
        <f>ROUND(E26*I26,2)</f>
        <v/>
      </c>
    </row>
    <row r="27" ht="31.5" customFormat="1" customHeight="1" s="82">
      <c r="A27" s="122" t="n">
        <v>11</v>
      </c>
      <c r="B27" s="136" t="inlineStr">
        <is>
          <t>91.16.01-005</t>
        </is>
      </c>
      <c r="C27" s="138" t="inlineStr">
        <is>
          <t>Электростанции передвижные, мощность 75 кВт</t>
        </is>
      </c>
      <c r="D27" s="141" t="inlineStr">
        <is>
          <t>маш.час</t>
        </is>
      </c>
      <c r="E27" s="139" t="n">
        <v>18.91642</v>
      </c>
      <c r="F27" s="43" t="n">
        <v>133.8</v>
      </c>
      <c r="G27" s="43">
        <f>ROUND(E27*F27,2)</f>
        <v/>
      </c>
      <c r="H27" s="40">
        <f>G27/G79</f>
        <v/>
      </c>
      <c r="I27" s="127">
        <f>ROUND(F27*Прил.10!$D$11,2)</f>
        <v/>
      </c>
      <c r="J27" s="127">
        <f>ROUND(E27*I27,2)</f>
        <v/>
      </c>
    </row>
    <row r="28" ht="31.5" customFormat="1" customHeight="1" s="82">
      <c r="A28" s="122" t="n">
        <v>12</v>
      </c>
      <c r="B28" s="136" t="inlineStr">
        <is>
          <t>91.15.02-023</t>
        </is>
      </c>
      <c r="C28" s="138" t="inlineStr">
        <is>
          <t>Тракторы на гусеничном ходу, мощность 59 кВт (80 л.с.)</t>
        </is>
      </c>
      <c r="D28" s="141" t="inlineStr">
        <is>
          <t>маш.час</t>
        </is>
      </c>
      <c r="E28" s="139" t="n">
        <v>31.98136</v>
      </c>
      <c r="F28" s="43" t="n">
        <v>77.2</v>
      </c>
      <c r="G28" s="43">
        <f>ROUND(E28*F28,2)</f>
        <v/>
      </c>
      <c r="H28" s="40">
        <f>G28/G79</f>
        <v/>
      </c>
      <c r="I28" s="127">
        <f>ROUND(F28*Прил.10!$D$11,2)</f>
        <v/>
      </c>
      <c r="J28" s="127">
        <f>ROUND(E28*I28,2)</f>
        <v/>
      </c>
    </row>
    <row r="29" ht="47.25" customFormat="1" customHeight="1" s="82">
      <c r="A29" s="122" t="n">
        <v>13</v>
      </c>
      <c r="B29" s="136" t="inlineStr">
        <is>
          <t>91.17.01-004</t>
        </is>
      </c>
      <c r="C29" s="138" t="inlineStr">
        <is>
          <t>Выпрямители сварочные, номинальный сварочный ток 60-500 А</t>
        </is>
      </c>
      <c r="D29" s="141" t="inlineStr">
        <is>
          <t>маш.час</t>
        </is>
      </c>
      <c r="E29" s="139" t="n">
        <v>134.6603</v>
      </c>
      <c r="F29" s="43" t="n">
        <v>15.13</v>
      </c>
      <c r="G29" s="43">
        <f>ROUND(E29*F29,2)</f>
        <v/>
      </c>
      <c r="H29" s="40">
        <f>G29/G79</f>
        <v/>
      </c>
      <c r="I29" s="127">
        <f>ROUND(F29*Прил.10!$D$11,2)</f>
        <v/>
      </c>
      <c r="J29" s="127">
        <f>ROUND(E29*I29,2)</f>
        <v/>
      </c>
    </row>
    <row r="30" ht="31.5" customFormat="1" customHeight="1" s="82">
      <c r="A30" s="122" t="n">
        <v>14</v>
      </c>
      <c r="B30" s="136" t="inlineStr">
        <is>
          <t>91.01.01-036</t>
        </is>
      </c>
      <c r="C30" s="138" t="inlineStr">
        <is>
          <t>Бульдозеры, мощность 96 кВт (130 л.с.)</t>
        </is>
      </c>
      <c r="D30" s="141" t="inlineStr">
        <is>
          <t>маш.час</t>
        </is>
      </c>
      <c r="E30" s="139" t="n">
        <v>21.648</v>
      </c>
      <c r="F30" s="43" t="n">
        <v>94.05</v>
      </c>
      <c r="G30" s="43">
        <f>ROUND(E30*F30,2)</f>
        <v/>
      </c>
      <c r="H30" s="40">
        <f>G30/G79</f>
        <v/>
      </c>
      <c r="I30" s="127">
        <f>ROUND(F30*Прил.10!$D$11,2)</f>
        <v/>
      </c>
      <c r="J30" s="127">
        <f>ROUND(E30*I30,2)</f>
        <v/>
      </c>
    </row>
    <row r="31" ht="31.5" customFormat="1" customHeight="1" s="82">
      <c r="A31" s="122" t="n">
        <v>15</v>
      </c>
      <c r="B31" s="136" t="inlineStr">
        <is>
          <t>91.15.02-024</t>
        </is>
      </c>
      <c r="C31" s="138" t="inlineStr">
        <is>
          <t>Тракторы на гусеничном ходу, мощность 79 кВт (108 л.с.)</t>
        </is>
      </c>
      <c r="D31" s="141" t="inlineStr">
        <is>
          <t>маш.час</t>
        </is>
      </c>
      <c r="E31" s="139" t="n">
        <v>21.43881</v>
      </c>
      <c r="F31" s="43" t="n">
        <v>83.09999999999999</v>
      </c>
      <c r="G31" s="43">
        <f>ROUND(E31*F31,2)</f>
        <v/>
      </c>
      <c r="H31" s="40">
        <f>G31/G79</f>
        <v/>
      </c>
      <c r="I31" s="127">
        <f>ROUND(F31*Прил.10!$D$11,2)</f>
        <v/>
      </c>
      <c r="J31" s="127">
        <f>ROUND(E31*I31,2)</f>
        <v/>
      </c>
    </row>
    <row r="32" ht="47.25" customFormat="1" customHeight="1" s="82">
      <c r="A32" s="122" t="n">
        <v>16</v>
      </c>
      <c r="B32" s="136" t="inlineStr">
        <is>
          <t>91.01.05-085</t>
        </is>
      </c>
      <c r="C32" s="138" t="inlineStr">
        <is>
          <t>Экскаваторы одноковшовые дизельные на гусеничном ходу, емкость ковша 0,5 м3</t>
        </is>
      </c>
      <c r="D32" s="141" t="inlineStr">
        <is>
          <t>маш.час</t>
        </is>
      </c>
      <c r="E32" s="139" t="n">
        <v>15.8755</v>
      </c>
      <c r="F32" s="43" t="n">
        <v>100</v>
      </c>
      <c r="G32" s="43">
        <f>ROUND(E32*F32,2)</f>
        <v/>
      </c>
      <c r="H32" s="40">
        <f>G32/G79</f>
        <v/>
      </c>
      <c r="I32" s="127">
        <f>ROUND(F32*Прил.10!$D$11,2)</f>
        <v/>
      </c>
      <c r="J32" s="127">
        <f>ROUND(E32*I32,2)</f>
        <v/>
      </c>
    </row>
    <row r="33" ht="31.5" customFormat="1" customHeight="1" s="82">
      <c r="A33" s="122" t="n">
        <v>17</v>
      </c>
      <c r="B33" s="136" t="inlineStr">
        <is>
          <t>91.01.01-038</t>
        </is>
      </c>
      <c r="C33" s="138" t="inlineStr">
        <is>
          <t>Бульдозеры, мощность 121 кВт (165 л.с.)</t>
        </is>
      </c>
      <c r="D33" s="141" t="inlineStr">
        <is>
          <t>маш.час</t>
        </is>
      </c>
      <c r="E33" s="139" t="n">
        <v>12.11573</v>
      </c>
      <c r="F33" s="43" t="n">
        <v>122.4</v>
      </c>
      <c r="G33" s="43">
        <f>ROUND(E33*F33,2)</f>
        <v/>
      </c>
      <c r="H33" s="40">
        <f>G33/G79</f>
        <v/>
      </c>
      <c r="I33" s="127">
        <f>ROUND(F33*Прил.10!$D$11,2)</f>
        <v/>
      </c>
      <c r="J33" s="127">
        <f>ROUND(E33*I33,2)</f>
        <v/>
      </c>
    </row>
    <row r="34" ht="47.25" customFormat="1" customHeight="1" s="82">
      <c r="A34" s="122" t="n">
        <v>18</v>
      </c>
      <c r="B34" s="136" t="inlineStr">
        <is>
          <t>91.01.05-086</t>
        </is>
      </c>
      <c r="C34" s="138" t="inlineStr">
        <is>
          <t>Экскаваторы одноковшовые дизельные на гусеничном ходу, емкость ковша 0,65 м3</t>
        </is>
      </c>
      <c r="D34" s="141" t="inlineStr">
        <is>
          <t>маш.час</t>
        </is>
      </c>
      <c r="E34" s="139" t="n">
        <v>12.1758</v>
      </c>
      <c r="F34" s="43" t="n">
        <v>115.27</v>
      </c>
      <c r="G34" s="43">
        <f>ROUND(E34*F34,2)</f>
        <v/>
      </c>
      <c r="H34" s="40">
        <f>G34/G79</f>
        <v/>
      </c>
      <c r="I34" s="127">
        <f>ROUND(F34*Прил.10!$D$11,2)</f>
        <v/>
      </c>
      <c r="J34" s="127">
        <f>ROUND(E34*I34,2)</f>
        <v/>
      </c>
    </row>
    <row r="35" ht="15.75" customFormat="1" customHeight="1" s="82">
      <c r="A35" s="122" t="n"/>
      <c r="B35" s="136" t="inlineStr">
        <is>
          <t>Итого основные Машины и механизмы</t>
        </is>
      </c>
      <c r="C35" s="146" t="n"/>
      <c r="D35" s="146" t="n"/>
      <c r="E35" s="146" t="n"/>
      <c r="F35" s="147" t="n"/>
      <c r="G35" s="43">
        <f>SUM(G19:G34)</f>
        <v/>
      </c>
      <c r="H35" s="40">
        <f>SUM(H19:H34)</f>
        <v/>
      </c>
      <c r="I35" s="127" t="n"/>
      <c r="J35" s="127">
        <f>SUM(J19:J34)</f>
        <v/>
      </c>
    </row>
    <row r="36" hidden="1" outlineLevel="1" ht="63" customFormat="1" customHeight="1" s="82">
      <c r="A36" s="122" t="n">
        <v>19</v>
      </c>
      <c r="B36" s="136" t="inlineStr">
        <is>
          <t>91.18.01-007</t>
        </is>
      </c>
      <c r="C36" s="138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36" s="141" t="inlineStr">
        <is>
          <t>маш.час</t>
        </is>
      </c>
      <c r="E36" s="139" t="n">
        <v>15.03044</v>
      </c>
      <c r="F36" s="43" t="n">
        <v>90</v>
      </c>
      <c r="G36" s="43">
        <f>ROUND(E36*F36,2)</f>
        <v/>
      </c>
      <c r="H36" s="40">
        <f>G36/G79</f>
        <v/>
      </c>
      <c r="I36" s="127">
        <f>ROUND(F36*Прил.10!$D$11,2)</f>
        <v/>
      </c>
      <c r="J36" s="127">
        <f>ROUND(E36*I36,2)</f>
        <v/>
      </c>
    </row>
    <row r="37" hidden="1" outlineLevel="1" ht="31.5" customFormat="1" customHeight="1" s="82">
      <c r="A37" s="122" t="n">
        <v>20</v>
      </c>
      <c r="B37" s="136" t="inlineStr">
        <is>
          <t>91.19.12-061</t>
        </is>
      </c>
      <c r="C37" s="138" t="inlineStr">
        <is>
          <t>Установки для открытого водоотлива на базе трактора 700 м3/час</t>
        </is>
      </c>
      <c r="D37" s="141" t="inlineStr">
        <is>
          <t>маш.час</t>
        </is>
      </c>
      <c r="E37" s="139" t="n">
        <v>8.065200000000001</v>
      </c>
      <c r="F37" s="43" t="n">
        <v>162</v>
      </c>
      <c r="G37" s="43">
        <f>ROUND(E37*F37,2)</f>
        <v/>
      </c>
      <c r="H37" s="40">
        <f>G37/G79</f>
        <v/>
      </c>
      <c r="I37" s="127">
        <f>ROUND(F37*Прил.10!$D$11,2)</f>
        <v/>
      </c>
      <c r="J37" s="127">
        <f>ROUND(E37*I37,2)</f>
        <v/>
      </c>
    </row>
    <row r="38" hidden="1" outlineLevel="1" ht="47.25" customFormat="1" customHeight="1" s="82">
      <c r="A38" s="122" t="n">
        <v>21</v>
      </c>
      <c r="B38" s="136" t="inlineStr">
        <is>
          <t>91.17.04-033</t>
        </is>
      </c>
      <c r="C38" s="138" t="inlineStr">
        <is>
          <t>Агрегаты сварочные двухпостовые для ручной сварки на тракторе, мощность 79 кВт (108 л.с.)</t>
        </is>
      </c>
      <c r="D38" s="141" t="inlineStr">
        <is>
          <t>маш.час</t>
        </is>
      </c>
      <c r="E38" s="139" t="n">
        <v>9.5205</v>
      </c>
      <c r="F38" s="43" t="n">
        <v>133.97</v>
      </c>
      <c r="G38" s="43">
        <f>ROUND(E38*F38,2)</f>
        <v/>
      </c>
      <c r="H38" s="40">
        <f>G38/G79</f>
        <v/>
      </c>
      <c r="I38" s="127">
        <f>ROUND(F38*Прил.10!$D$11,2)</f>
        <v/>
      </c>
      <c r="J38" s="127">
        <f>ROUND(E38*I38,2)</f>
        <v/>
      </c>
    </row>
    <row r="39" hidden="1" outlineLevel="1" ht="31.5" customFormat="1" customHeight="1" s="82">
      <c r="A39" s="122" t="n">
        <v>22</v>
      </c>
      <c r="B39" s="136" t="inlineStr">
        <is>
          <t>91.10.01-004</t>
        </is>
      </c>
      <c r="C39" s="138" t="inlineStr">
        <is>
          <t>Агрегаты опрессовочные с подачей при наполнении 25 м3/ч</t>
        </is>
      </c>
      <c r="D39" s="141" t="inlineStr">
        <is>
          <t>маш.час</t>
        </is>
      </c>
      <c r="E39" s="139" t="n">
        <v>12.64608</v>
      </c>
      <c r="F39" s="43" t="n">
        <v>97.59999999999999</v>
      </c>
      <c r="G39" s="43">
        <f>ROUND(E39*F39,2)</f>
        <v/>
      </c>
      <c r="H39" s="40">
        <f>G39/G79</f>
        <v/>
      </c>
      <c r="I39" s="127">
        <f>ROUND(F39*Прил.10!$D$11,2)</f>
        <v/>
      </c>
      <c r="J39" s="127">
        <f>ROUND(E39*I39,2)</f>
        <v/>
      </c>
    </row>
    <row r="40" hidden="1" outlineLevel="1" ht="31.5" customFormat="1" customHeight="1" s="82">
      <c r="A40" s="122" t="n">
        <v>23</v>
      </c>
      <c r="B40" s="136" t="inlineStr">
        <is>
          <t>91.10.05-005</t>
        </is>
      </c>
      <c r="C40" s="138" t="inlineStr">
        <is>
          <t>Трубоукладчики для труб диаметром до 700 мм, грузоподъемность 12,5 т</t>
        </is>
      </c>
      <c r="D40" s="141" t="inlineStr">
        <is>
          <t>маш.час</t>
        </is>
      </c>
      <c r="E40" s="139" t="n">
        <v>7.25855</v>
      </c>
      <c r="F40" s="43" t="n">
        <v>152.5</v>
      </c>
      <c r="G40" s="43">
        <f>ROUND(E40*F40,2)</f>
        <v/>
      </c>
      <c r="H40" s="40">
        <f>G40/G79</f>
        <v/>
      </c>
      <c r="I40" s="127">
        <f>ROUND(F40*Прил.10!$D$11,2)</f>
        <v/>
      </c>
      <c r="J40" s="127">
        <f>ROUND(E40*I40,2)</f>
        <v/>
      </c>
    </row>
    <row r="41" hidden="1" outlineLevel="1" ht="31.5" customFormat="1" customHeight="1" s="82">
      <c r="A41" s="122" t="n">
        <v>24</v>
      </c>
      <c r="B41" s="136" t="inlineStr">
        <is>
          <t>91.12.02-002</t>
        </is>
      </c>
      <c r="C41" s="138" t="inlineStr">
        <is>
          <t>Корчеватели-собиратели с трактором, мощность 79 кВт (108 л.с.)</t>
        </is>
      </c>
      <c r="D41" s="141" t="inlineStr">
        <is>
          <t>маш.час</t>
        </is>
      </c>
      <c r="E41" s="139" t="n">
        <v>9.91512</v>
      </c>
      <c r="F41" s="43" t="n">
        <v>88.91</v>
      </c>
      <c r="G41" s="43">
        <f>ROUND(E41*F41,2)</f>
        <v/>
      </c>
      <c r="H41" s="40">
        <f>G41/G79</f>
        <v/>
      </c>
      <c r="I41" s="127">
        <f>ROUND(F41*Прил.10!$D$11,2)</f>
        <v/>
      </c>
      <c r="J41" s="127">
        <f>ROUND(E41*I41,2)</f>
        <v/>
      </c>
    </row>
    <row r="42" hidden="1" outlineLevel="1" ht="31.5" customFormat="1" customHeight="1" s="82">
      <c r="A42" s="122" t="n">
        <v>25</v>
      </c>
      <c r="B42" s="136" t="inlineStr">
        <is>
          <t>91.01.01-039</t>
        </is>
      </c>
      <c r="C42" s="138" t="inlineStr">
        <is>
          <t>Бульдозеры, мощность 132 кВт (180 л.с.)</t>
        </is>
      </c>
      <c r="D42" s="141" t="inlineStr">
        <is>
          <t>маш.час</t>
        </is>
      </c>
      <c r="E42" s="139" t="n">
        <v>4.48175</v>
      </c>
      <c r="F42" s="43" t="n">
        <v>132.79</v>
      </c>
      <c r="G42" s="43">
        <f>ROUND(E42*F42,2)</f>
        <v/>
      </c>
      <c r="H42" s="40">
        <f>G42/G79</f>
        <v/>
      </c>
      <c r="I42" s="127">
        <f>ROUND(F42*Прил.10!$D$11,2)</f>
        <v/>
      </c>
      <c r="J42" s="127">
        <f>ROUND(E42*I42,2)</f>
        <v/>
      </c>
    </row>
    <row r="43" hidden="1" outlineLevel="1" ht="31.5" customFormat="1" customHeight="1" s="82">
      <c r="A43" s="122" t="n">
        <v>26</v>
      </c>
      <c r="B43" s="136" t="inlineStr">
        <is>
          <t>91.14.06-012</t>
        </is>
      </c>
      <c r="C43" s="138" t="inlineStr">
        <is>
          <t>Трубоплетевозы на автомобильном ходу до 19 т</t>
        </is>
      </c>
      <c r="D43" s="141" t="inlineStr">
        <is>
          <t>маш.час</t>
        </is>
      </c>
      <c r="E43" s="139" t="n">
        <v>2.9848</v>
      </c>
      <c r="F43" s="43" t="n">
        <v>196.8</v>
      </c>
      <c r="G43" s="43">
        <f>ROUND(E43*F43,2)</f>
        <v/>
      </c>
      <c r="H43" s="40">
        <f>G43/G79</f>
        <v/>
      </c>
      <c r="I43" s="127">
        <f>ROUND(F43*Прил.10!$D$11,2)</f>
        <v/>
      </c>
      <c r="J43" s="127">
        <f>ROUND(E43*I43,2)</f>
        <v/>
      </c>
    </row>
    <row r="44" hidden="1" outlineLevel="1" ht="47.25" customFormat="1" customHeight="1" s="82">
      <c r="A44" s="122" t="n">
        <v>27</v>
      </c>
      <c r="B44" s="136" t="inlineStr">
        <is>
          <t>91.18.01-014</t>
        </is>
      </c>
      <c r="C44" s="138" t="inlineStr">
        <is>
          <t>Компрессоры передвижные, давление 2,5 МПа, производительность 34 м3/мин</t>
        </is>
      </c>
      <c r="D44" s="141" t="inlineStr">
        <is>
          <t>маш.час</t>
        </is>
      </c>
      <c r="E44" s="139" t="n">
        <v>1.01908</v>
      </c>
      <c r="F44" s="43" t="n">
        <v>525.3099999999999</v>
      </c>
      <c r="G44" s="43">
        <f>ROUND(E44*F44,2)</f>
        <v/>
      </c>
      <c r="H44" s="40">
        <f>G44/G79</f>
        <v/>
      </c>
      <c r="I44" s="127">
        <f>ROUND(F44*Прил.10!$D$11,2)</f>
        <v/>
      </c>
      <c r="J44" s="127">
        <f>ROUND(E44*I44,2)</f>
        <v/>
      </c>
    </row>
    <row r="45" hidden="1" outlineLevel="1" ht="47.25" customFormat="1" customHeight="1" s="82">
      <c r="A45" s="122" t="n">
        <v>28</v>
      </c>
      <c r="B45" s="136" t="inlineStr">
        <is>
          <t>91.01.05-070</t>
        </is>
      </c>
      <c r="C45" s="138" t="inlineStr">
        <is>
          <t>Экскаваторы на гусеничном ходу импортного производства, емкость ковша 1,25 м3</t>
        </is>
      </c>
      <c r="D45" s="141" t="inlineStr">
        <is>
          <t>маш.час</t>
        </is>
      </c>
      <c r="E45" s="139" t="n">
        <v>2.08</v>
      </c>
      <c r="F45" s="43" t="n">
        <v>254.89</v>
      </c>
      <c r="G45" s="43">
        <f>ROUND(E45*F45,2)</f>
        <v/>
      </c>
      <c r="H45" s="40">
        <f>G45/G79</f>
        <v/>
      </c>
      <c r="I45" s="127">
        <f>ROUND(F45*Прил.10!$D$11,2)</f>
        <v/>
      </c>
      <c r="J45" s="127">
        <f>ROUND(E45*I45,2)</f>
        <v/>
      </c>
    </row>
    <row r="46" hidden="1" outlineLevel="1" ht="31.5" customFormat="1" customHeight="1" s="82">
      <c r="A46" s="122" t="n">
        <v>29</v>
      </c>
      <c r="B46" s="136" t="inlineStr">
        <is>
          <t>91.10.04-024</t>
        </is>
      </c>
      <c r="C46" s="138" t="inlineStr">
        <is>
          <t>Машины изоляционные для труб диаметром 600-800 мм</t>
        </is>
      </c>
      <c r="D46" s="141" t="inlineStr">
        <is>
          <t>маш.час</t>
        </is>
      </c>
      <c r="E46" s="139" t="n">
        <v>2.29515</v>
      </c>
      <c r="F46" s="43" t="n">
        <v>198.44</v>
      </c>
      <c r="G46" s="43">
        <f>ROUND(E46*F46,2)</f>
        <v/>
      </c>
      <c r="H46" s="40">
        <f>G46/G79</f>
        <v/>
      </c>
      <c r="I46" s="127">
        <f>ROUND(F46*Прил.10!$D$11,2)</f>
        <v/>
      </c>
      <c r="J46" s="127">
        <f>ROUND(E46*I46,2)</f>
        <v/>
      </c>
    </row>
    <row r="47" hidden="1" outlineLevel="1" ht="15.75" customFormat="1" customHeight="1" s="82">
      <c r="A47" s="122" t="n">
        <v>30</v>
      </c>
      <c r="B47" s="136" t="inlineStr">
        <is>
          <t>91.08.11-011</t>
        </is>
      </c>
      <c r="C47" s="138" t="inlineStr">
        <is>
          <t>Заливщики швов на базе автомобиля</t>
        </is>
      </c>
      <c r="D47" s="141" t="inlineStr">
        <is>
          <t>маш.час</t>
        </is>
      </c>
      <c r="E47" s="139" t="n">
        <v>2.42788</v>
      </c>
      <c r="F47" s="43" t="n">
        <v>175.25</v>
      </c>
      <c r="G47" s="43">
        <f>ROUND(E47*F47,2)</f>
        <v/>
      </c>
      <c r="H47" s="40">
        <f>G47/G79</f>
        <v/>
      </c>
      <c r="I47" s="127">
        <f>ROUND(F47*Прил.10!$D$11,2)</f>
        <v/>
      </c>
      <c r="J47" s="127">
        <f>ROUND(E47*I47,2)</f>
        <v/>
      </c>
    </row>
    <row r="48" hidden="1" outlineLevel="1" ht="15.75" customFormat="1" customHeight="1" s="82">
      <c r="A48" s="122" t="n">
        <v>31</v>
      </c>
      <c r="B48" s="136" t="inlineStr">
        <is>
          <t>91.09.03-034</t>
        </is>
      </c>
      <c r="C48" s="138" t="inlineStr">
        <is>
          <t>Платформы узкой колеи</t>
        </is>
      </c>
      <c r="D48" s="141" t="inlineStr">
        <is>
          <t>маш.час</t>
        </is>
      </c>
      <c r="E48" s="139" t="n">
        <v>32.4351</v>
      </c>
      <c r="F48" s="43" t="n">
        <v>13</v>
      </c>
      <c r="G48" s="43">
        <f>ROUND(E48*F48,2)</f>
        <v/>
      </c>
      <c r="H48" s="40">
        <f>G48/G79</f>
        <v/>
      </c>
      <c r="I48" s="127">
        <f>ROUND(F48*Прил.10!$D$11,2)</f>
        <v/>
      </c>
      <c r="J48" s="127">
        <f>ROUND(E48*I48,2)</f>
        <v/>
      </c>
    </row>
    <row r="49" hidden="1" outlineLevel="1" ht="31.5" customFormat="1" customHeight="1" s="82">
      <c r="A49" s="122" t="n">
        <v>32</v>
      </c>
      <c r="B49" s="136" t="inlineStr">
        <is>
          <t>91.08.04-022</t>
        </is>
      </c>
      <c r="C49" s="138" t="inlineStr">
        <is>
          <t>Котлы битумные передвижные 1000 л</t>
        </is>
      </c>
      <c r="D49" s="141" t="inlineStr">
        <is>
          <t>маш.час</t>
        </is>
      </c>
      <c r="E49" s="139" t="n">
        <v>8.3902</v>
      </c>
      <c r="F49" s="43" t="n">
        <v>50</v>
      </c>
      <c r="G49" s="43">
        <f>ROUND(E49*F49,2)</f>
        <v/>
      </c>
      <c r="H49" s="40">
        <f>G49/G79</f>
        <v/>
      </c>
      <c r="I49" s="127">
        <f>ROUND(F49*Прил.10!$D$11,2)</f>
        <v/>
      </c>
      <c r="J49" s="127">
        <f>ROUND(E49*I49,2)</f>
        <v/>
      </c>
    </row>
    <row r="50" hidden="1" outlineLevel="1" ht="31.5" customFormat="1" customHeight="1" s="82">
      <c r="A50" s="122" t="n">
        <v>33</v>
      </c>
      <c r="B50" s="136" t="inlineStr">
        <is>
          <t>91.08.03-030</t>
        </is>
      </c>
      <c r="C50" s="138" t="inlineStr">
        <is>
          <t>Катки самоходные пневмоколесные статические, масса 30 т</t>
        </is>
      </c>
      <c r="D50" s="141" t="inlineStr">
        <is>
          <t>маш.час</t>
        </is>
      </c>
      <c r="E50" s="139" t="n">
        <v>1.05006</v>
      </c>
      <c r="F50" s="43" t="n">
        <v>364.07</v>
      </c>
      <c r="G50" s="43">
        <f>ROUND(E50*F50,2)</f>
        <v/>
      </c>
      <c r="H50" s="40">
        <f>G50/G79</f>
        <v/>
      </c>
      <c r="I50" s="127">
        <f>ROUND(F50*Прил.10!$D$11,2)</f>
        <v/>
      </c>
      <c r="J50" s="127">
        <f>ROUND(E50*I50,2)</f>
        <v/>
      </c>
    </row>
    <row r="51" hidden="1" outlineLevel="1" ht="31.5" customFormat="1" customHeight="1" s="82">
      <c r="A51" s="122" t="n">
        <v>34</v>
      </c>
      <c r="B51" s="136" t="inlineStr">
        <is>
          <t>91.01.01-035</t>
        </is>
      </c>
      <c r="C51" s="138" t="inlineStr">
        <is>
          <t>Бульдозеры, мощность 79 кВт (108 л.с.)</t>
        </is>
      </c>
      <c r="D51" s="141" t="inlineStr">
        <is>
          <t>маш.час</t>
        </is>
      </c>
      <c r="E51" s="139" t="n">
        <v>4.49468</v>
      </c>
      <c r="F51" s="43" t="n">
        <v>79.06999999999999</v>
      </c>
      <c r="G51" s="43">
        <f>ROUND(E51*F51,2)</f>
        <v/>
      </c>
      <c r="H51" s="40">
        <f>G51/G79</f>
        <v/>
      </c>
      <c r="I51" s="127">
        <f>ROUND(F51*Прил.10!$D$11,2)</f>
        <v/>
      </c>
      <c r="J51" s="127">
        <f>ROUND(E51*I51,2)</f>
        <v/>
      </c>
    </row>
    <row r="52" hidden="1" outlineLevel="1" ht="31.5" customFormat="1" customHeight="1" s="82">
      <c r="A52" s="122" t="n">
        <v>35</v>
      </c>
      <c r="B52" s="136" t="inlineStr">
        <is>
          <t>91.17.02-021</t>
        </is>
      </c>
      <c r="C52" s="138" t="inlineStr">
        <is>
          <t>Гамма-дефектоскопы с толщиной просвечиваемой стали до 80 мм</t>
        </is>
      </c>
      <c r="D52" s="141" t="inlineStr">
        <is>
          <t>маш.час</t>
        </is>
      </c>
      <c r="E52" s="139" t="n">
        <v>5.082</v>
      </c>
      <c r="F52" s="43" t="n">
        <v>61.72</v>
      </c>
      <c r="G52" s="43">
        <f>ROUND(E52*F52,2)</f>
        <v/>
      </c>
      <c r="H52" s="40">
        <f>G52/G79</f>
        <v/>
      </c>
      <c r="I52" s="127">
        <f>ROUND(F52*Прил.10!$D$11,2)</f>
        <v/>
      </c>
      <c r="J52" s="127">
        <f>ROUND(E52*I52,2)</f>
        <v/>
      </c>
    </row>
    <row r="53" hidden="1" outlineLevel="1" ht="31.5" customFormat="1" customHeight="1" s="82">
      <c r="A53" s="122" t="n">
        <v>36</v>
      </c>
      <c r="B53" s="136" t="inlineStr">
        <is>
          <t>91.10.04-013</t>
        </is>
      </c>
      <c r="C53" s="138" t="inlineStr">
        <is>
          <t>Машины для очистки и грунтовки труб диаметром 600-800 мм</t>
        </is>
      </c>
      <c r="D53" s="141" t="inlineStr">
        <is>
          <t>маш.час</t>
        </is>
      </c>
      <c r="E53" s="139" t="n">
        <v>1.0855</v>
      </c>
      <c r="F53" s="43" t="n">
        <v>242.41</v>
      </c>
      <c r="G53" s="43">
        <f>ROUND(E53*F53,2)</f>
        <v/>
      </c>
      <c r="H53" s="40">
        <f>G53/G79</f>
        <v/>
      </c>
      <c r="I53" s="127">
        <f>ROUND(F53*Прил.10!$D$11,2)</f>
        <v/>
      </c>
      <c r="J53" s="127">
        <f>ROUND(E53*I53,2)</f>
        <v/>
      </c>
    </row>
    <row r="54" hidden="1" outlineLevel="1" ht="31.5" customFormat="1" customHeight="1" s="82">
      <c r="A54" s="122" t="n">
        <v>37</v>
      </c>
      <c r="B54" s="136" t="inlineStr">
        <is>
          <t>91.15.02-013</t>
        </is>
      </c>
      <c r="C54" s="138" t="inlineStr">
        <is>
          <t>Тракторы на гусеничном ходу, мощность 128,7 кВт (175 л.с.)</t>
        </is>
      </c>
      <c r="D54" s="141" t="inlineStr">
        <is>
          <t>маш.час</t>
        </is>
      </c>
      <c r="E54" s="139" t="n">
        <v>1.386</v>
      </c>
      <c r="F54" s="43" t="n">
        <v>181.29</v>
      </c>
      <c r="G54" s="43">
        <f>ROUND(E54*F54,2)</f>
        <v/>
      </c>
      <c r="H54" s="40">
        <f>G54/G79</f>
        <v/>
      </c>
      <c r="I54" s="127">
        <f>ROUND(F54*Прил.10!$D$11,2)</f>
        <v/>
      </c>
      <c r="J54" s="127">
        <f>ROUND(E54*I54,2)</f>
        <v/>
      </c>
    </row>
    <row r="55" hidden="1" outlineLevel="1" ht="31.5" customFormat="1" customHeight="1" s="82">
      <c r="A55" s="122" t="n">
        <v>38</v>
      </c>
      <c r="B55" s="136" t="inlineStr">
        <is>
          <t>91.10.05-007</t>
        </is>
      </c>
      <c r="C55" s="138" t="inlineStr">
        <is>
          <t>Трубоукладчики, номинальная грузоподъемность 12,5 т</t>
        </is>
      </c>
      <c r="D55" s="141" t="inlineStr">
        <is>
          <t>маш.час</t>
        </is>
      </c>
      <c r="E55" s="139" t="n">
        <v>0.6820000000000001</v>
      </c>
      <c r="F55" s="43" t="n">
        <v>239.44</v>
      </c>
      <c r="G55" s="43">
        <f>ROUND(E55*F55,2)</f>
        <v/>
      </c>
      <c r="H55" s="40">
        <f>G55/G79</f>
        <v/>
      </c>
      <c r="I55" s="127">
        <f>ROUND(F55*Прил.10!$D$11,2)</f>
        <v/>
      </c>
      <c r="J55" s="127">
        <f>ROUND(E55*I55,2)</f>
        <v/>
      </c>
    </row>
    <row r="56" hidden="1" outlineLevel="1" ht="31.5" customFormat="1" customHeight="1" s="82">
      <c r="A56" s="122" t="n">
        <v>39</v>
      </c>
      <c r="B56" s="136" t="inlineStr">
        <is>
          <t>91.10.08-003</t>
        </is>
      </c>
      <c r="C56" s="138" t="inlineStr">
        <is>
          <t>Установки для сушки труб диаметром 800 мм</t>
        </is>
      </c>
      <c r="D56" s="141" t="inlineStr">
        <is>
          <t>маш.час</t>
        </is>
      </c>
      <c r="E56" s="139" t="n">
        <v>0.2834</v>
      </c>
      <c r="F56" s="43" t="n">
        <v>496.98</v>
      </c>
      <c r="G56" s="43">
        <f>ROUND(E56*F56,2)</f>
        <v/>
      </c>
      <c r="H56" s="40">
        <f>G56/G79</f>
        <v/>
      </c>
      <c r="I56" s="127">
        <f>ROUND(F56*Прил.10!$D$11,2)</f>
        <v/>
      </c>
      <c r="J56" s="127">
        <f>ROUND(E56*I56,2)</f>
        <v/>
      </c>
    </row>
    <row r="57" hidden="1" outlineLevel="1" ht="31.5" customFormat="1" customHeight="1" s="82">
      <c r="A57" s="122" t="n">
        <v>40</v>
      </c>
      <c r="B57" s="136" t="inlineStr">
        <is>
          <t>91.14.02-001</t>
        </is>
      </c>
      <c r="C57" s="138" t="inlineStr">
        <is>
          <t>Автомобили бортовые, грузоподъемность до 5 т</t>
        </is>
      </c>
      <c r="D57" s="141" t="inlineStr">
        <is>
          <t>маш.час</t>
        </is>
      </c>
      <c r="E57" s="139" t="n">
        <v>1.77094</v>
      </c>
      <c r="F57" s="43" t="n">
        <v>65.70999999999999</v>
      </c>
      <c r="G57" s="43">
        <f>ROUND(E57*F57,2)</f>
        <v/>
      </c>
      <c r="H57" s="40">
        <f>G57/G79</f>
        <v/>
      </c>
      <c r="I57" s="127">
        <f>ROUND(F57*Прил.10!$D$11,2)</f>
        <v/>
      </c>
      <c r="J57" s="127">
        <f>ROUND(E57*I57,2)</f>
        <v/>
      </c>
    </row>
    <row r="58" hidden="1" outlineLevel="1" ht="47.25" customFormat="1" customHeight="1" s="82">
      <c r="A58" s="122" t="n">
        <v>41</v>
      </c>
      <c r="B58" s="136" t="inlineStr">
        <is>
          <t>91.10.10-013</t>
        </is>
      </c>
      <c r="C58" s="138" t="inlineStr">
        <is>
          <t>Центраторы внутренние гидравлические для труб диаметром 900-1000 мм</t>
        </is>
      </c>
      <c r="D58" s="141" t="inlineStr">
        <is>
          <t>маш.час</t>
        </is>
      </c>
      <c r="E58" s="139" t="n">
        <v>4.29548</v>
      </c>
      <c r="F58" s="43" t="n">
        <v>20.52</v>
      </c>
      <c r="G58" s="43">
        <f>ROUND(E58*F58,2)</f>
        <v/>
      </c>
      <c r="H58" s="40">
        <f>G58/G79</f>
        <v/>
      </c>
      <c r="I58" s="127">
        <f>ROUND(F58*Прил.10!$D$11,2)</f>
        <v/>
      </c>
      <c r="J58" s="127">
        <f>ROUND(E58*I58,2)</f>
        <v/>
      </c>
    </row>
    <row r="59" hidden="1" outlineLevel="1" ht="31.5" customFormat="1" customHeight="1" s="82">
      <c r="A59" s="122" t="n">
        <v>42</v>
      </c>
      <c r="B59" s="136" t="inlineStr">
        <is>
          <t>91.04.01-033</t>
        </is>
      </c>
      <c r="C59" s="138" t="inlineStr">
        <is>
          <t>Машины бурильные на тракторе 85 кВт (115 л.с.), глубина бурения 3,5 м</t>
        </is>
      </c>
      <c r="D59" s="141" t="inlineStr">
        <is>
          <t>маш.час</t>
        </is>
      </c>
      <c r="E59" s="139" t="n">
        <v>0.44</v>
      </c>
      <c r="F59" s="43" t="n">
        <v>187.68</v>
      </c>
      <c r="G59" s="43">
        <f>ROUND(E59*F59,2)</f>
        <v/>
      </c>
      <c r="H59" s="40">
        <f>G59/G79</f>
        <v/>
      </c>
      <c r="I59" s="127">
        <f>ROUND(F59*Прил.10!$D$11,2)</f>
        <v/>
      </c>
      <c r="J59" s="127">
        <f>ROUND(E59*I59,2)</f>
        <v/>
      </c>
    </row>
    <row r="60" hidden="1" outlineLevel="1" ht="15.75" customFormat="1" customHeight="1" s="82">
      <c r="A60" s="122" t="n">
        <v>43</v>
      </c>
      <c r="B60" s="136" t="inlineStr">
        <is>
          <t>91.17.02-032</t>
        </is>
      </c>
      <c r="C60" s="138" t="inlineStr">
        <is>
          <t>Дефектоскопы ультразвуковые</t>
        </is>
      </c>
      <c r="D60" s="141" t="inlineStr">
        <is>
          <t>маш.час</t>
        </is>
      </c>
      <c r="E60" s="139" t="n">
        <v>9.424799999999999</v>
      </c>
      <c r="F60" s="43" t="n">
        <v>7.5</v>
      </c>
      <c r="G60" s="43">
        <f>ROUND(E60*F60,2)</f>
        <v/>
      </c>
      <c r="H60" s="40">
        <f>G60/G79</f>
        <v/>
      </c>
      <c r="I60" s="127">
        <f>ROUND(F60*Прил.10!$D$11,2)</f>
        <v/>
      </c>
      <c r="J60" s="127">
        <f>ROUND(E60*I60,2)</f>
        <v/>
      </c>
    </row>
    <row r="61" hidden="1" outlineLevel="1" ht="31.5" customFormat="1" customHeight="1" s="82">
      <c r="A61" s="122" t="n">
        <v>44</v>
      </c>
      <c r="B61" s="136" t="inlineStr">
        <is>
          <t>91.12.07-001</t>
        </is>
      </c>
      <c r="C61" s="138" t="inlineStr">
        <is>
          <t>Агрегаты для травосеяния на откосах автомобильных и железных дорог</t>
        </is>
      </c>
      <c r="D61" s="141" t="inlineStr">
        <is>
          <t>маш.час</t>
        </is>
      </c>
      <c r="E61" s="139" t="n">
        <v>2.20324</v>
      </c>
      <c r="F61" s="43" t="n">
        <v>25.1</v>
      </c>
      <c r="G61" s="43">
        <f>ROUND(E61*F61,2)</f>
        <v/>
      </c>
      <c r="H61" s="40">
        <f>G61/G79</f>
        <v/>
      </c>
      <c r="I61" s="127">
        <f>ROUND(F61*Прил.10!$D$11,2)</f>
        <v/>
      </c>
      <c r="J61" s="127">
        <f>ROUND(E61*I61,2)</f>
        <v/>
      </c>
    </row>
    <row r="62" hidden="1" outlineLevel="1" ht="31.5" customFormat="1" customHeight="1" s="82">
      <c r="A62" s="122" t="n">
        <v>45</v>
      </c>
      <c r="B62" s="136" t="inlineStr">
        <is>
          <t>91.13.03-111</t>
        </is>
      </c>
      <c r="C62" s="138" t="inlineStr">
        <is>
          <t>Спецавтомобили-вездеходы, грузоподъемность до 8 т</t>
        </is>
      </c>
      <c r="D62" s="141" t="inlineStr">
        <is>
          <t>маш.час</t>
        </is>
      </c>
      <c r="E62" s="139" t="n">
        <v>0.17812</v>
      </c>
      <c r="F62" s="43" t="n">
        <v>189.95</v>
      </c>
      <c r="G62" s="43">
        <f>ROUND(E62*F62,2)</f>
        <v/>
      </c>
      <c r="H62" s="40">
        <f>G62/G79</f>
        <v/>
      </c>
      <c r="I62" s="127">
        <f>ROUND(F62*Прил.10!$D$11,2)</f>
        <v/>
      </c>
      <c r="J62" s="127">
        <f>ROUND(E62*I62,2)</f>
        <v/>
      </c>
    </row>
    <row r="63" hidden="1" outlineLevel="1" ht="47.25" customFormat="1" customHeight="1" s="82">
      <c r="A63" s="122" t="n">
        <v>46</v>
      </c>
      <c r="B63" s="136" t="inlineStr">
        <is>
          <t>91.17.04-036</t>
        </is>
      </c>
      <c r="C63" s="138" t="inlineStr">
        <is>
          <t>Агрегаты сварочные передвижные с дизельным двигателем, номинальный сварочный ток 250-400 А</t>
        </is>
      </c>
      <c r="D63" s="141" t="inlineStr">
        <is>
          <t>маш.час</t>
        </is>
      </c>
      <c r="E63" s="139" t="n">
        <v>2.23764</v>
      </c>
      <c r="F63" s="43" t="n">
        <v>14</v>
      </c>
      <c r="G63" s="43">
        <f>ROUND(E63*F63,2)</f>
        <v/>
      </c>
      <c r="H63" s="40">
        <f>G63/G79</f>
        <v/>
      </c>
      <c r="I63" s="127">
        <f>ROUND(F63*Прил.10!$D$11,2)</f>
        <v/>
      </c>
      <c r="J63" s="127">
        <f>ROUND(E63*I63,2)</f>
        <v/>
      </c>
    </row>
    <row r="64" hidden="1" outlineLevel="1" ht="47.25" customFormat="1" customHeight="1" s="82">
      <c r="A64" s="122" t="n">
        <v>47</v>
      </c>
      <c r="B64" s="136" t="inlineStr">
        <is>
          <t>91.08.09-023</t>
        </is>
      </c>
      <c r="C64" s="138" t="inlineStr">
        <is>
          <t>Трамбовки пневматические при работе от передвижных компрессорных станций</t>
        </is>
      </c>
      <c r="D64" s="141" t="inlineStr">
        <is>
          <t>маш.час</t>
        </is>
      </c>
      <c r="E64" s="139" t="n">
        <v>53.571</v>
      </c>
      <c r="F64" s="43" t="n">
        <v>0.55</v>
      </c>
      <c r="G64" s="43">
        <f>ROUND(E64*F64,2)</f>
        <v/>
      </c>
      <c r="H64" s="40">
        <f>G64/G79</f>
        <v/>
      </c>
      <c r="I64" s="127">
        <f>ROUND(F64*Прил.10!$D$11,2)</f>
        <v/>
      </c>
      <c r="J64" s="127">
        <f>ROUND(E64*I64,2)</f>
        <v/>
      </c>
    </row>
    <row r="65" hidden="1" outlineLevel="1" ht="15.75" customFormat="1" customHeight="1" s="82">
      <c r="A65" s="122" t="n">
        <v>48</v>
      </c>
      <c r="B65" s="136" t="inlineStr">
        <is>
          <t>91.06.05-011</t>
        </is>
      </c>
      <c r="C65" s="138" t="inlineStr">
        <is>
          <t>Погрузчики, грузоподъемность 5 т</t>
        </is>
      </c>
      <c r="D65" s="141" t="inlineStr">
        <is>
          <t>маш.час</t>
        </is>
      </c>
      <c r="E65" s="139" t="n">
        <v>0.27591</v>
      </c>
      <c r="F65" s="43" t="n">
        <v>89.98999999999999</v>
      </c>
      <c r="G65" s="43">
        <f>ROUND(E65*F65,2)</f>
        <v/>
      </c>
      <c r="H65" s="40">
        <f>G65/G79</f>
        <v/>
      </c>
      <c r="I65" s="127">
        <f>ROUND(F65*Прил.10!$D$11,2)</f>
        <v/>
      </c>
      <c r="J65" s="127">
        <f>ROUND(E65*I65,2)</f>
        <v/>
      </c>
    </row>
    <row r="66" hidden="1" outlineLevel="1" ht="31.5" customFormat="1" customHeight="1" s="82">
      <c r="A66" s="122" t="n">
        <v>49</v>
      </c>
      <c r="B66" s="136" t="inlineStr">
        <is>
          <t>91.01.02-004</t>
        </is>
      </c>
      <c r="C66" s="138" t="inlineStr">
        <is>
          <t>Автогрейдеры среднего типа, мощность 99 кВт (135 л.с.)</t>
        </is>
      </c>
      <c r="D66" s="141" t="inlineStr">
        <is>
          <t>маш.час</t>
        </is>
      </c>
      <c r="E66" s="139" t="n">
        <v>0.1978</v>
      </c>
      <c r="F66" s="43" t="n">
        <v>123</v>
      </c>
      <c r="G66" s="43">
        <f>ROUND(E66*F66,2)</f>
        <v/>
      </c>
      <c r="H66" s="40">
        <f>G66/G79</f>
        <v/>
      </c>
      <c r="I66" s="127">
        <f>ROUND(F66*Прил.10!$D$11,2)</f>
        <v/>
      </c>
      <c r="J66" s="127">
        <f>ROUND(E66*I66,2)</f>
        <v/>
      </c>
    </row>
    <row r="67" hidden="1" outlineLevel="1" ht="15.75" customFormat="1" customHeight="1" s="82">
      <c r="A67" s="122" t="n">
        <v>50</v>
      </c>
      <c r="B67" s="136" t="inlineStr">
        <is>
          <t>91.15.01-001</t>
        </is>
      </c>
      <c r="C67" s="138" t="inlineStr">
        <is>
          <t>Прицепы тракторные 2 т</t>
        </is>
      </c>
      <c r="D67" s="141" t="inlineStr">
        <is>
          <t>маш.час</t>
        </is>
      </c>
      <c r="E67" s="139" t="n">
        <v>5.84253</v>
      </c>
      <c r="F67" s="43" t="n">
        <v>4.01</v>
      </c>
      <c r="G67" s="43">
        <f>ROUND(E67*F67,2)</f>
        <v/>
      </c>
      <c r="H67" s="40">
        <f>G67/G79</f>
        <v/>
      </c>
      <c r="I67" s="127">
        <f>ROUND(F67*Прил.10!$D$11,2)</f>
        <v/>
      </c>
      <c r="J67" s="127">
        <f>ROUND(E67*I67,2)</f>
        <v/>
      </c>
    </row>
    <row r="68" hidden="1" outlineLevel="1" ht="15.75" customFormat="1" customHeight="1" s="82">
      <c r="A68" s="122" t="n">
        <v>51</v>
      </c>
      <c r="B68" s="136" t="inlineStr">
        <is>
          <t>91.01.01-034</t>
        </is>
      </c>
      <c r="C68" s="138" t="inlineStr">
        <is>
          <t>Бульдозеры, мощность 59 кВт (80 л.с.)</t>
        </is>
      </c>
      <c r="D68" s="141" t="inlineStr">
        <is>
          <t>маш.час</t>
        </is>
      </c>
      <c r="E68" s="139" t="n">
        <v>0.34788</v>
      </c>
      <c r="F68" s="43" t="n">
        <v>59.47</v>
      </c>
      <c r="G68" s="43">
        <f>ROUND(E68*F68,2)</f>
        <v/>
      </c>
      <c r="H68" s="40">
        <f>G68/G79</f>
        <v/>
      </c>
      <c r="I68" s="127">
        <f>ROUND(F68*Прил.10!$D$11,2)</f>
        <v/>
      </c>
      <c r="J68" s="127">
        <f>ROUND(E68*I68,2)</f>
        <v/>
      </c>
    </row>
    <row r="69" hidden="1" outlineLevel="1" ht="15.75" customFormat="1" customHeight="1" s="82">
      <c r="A69" s="122" t="n">
        <v>52</v>
      </c>
      <c r="B69" s="136" t="inlineStr">
        <is>
          <t>91.17.04-042</t>
        </is>
      </c>
      <c r="C69" s="138" t="inlineStr">
        <is>
          <t>Аппараты для газовой сварки и резки</t>
        </is>
      </c>
      <c r="D69" s="141" t="inlineStr">
        <is>
          <t>маш.час</t>
        </is>
      </c>
      <c r="E69" s="139" t="n">
        <v>8.273099999999999</v>
      </c>
      <c r="F69" s="43" t="n">
        <v>1.2</v>
      </c>
      <c r="G69" s="43">
        <f>ROUND(E69*F69,2)</f>
        <v/>
      </c>
      <c r="H69" s="40">
        <f>G69/G79</f>
        <v/>
      </c>
      <c r="I69" s="127">
        <f>ROUND(F69*Прил.10!$D$11,2)</f>
        <v/>
      </c>
      <c r="J69" s="127">
        <f>ROUND(E69*I69,2)</f>
        <v/>
      </c>
    </row>
    <row r="70" hidden="1" outlineLevel="1" ht="15.75" customFormat="1" customHeight="1" s="82">
      <c r="A70" s="122" t="n">
        <v>53</v>
      </c>
      <c r="B70" s="136" t="inlineStr">
        <is>
          <t>91.13.01-038</t>
        </is>
      </c>
      <c r="C70" s="138" t="inlineStr">
        <is>
          <t>Машины поливомоечные 6000 л</t>
        </is>
      </c>
      <c r="D70" s="141" t="inlineStr">
        <is>
          <t>маш.час</t>
        </is>
      </c>
      <c r="E70" s="139" t="n">
        <v>0.08944000000000001</v>
      </c>
      <c r="F70" s="43" t="n">
        <v>110</v>
      </c>
      <c r="G70" s="43">
        <f>ROUND(E70*F70,2)</f>
        <v/>
      </c>
      <c r="H70" s="40">
        <f>G70/G79</f>
        <v/>
      </c>
      <c r="I70" s="127">
        <f>ROUND(F70*Прил.10!$D$11,2)</f>
        <v/>
      </c>
      <c r="J70" s="127">
        <f>ROUND(E70*I70,2)</f>
        <v/>
      </c>
    </row>
    <row r="71" hidden="1" outlineLevel="1" ht="31.5" customFormat="1" customHeight="1" s="82">
      <c r="A71" s="122" t="n">
        <v>54</v>
      </c>
      <c r="B71" s="136" t="inlineStr">
        <is>
          <t>91.10.11-051</t>
        </is>
      </c>
      <c r="C71" s="138" t="inlineStr">
        <is>
          <t>Устройства для исправления вмятин на трубах диаметром 600-1400 мм</t>
        </is>
      </c>
      <c r="D71" s="141" t="inlineStr">
        <is>
          <t>маш.час</t>
        </is>
      </c>
      <c r="E71" s="139" t="n">
        <v>0.24932</v>
      </c>
      <c r="F71" s="43" t="n">
        <v>35.16</v>
      </c>
      <c r="G71" s="43">
        <f>ROUND(E71*F71,2)</f>
        <v/>
      </c>
      <c r="H71" s="40">
        <f>G71/G79</f>
        <v/>
      </c>
      <c r="I71" s="127">
        <f>ROUND(F71*Прил.10!$D$11,2)</f>
        <v/>
      </c>
      <c r="J71" s="127">
        <f>ROUND(E71*I71,2)</f>
        <v/>
      </c>
    </row>
    <row r="72" hidden="1" outlineLevel="1" ht="15.75" customFormat="1" customHeight="1" s="82">
      <c r="A72" s="122" t="n">
        <v>55</v>
      </c>
      <c r="B72" s="136" t="inlineStr">
        <is>
          <t>91.08.04-021</t>
        </is>
      </c>
      <c r="C72" s="138" t="inlineStr">
        <is>
          <t>Котлы битумные передвижные 400 л</t>
        </is>
      </c>
      <c r="D72" s="141" t="inlineStr">
        <is>
          <t>маш.час</t>
        </is>
      </c>
      <c r="E72" s="139" t="n">
        <v>0.18212</v>
      </c>
      <c r="F72" s="43" t="n">
        <v>30</v>
      </c>
      <c r="G72" s="43">
        <f>ROUND(E72*F72,2)</f>
        <v/>
      </c>
      <c r="H72" s="40">
        <f>G72/G79</f>
        <v/>
      </c>
      <c r="I72" s="127">
        <f>ROUND(F72*Прил.10!$D$11,2)</f>
        <v/>
      </c>
      <c r="J72" s="127">
        <f>ROUND(E72*I72,2)</f>
        <v/>
      </c>
    </row>
    <row r="73" hidden="1" outlineLevel="1" ht="31.5" customFormat="1" customHeight="1" s="82">
      <c r="A73" s="122" t="n">
        <v>56</v>
      </c>
      <c r="B73" s="136" t="inlineStr">
        <is>
          <t>91.13.01-032</t>
        </is>
      </c>
      <c r="C73" s="138" t="inlineStr">
        <is>
          <t>Машины дорожной службы (машина дорожного мастера)</t>
        </is>
      </c>
      <c r="D73" s="141" t="inlineStr">
        <is>
          <t>маш.час</t>
        </is>
      </c>
      <c r="E73" s="139" t="n">
        <v>0.04982</v>
      </c>
      <c r="F73" s="43" t="n">
        <v>86.5</v>
      </c>
      <c r="G73" s="43">
        <f>ROUND(E73*F73,2)</f>
        <v/>
      </c>
      <c r="H73" s="40">
        <f>G73/G79</f>
        <v/>
      </c>
      <c r="I73" s="127">
        <f>ROUND(F73*Прил.10!$D$11,2)</f>
        <v/>
      </c>
      <c r="J73" s="127">
        <f>ROUND(E73*I73,2)</f>
        <v/>
      </c>
    </row>
    <row r="74" hidden="1" outlineLevel="1" ht="31.5" customFormat="1" customHeight="1" s="82">
      <c r="A74" s="122" t="n">
        <v>57</v>
      </c>
      <c r="B74" s="136" t="inlineStr">
        <is>
          <t>91.17.04-233</t>
        </is>
      </c>
      <c r="C74" s="138" t="inlineStr">
        <is>
          <t>Установки для сварки ручной дуговой (постоянного тока)</t>
        </is>
      </c>
      <c r="D74" s="141" t="inlineStr">
        <is>
          <t>маш.час</t>
        </is>
      </c>
      <c r="E74" s="139" t="n">
        <v>0.33</v>
      </c>
      <c r="F74" s="43" t="n">
        <v>8.1</v>
      </c>
      <c r="G74" s="43">
        <f>ROUND(E74*F74,2)</f>
        <v/>
      </c>
      <c r="H74" s="40">
        <f>G74/G79</f>
        <v/>
      </c>
      <c r="I74" s="127">
        <f>ROUND(F74*Прил.10!$D$11,2)</f>
        <v/>
      </c>
      <c r="J74" s="127">
        <f>ROUND(E74*I74,2)</f>
        <v/>
      </c>
    </row>
    <row r="75" hidden="1" outlineLevel="1" ht="47.25" customFormat="1" customHeight="1" s="82">
      <c r="A75" s="122" t="n">
        <v>58</v>
      </c>
      <c r="B75" s="136" t="inlineStr">
        <is>
          <t>91.21.11-001</t>
        </is>
      </c>
      <c r="C75" s="138" t="inlineStr">
        <is>
          <t>Мотобуры ручные, диаметр сверла 200 мм, глубина сверления до 1 м, мощность двигателя 1,6 кВт</t>
        </is>
      </c>
      <c r="D75" s="141" t="inlineStr">
        <is>
          <t>маш.час</t>
        </is>
      </c>
      <c r="E75" s="139" t="n">
        <v>0.22472</v>
      </c>
      <c r="F75" s="43" t="n">
        <v>7.07</v>
      </c>
      <c r="G75" s="43">
        <f>ROUND(E75*F75,2)</f>
        <v/>
      </c>
      <c r="H75" s="40">
        <f>G75/G79</f>
        <v/>
      </c>
      <c r="I75" s="127">
        <f>ROUND(F75*Прил.10!$D$11,2)</f>
        <v/>
      </c>
      <c r="J75" s="127">
        <f>ROUND(E75*I75,2)</f>
        <v/>
      </c>
    </row>
    <row r="76" hidden="1" outlineLevel="1" ht="47.25" customFormat="1" customHeight="1" s="82">
      <c r="A76" s="122" t="n">
        <v>59</v>
      </c>
      <c r="B76" s="136" t="inlineStr">
        <is>
          <t>91.21.22-071</t>
        </is>
      </c>
      <c r="C76" s="138" t="inlineStr">
        <is>
          <t>Вентиляторы радиальные общего назначения, производительность до 15000 м3/час</t>
        </is>
      </c>
      <c r="D76" s="141" t="inlineStr">
        <is>
          <t>маш.час</t>
        </is>
      </c>
      <c r="E76" s="139" t="n">
        <v>0.1122</v>
      </c>
      <c r="F76" s="43" t="n">
        <v>3.42</v>
      </c>
      <c r="G76" s="43">
        <f>ROUND(E76*F76,2)</f>
        <v/>
      </c>
      <c r="H76" s="40">
        <f>G76/G79</f>
        <v/>
      </c>
      <c r="I76" s="127">
        <f>ROUND(F76*Прил.10!$D$11,2)</f>
        <v/>
      </c>
      <c r="J76" s="127">
        <f>ROUND(E76*I76,2)</f>
        <v/>
      </c>
    </row>
    <row r="77" hidden="1" outlineLevel="1" ht="31.5" customFormat="1" customHeight="1" s="82">
      <c r="A77" s="122" t="n">
        <v>60</v>
      </c>
      <c r="B77" s="136" t="inlineStr">
        <is>
          <t>91.21.03-502</t>
        </is>
      </c>
      <c r="C77" s="138" t="inlineStr">
        <is>
          <t>Аппараты пескоструйные, объем до 19 л, расход воздуха 270-700 л/мин</t>
        </is>
      </c>
      <c r="D77" s="141" t="inlineStr">
        <is>
          <t>маш.час</t>
        </is>
      </c>
      <c r="E77" s="139" t="n">
        <v>1.6632</v>
      </c>
      <c r="F77" s="43" t="n">
        <v>0.14</v>
      </c>
      <c r="G77" s="43">
        <f>ROUND(E77*F77,2)</f>
        <v/>
      </c>
      <c r="H77" s="40">
        <f>G77/G79</f>
        <v/>
      </c>
      <c r="I77" s="127">
        <f>ROUND(F77*Прил.10!$D$11,2)</f>
        <v/>
      </c>
      <c r="J77" s="127">
        <f>ROUND(E77*I77,2)</f>
        <v/>
      </c>
    </row>
    <row r="78" collapsed="1" ht="15.75" customFormat="1" customHeight="1" s="82">
      <c r="A78" s="122" t="n"/>
      <c r="B78" s="122" t="inlineStr">
        <is>
          <t>Итого прочие Машины и механизмы</t>
        </is>
      </c>
      <c r="C78" s="146" t="n"/>
      <c r="D78" s="146" t="n"/>
      <c r="E78" s="146" t="n"/>
      <c r="F78" s="147" t="n"/>
      <c r="G78" s="127">
        <f>SUM(G36:G77)</f>
        <v/>
      </c>
      <c r="H78" s="40">
        <f>SUM(H36:H77)</f>
        <v/>
      </c>
      <c r="I78" s="127" t="n"/>
      <c r="J78" s="127">
        <f>SUM(J36:J77)</f>
        <v/>
      </c>
    </row>
    <row r="79" ht="15.75" customFormat="1" customHeight="1" s="82">
      <c r="A79" s="122" t="n"/>
      <c r="B79" s="122" t="inlineStr">
        <is>
          <t>Итого по разделу "Машины и механизмы"</t>
        </is>
      </c>
      <c r="C79" s="146" t="n"/>
      <c r="D79" s="146" t="n"/>
      <c r="E79" s="146" t="n"/>
      <c r="F79" s="147" t="n"/>
      <c r="G79" s="127">
        <f>G35+G78</f>
        <v/>
      </c>
      <c r="H79" s="40">
        <f>H35+H78</f>
        <v/>
      </c>
      <c r="I79" s="127" t="n"/>
      <c r="J79" s="127">
        <f>J35+J78</f>
        <v/>
      </c>
    </row>
    <row r="80" ht="15.75" customFormat="1" customHeight="1" s="82">
      <c r="A80" s="135" t="n"/>
      <c r="B80" s="133" t="inlineStr">
        <is>
          <t>Оборудование</t>
        </is>
      </c>
      <c r="C80" s="146" t="n"/>
      <c r="D80" s="146" t="n"/>
      <c r="E80" s="146" t="n"/>
      <c r="F80" s="146" t="n"/>
      <c r="G80" s="146" t="n"/>
      <c r="H80" s="146" t="n"/>
      <c r="I80" s="146" t="n"/>
      <c r="J80" s="147" t="n"/>
    </row>
    <row r="81" ht="15.75" customFormat="1" customHeight="1" s="82">
      <c r="A81" s="135" t="n"/>
      <c r="B81" s="135" t="inlineStr">
        <is>
          <t>Основное оборудование</t>
        </is>
      </c>
      <c r="C81" s="146" t="n"/>
      <c r="D81" s="146" t="n"/>
      <c r="E81" s="146" t="n"/>
      <c r="F81" s="146" t="n"/>
      <c r="G81" s="146" t="n"/>
      <c r="H81" s="146" t="n"/>
      <c r="I81" s="146" t="n"/>
      <c r="J81" s="147" t="n"/>
    </row>
    <row r="82" outlineLevel="1" ht="15.75" customFormat="1" customHeight="1" s="82">
      <c r="A82" s="135" t="n"/>
      <c r="B82" s="135" t="n"/>
      <c r="C82" s="135" t="inlineStr">
        <is>
          <t>Итого основное оборудование</t>
        </is>
      </c>
      <c r="D82" s="135" t="n"/>
      <c r="E82" s="135" t="n"/>
      <c r="F82" s="137" t="n"/>
      <c r="G82" s="137" t="n">
        <v>0</v>
      </c>
      <c r="H82" s="135" t="n">
        <v>0</v>
      </c>
      <c r="I82" s="137" t="n"/>
      <c r="J82" s="137" t="n">
        <v>0</v>
      </c>
    </row>
    <row r="83" ht="15.75" customFormat="1" customHeight="1" s="82">
      <c r="A83" s="135" t="n"/>
      <c r="B83" s="135" t="inlineStr">
        <is>
          <t>Прочее оборудование</t>
        </is>
      </c>
      <c r="C83" s="146" t="n"/>
      <c r="D83" s="146" t="n"/>
      <c r="E83" s="146" t="n"/>
      <c r="F83" s="146" t="n"/>
      <c r="G83" s="146" t="n"/>
      <c r="H83" s="146" t="n"/>
      <c r="I83" s="146" t="n"/>
      <c r="J83" s="147" t="n"/>
    </row>
    <row r="84" outlineLevel="1" ht="15.75" customFormat="1" customHeight="1" s="82">
      <c r="A84" s="135" t="n"/>
      <c r="B84" s="135" t="n"/>
      <c r="C84" s="135" t="inlineStr">
        <is>
          <t>Итого прочее оборудование</t>
        </is>
      </c>
      <c r="D84" s="135" t="n"/>
      <c r="E84" s="135" t="n"/>
      <c r="F84" s="137" t="n"/>
      <c r="G84" s="137" t="n">
        <v>0</v>
      </c>
      <c r="H84" s="135" t="n">
        <v>0</v>
      </c>
      <c r="I84" s="137" t="n"/>
      <c r="J84" s="137" t="n">
        <v>0</v>
      </c>
    </row>
    <row r="85" outlineLevel="1" ht="15.75" customFormat="1" customHeight="1" s="82">
      <c r="A85" s="135" t="n"/>
      <c r="B85" s="135" t="n"/>
      <c r="C85" s="133" t="inlineStr">
        <is>
          <t>Итого по разделу «Оборудование»</t>
        </is>
      </c>
      <c r="D85" s="135" t="n"/>
      <c r="E85" s="135" t="n"/>
      <c r="F85" s="137" t="n"/>
      <c r="G85" s="137" t="n">
        <v>0</v>
      </c>
      <c r="H85" s="135" t="n">
        <v>0</v>
      </c>
      <c r="I85" s="137" t="n"/>
      <c r="J85" s="137" t="n">
        <v>0</v>
      </c>
    </row>
    <row r="86" outlineLevel="1" ht="15.75" customFormat="1" customHeight="1" s="82">
      <c r="A86" s="135" t="n"/>
      <c r="B86" s="135" t="n"/>
      <c r="C86" s="135" t="inlineStr">
        <is>
          <t>в том числе технологическое оборудование</t>
        </is>
      </c>
      <c r="D86" s="135" t="n"/>
      <c r="E86" s="135" t="n"/>
      <c r="F86" s="137" t="n"/>
      <c r="G86" s="137" t="n">
        <v>0</v>
      </c>
      <c r="H86" s="135" t="n"/>
      <c r="I86" s="137" t="n"/>
      <c r="J86" s="137" t="n">
        <v>0</v>
      </c>
    </row>
    <row r="87" ht="15.75" customFormat="1" customHeight="1" s="82">
      <c r="A87" s="122" t="n"/>
      <c r="B87" s="121" t="inlineStr">
        <is>
          <t>Материалы</t>
        </is>
      </c>
      <c r="C87" s="146" t="n"/>
      <c r="D87" s="146" t="n"/>
      <c r="E87" s="146" t="n"/>
      <c r="F87" s="146" t="n"/>
      <c r="G87" s="146" t="n"/>
      <c r="H87" s="147" t="n"/>
      <c r="I87" s="127" t="n"/>
      <c r="J87" s="127" t="n"/>
    </row>
    <row r="88" ht="15.75" customFormat="1" customHeight="1" s="82">
      <c r="A88" s="122" t="n"/>
      <c r="B88" s="122" t="inlineStr">
        <is>
          <t>Основные Материалы</t>
        </is>
      </c>
      <c r="C88" s="146" t="n"/>
      <c r="D88" s="146" t="n"/>
      <c r="E88" s="146" t="n"/>
      <c r="F88" s="146" t="n"/>
      <c r="G88" s="146" t="n"/>
      <c r="H88" s="147" t="n"/>
      <c r="I88" s="127" t="n"/>
      <c r="J88" s="127" t="n"/>
    </row>
    <row r="89" ht="31.5" customFormat="1" customHeight="1" s="82">
      <c r="A89" s="122" t="n">
        <v>61</v>
      </c>
      <c r="B89" s="136" t="inlineStr">
        <is>
          <t>Прайс из СД ОП</t>
        </is>
      </c>
      <c r="C89" s="138" t="inlineStr">
        <is>
          <t>Стоимость нефти для данного объёма трубопровода</t>
        </is>
      </c>
      <c r="D89" s="141" t="inlineStr">
        <is>
          <t>м3</t>
        </is>
      </c>
      <c r="E89" s="139" t="n">
        <v>194.55</v>
      </c>
      <c r="F89" s="140" t="n">
        <v>4673.08</v>
      </c>
      <c r="G89" s="43">
        <f>ROUND(E89*F89,2)</f>
        <v/>
      </c>
      <c r="H89" s="40">
        <f>G89/G171</f>
        <v/>
      </c>
      <c r="I89" s="127">
        <f>ROUND(F89*Прил.10!$D$12,2)</f>
        <v/>
      </c>
      <c r="J89" s="127">
        <f>ROUND(E89*I89,2)</f>
        <v/>
      </c>
    </row>
    <row r="90" ht="94.5" customFormat="1" customHeight="1" s="82">
      <c r="A90" s="122" t="n">
        <v>62</v>
      </c>
      <c r="B90" s="136" t="inlineStr">
        <is>
          <t>23.4.01.03-0083</t>
        </is>
      </c>
      <c r="C90" s="138" t="inlineStr">
        <is>
          <t>Трубы стальные с тепловой изоляцией из пенополиуретана в полиэтиленовой оболочке, наружный диаметр трубы 720 мм, наружный диаметр изоляции 900 мм, толщина стенки трубы 12 мм</t>
        </is>
      </c>
      <c r="D90" s="141" t="inlineStr">
        <is>
          <t>м</t>
        </is>
      </c>
      <c r="E90" s="139" t="n">
        <v>55</v>
      </c>
      <c r="F90" s="43" t="n">
        <v>3732.4</v>
      </c>
      <c r="G90" s="43">
        <f>ROUND(E90*F90,2)</f>
        <v/>
      </c>
      <c r="H90" s="40">
        <f>G90/G171</f>
        <v/>
      </c>
      <c r="I90" s="127">
        <f>ROUND(F90*Прил.10!$D$12,2)</f>
        <v/>
      </c>
      <c r="J90" s="127">
        <f>ROUND(E90*I90,2)</f>
        <v/>
      </c>
    </row>
    <row r="91" ht="94.5" customFormat="1" customHeight="1" s="82">
      <c r="A91" s="122" t="n">
        <v>63</v>
      </c>
      <c r="B91" s="136" t="inlineStr">
        <is>
          <t>23.4.01.03-0086</t>
        </is>
      </c>
      <c r="C91" s="138" t="inlineStr">
        <is>
          <t>Трубы стальные с тепловой изоляцией из пенополиуретана в полиэтиленовой оболочке, наружный диаметр трубы 1020 мм, наружный диаметр изоляции 1200 мм, толщина стенки трубы 12 мм</t>
        </is>
      </c>
      <c r="D91" s="141" t="inlineStr">
        <is>
          <t>м</t>
        </is>
      </c>
      <c r="E91" s="139" t="n">
        <v>19</v>
      </c>
      <c r="F91" s="43" t="n">
        <v>5287.6</v>
      </c>
      <c r="G91" s="43">
        <f>ROUND(E91*F91,2)</f>
        <v/>
      </c>
      <c r="H91" s="40">
        <f>G91/G171</f>
        <v/>
      </c>
      <c r="I91" s="127">
        <f>ROUND(F91*Прил.10!$D$12,2)</f>
        <v/>
      </c>
      <c r="J91" s="127">
        <f>ROUND(E91*I91,2)</f>
        <v/>
      </c>
    </row>
    <row r="92" ht="15.75" customFormat="1" customHeight="1" s="82">
      <c r="A92" s="122" t="n">
        <v>64</v>
      </c>
      <c r="B92" s="136" t="inlineStr">
        <is>
          <t>Прайс из СД ОП</t>
        </is>
      </c>
      <c r="C92" s="138" t="inlineStr">
        <is>
          <t>Отвод гнутый 45 град Ду720</t>
        </is>
      </c>
      <c r="D92" s="141" t="inlineStr">
        <is>
          <t>шт</t>
        </is>
      </c>
      <c r="E92" s="139" t="n">
        <v>1</v>
      </c>
      <c r="F92" s="43" t="n">
        <v>85002</v>
      </c>
      <c r="G92" s="43">
        <f>ROUND(E92*F92,2)</f>
        <v/>
      </c>
      <c r="H92" s="40">
        <f>G92/G171</f>
        <v/>
      </c>
      <c r="I92" s="127">
        <f>ROUND(F92*Прил.10!$D$12,2)</f>
        <v/>
      </c>
      <c r="J92" s="127">
        <f>ROUND(E92*I92,2)</f>
        <v/>
      </c>
    </row>
    <row r="93" ht="15.75" customFormat="1" customHeight="1" s="82">
      <c r="A93" s="122" t="n"/>
      <c r="B93" s="136" t="inlineStr">
        <is>
          <t>Итого основные Материалы</t>
        </is>
      </c>
      <c r="C93" s="146" t="n"/>
      <c r="D93" s="146" t="n"/>
      <c r="E93" s="146" t="n"/>
      <c r="F93" s="147" t="n"/>
      <c r="G93" s="43">
        <f>SUM(G89:G92)</f>
        <v/>
      </c>
      <c r="H93" s="40">
        <f>SUM(H89:H92)</f>
        <v/>
      </c>
      <c r="I93" s="127" t="n"/>
      <c r="J93" s="127">
        <f>SUM(J89:J92)</f>
        <v/>
      </c>
    </row>
    <row r="94" hidden="1" outlineLevel="1" ht="15.75" customFormat="1" customHeight="1" s="82">
      <c r="A94" s="122" t="n">
        <v>65</v>
      </c>
      <c r="B94" s="136" t="inlineStr">
        <is>
          <t>Прайс из СД ОП</t>
        </is>
      </c>
      <c r="C94" s="138" t="inlineStr">
        <is>
          <t>Отвод гнутый 40 град Ду720</t>
        </is>
      </c>
      <c r="D94" s="141" t="inlineStr">
        <is>
          <t>шт</t>
        </is>
      </c>
      <c r="E94" s="139" t="n">
        <v>1</v>
      </c>
      <c r="F94" s="43" t="n">
        <v>80069</v>
      </c>
      <c r="G94" s="43">
        <f>ROUND(E94*F94,2)</f>
        <v/>
      </c>
      <c r="H94" s="40">
        <f>G94/G171</f>
        <v/>
      </c>
      <c r="I94" s="127">
        <f>ROUND(F94*Прил.10!$D$12,2)</f>
        <v/>
      </c>
      <c r="J94" s="127">
        <f>ROUND(E94*I94,2)</f>
        <v/>
      </c>
    </row>
    <row r="95" hidden="1" outlineLevel="1" ht="15.75" customFormat="1" customHeight="1" s="82">
      <c r="A95" s="122" t="n">
        <v>66</v>
      </c>
      <c r="B95" s="136" t="inlineStr">
        <is>
          <t>Прайс из СД ОП</t>
        </is>
      </c>
      <c r="C95" s="138" t="inlineStr">
        <is>
          <t>Отвод гнутый 36 град Ду720</t>
        </is>
      </c>
      <c r="D95" s="141" t="inlineStr">
        <is>
          <t>шт</t>
        </is>
      </c>
      <c r="E95" s="139" t="n">
        <v>1</v>
      </c>
      <c r="F95" s="43" t="n">
        <v>74789</v>
      </c>
      <c r="G95" s="43">
        <f>ROUND(E95*F95,2)</f>
        <v/>
      </c>
      <c r="H95" s="40">
        <f>G95/G171</f>
        <v/>
      </c>
      <c r="I95" s="127">
        <f>ROUND(F95*Прил.10!$D$12,2)</f>
        <v/>
      </c>
      <c r="J95" s="127">
        <f>ROUND(E95*I95,2)</f>
        <v/>
      </c>
    </row>
    <row r="96" hidden="1" outlineLevel="1" ht="15.75" customFormat="1" customHeight="1" s="82">
      <c r="A96" s="122" t="n">
        <v>67</v>
      </c>
      <c r="B96" s="136" t="inlineStr">
        <is>
          <t>Прайс из СД ОП</t>
        </is>
      </c>
      <c r="C96" s="138" t="inlineStr">
        <is>
          <t>Отвод гнутый 30 град Ду720</t>
        </is>
      </c>
      <c r="D96" s="141" t="inlineStr">
        <is>
          <t>шт</t>
        </is>
      </c>
      <c r="E96" s="139" t="n">
        <v>1</v>
      </c>
      <c r="F96" s="43" t="n">
        <v>67609</v>
      </c>
      <c r="G96" s="43">
        <f>ROUND(E96*F96,2)</f>
        <v/>
      </c>
      <c r="H96" s="40">
        <f>G96/G171</f>
        <v/>
      </c>
      <c r="I96" s="127">
        <f>ROUND(F96*Прил.10!$D$12,2)</f>
        <v/>
      </c>
      <c r="J96" s="127">
        <f>ROUND(E96*I96,2)</f>
        <v/>
      </c>
    </row>
    <row r="97" hidden="1" outlineLevel="1" ht="47.25" customFormat="1" customHeight="1" s="82">
      <c r="A97" s="122" t="n">
        <v>68</v>
      </c>
      <c r="B97" s="136" t="inlineStr">
        <is>
          <t>05.1.02.10-0004</t>
        </is>
      </c>
      <c r="C97" s="138" t="inlineStr">
        <is>
          <t>Утяжелители железобетонные клиновидные для труб диаметром 600-700 мм</t>
        </is>
      </c>
      <c r="D97" s="141" t="inlineStr">
        <is>
          <t>шт</t>
        </is>
      </c>
      <c r="E97" s="139" t="n">
        <v>28.71</v>
      </c>
      <c r="F97" s="43" t="n">
        <v>1928.19</v>
      </c>
      <c r="G97" s="43">
        <f>ROUND(E97*F97,2)</f>
        <v/>
      </c>
      <c r="H97" s="40">
        <f>G97/G171</f>
        <v/>
      </c>
      <c r="I97" s="127">
        <f>ROUND(F97*Прил.10!$D$12,2)</f>
        <v/>
      </c>
      <c r="J97" s="127">
        <f>ROUND(E97*I97,2)</f>
        <v/>
      </c>
    </row>
    <row r="98" hidden="1" outlineLevel="1" ht="47.25" customFormat="1" customHeight="1" s="82">
      <c r="A98" s="122" t="n">
        <v>69</v>
      </c>
      <c r="B98" s="136" t="inlineStr">
        <is>
          <t>05.1.08.06-0026</t>
        </is>
      </c>
      <c r="C98" s="138" t="inlineStr">
        <is>
          <t>Плиты дорожные 1П30.18.30 /бетон В30 (М400), объем 0,88 м3, расход арматуры 46,48 кг/ (ГОСТ 21924.2-84)</t>
        </is>
      </c>
      <c r="D98" s="141" t="inlineStr">
        <is>
          <t>шт.</t>
        </is>
      </c>
      <c r="E98" s="139" t="n">
        <v>13.2</v>
      </c>
      <c r="F98" s="43" t="n">
        <v>1281.3</v>
      </c>
      <c r="G98" s="43">
        <f>ROUND(E98*F98,2)</f>
        <v/>
      </c>
      <c r="H98" s="40">
        <f>G98/G171</f>
        <v/>
      </c>
      <c r="I98" s="127">
        <f>ROUND(F98*Прил.10!$D$12,2)</f>
        <v/>
      </c>
      <c r="J98" s="127">
        <f>ROUND(E98*I98,2)</f>
        <v/>
      </c>
    </row>
    <row r="99" hidden="1" outlineLevel="1" ht="15.75" customFormat="1" customHeight="1" s="82">
      <c r="A99" s="122" t="n">
        <v>70</v>
      </c>
      <c r="B99" s="136" t="inlineStr">
        <is>
          <t>16.2.01.02-0001</t>
        </is>
      </c>
      <c r="C99" s="138" t="inlineStr">
        <is>
          <t>Земля растительная</t>
        </is>
      </c>
      <c r="D99" s="141" t="inlineStr">
        <is>
          <t>м3</t>
        </is>
      </c>
      <c r="E99" s="139" t="n">
        <v>91.61</v>
      </c>
      <c r="F99" s="43" t="n">
        <v>135.6</v>
      </c>
      <c r="G99" s="43">
        <f>ROUND(E99*F99,2)</f>
        <v/>
      </c>
      <c r="H99" s="40">
        <f>G99/G171</f>
        <v/>
      </c>
      <c r="I99" s="127">
        <f>ROUND(F99*Прил.10!$D$12,2)</f>
        <v/>
      </c>
      <c r="J99" s="127">
        <f>ROUND(E99*I99,2)</f>
        <v/>
      </c>
    </row>
    <row r="100" hidden="1" outlineLevel="1" ht="31.5" customFormat="1" customHeight="1" s="82">
      <c r="A100" s="122" t="n">
        <v>71</v>
      </c>
      <c r="B100" s="136" t="inlineStr">
        <is>
          <t>02.3.01.02-0033</t>
        </is>
      </c>
      <c r="C100" s="138" t="inlineStr">
        <is>
          <t>Песок природный обогащенный для строительных работ средний</t>
        </is>
      </c>
      <c r="D100" s="141" t="inlineStr">
        <is>
          <t>м3</t>
        </is>
      </c>
      <c r="E100" s="139" t="n">
        <v>109.56</v>
      </c>
      <c r="F100" s="43" t="n">
        <v>70.59999999999999</v>
      </c>
      <c r="G100" s="43">
        <f>ROUND(E100*F100,2)</f>
        <v/>
      </c>
      <c r="H100" s="40">
        <f>G100/G171</f>
        <v/>
      </c>
      <c r="I100" s="127">
        <f>ROUND(F100*Прил.10!$D$12,2)</f>
        <v/>
      </c>
      <c r="J100" s="127">
        <f>ROUND(E100*I100,2)</f>
        <v/>
      </c>
    </row>
    <row r="101" hidden="1" outlineLevel="1" ht="47.25" customFormat="1" customHeight="1" s="82">
      <c r="A101" s="122" t="n">
        <v>72</v>
      </c>
      <c r="B101" s="136" t="inlineStr">
        <is>
          <t>01.7.06.10-0012</t>
        </is>
      </c>
      <c r="C101" s="138" t="inlineStr">
        <is>
          <t>Лента полиэтиленовая термоусаживающаяся шириной 640 мм</t>
        </is>
      </c>
      <c r="D101" s="141" t="inlineStr">
        <is>
          <t>м</t>
        </is>
      </c>
      <c r="E101" s="139" t="n">
        <v>73.458</v>
      </c>
      <c r="F101" s="43" t="n">
        <v>96.22</v>
      </c>
      <c r="G101" s="43">
        <f>ROUND(E101*F101,2)</f>
        <v/>
      </c>
      <c r="H101" s="40">
        <f>G101/G171</f>
        <v/>
      </c>
      <c r="I101" s="127">
        <f>ROUND(F101*Прил.10!$D$12,2)</f>
        <v/>
      </c>
      <c r="J101" s="127">
        <f>ROUND(E101*I101,2)</f>
        <v/>
      </c>
    </row>
    <row r="102" hidden="1" outlineLevel="1" ht="78.75" customFormat="1" customHeight="1" s="82">
      <c r="A102" s="122" t="n">
        <v>73</v>
      </c>
      <c r="B102" s="136" t="inlineStr">
        <is>
          <t>23.5.02.02-0070</t>
        </is>
      </c>
      <c r="C102" s="138" t="inlineStr">
        <is>
          <t>Трубы стальные электросварные прямошовные со снятой фаской из стали марок БСт2кп-БСт4кп и БСт2пс-БСт4пс наружный диаметр 152 мм, толщина стенки 5 мм</t>
        </is>
      </c>
      <c r="D102" s="141" t="inlineStr">
        <is>
          <t>м</t>
        </is>
      </c>
      <c r="E102" s="139" t="n">
        <v>49.5</v>
      </c>
      <c r="F102" s="43" t="n">
        <v>129.39</v>
      </c>
      <c r="G102" s="43">
        <f>ROUND(E102*F102,2)</f>
        <v/>
      </c>
      <c r="H102" s="40">
        <f>G102/G171</f>
        <v/>
      </c>
      <c r="I102" s="127">
        <f>ROUND(F102*Прил.10!$D$12,2)</f>
        <v/>
      </c>
      <c r="J102" s="127">
        <f>ROUND(E102*I102,2)</f>
        <v/>
      </c>
    </row>
    <row r="103" hidden="1" outlineLevel="1" ht="31.5" customFormat="1" customHeight="1" s="82">
      <c r="A103" s="122" t="n">
        <v>74</v>
      </c>
      <c r="B103" s="136" t="inlineStr">
        <is>
          <t>Прайс из СД ОП</t>
        </is>
      </c>
      <c r="C103" s="138" t="inlineStr">
        <is>
          <t>Профиль «Нефтегаз» - ПВХП (2000*30 мм)</t>
        </is>
      </c>
      <c r="D103" s="141" t="inlineStr">
        <is>
          <t>м</t>
        </is>
      </c>
      <c r="E103" s="139" t="n">
        <v>73.458</v>
      </c>
      <c r="F103" s="43" t="n">
        <v>85.7</v>
      </c>
      <c r="G103" s="43">
        <f>ROUND(E103*F103,2)</f>
        <v/>
      </c>
      <c r="H103" s="40">
        <f>G103/G171</f>
        <v/>
      </c>
      <c r="I103" s="127">
        <f>ROUND(F103*Прил.10!$D$12,2)</f>
        <v/>
      </c>
      <c r="J103" s="127">
        <f>ROUND(E103*I103,2)</f>
        <v/>
      </c>
    </row>
    <row r="104" hidden="1" outlineLevel="1" ht="31.5" customFormat="1" customHeight="1" s="82">
      <c r="A104" s="122" t="n">
        <v>75</v>
      </c>
      <c r="B104" s="136" t="inlineStr">
        <is>
          <t>01.7.07.24-0005</t>
        </is>
      </c>
      <c r="C104" s="138" t="inlineStr">
        <is>
          <t>Пленка радиографическая рулонная, ширина 400 мм</t>
        </is>
      </c>
      <c r="D104" s="141" t="inlineStr">
        <is>
          <t>10 м</t>
        </is>
      </c>
      <c r="E104" s="139" t="n">
        <v>2.181</v>
      </c>
      <c r="F104" s="43" t="n">
        <v>2140</v>
      </c>
      <c r="G104" s="43">
        <f>ROUND(E104*F104,2)</f>
        <v/>
      </c>
      <c r="H104" s="40">
        <f>G104/G171</f>
        <v/>
      </c>
      <c r="I104" s="127">
        <f>ROUND(F104*Прил.10!$D$12,2)</f>
        <v/>
      </c>
      <c r="J104" s="127">
        <f>ROUND(E104*I104,2)</f>
        <v/>
      </c>
    </row>
    <row r="105" hidden="1" outlineLevel="1" ht="15.75" customFormat="1" customHeight="1" s="82">
      <c r="A105" s="122" t="n">
        <v>76</v>
      </c>
      <c r="B105" s="136" t="inlineStr">
        <is>
          <t>16.2.02.07-0161</t>
        </is>
      </c>
      <c r="C105" s="138" t="inlineStr">
        <is>
          <t>Семена газонных трав (смесь)</t>
        </is>
      </c>
      <c r="D105" s="141" t="inlineStr">
        <is>
          <t>кг</t>
        </is>
      </c>
      <c r="E105" s="139" t="n">
        <v>15.655</v>
      </c>
      <c r="F105" s="43" t="n">
        <v>146.25</v>
      </c>
      <c r="G105" s="43">
        <f>ROUND(E105*F105,2)</f>
        <v/>
      </c>
      <c r="H105" s="40">
        <f>G105/G171</f>
        <v/>
      </c>
      <c r="I105" s="127">
        <f>ROUND(F105*Прил.10!$D$12,2)</f>
        <v/>
      </c>
      <c r="J105" s="127">
        <f>ROUND(E105*I105,2)</f>
        <v/>
      </c>
    </row>
    <row r="106" hidden="1" outlineLevel="1" ht="78.75" customFormat="1" customHeight="1" s="82">
      <c r="A106" s="122" t="n">
        <v>77</v>
      </c>
      <c r="B106" s="136" t="inlineStr">
        <is>
          <t>23.3.03.02-0157</t>
        </is>
      </c>
      <c r="C106" s="138" t="inlineStr">
        <is>
          <t>Трубы стальные бесшовные горячедеформированные со снятой фаской из стали марок 15, 20, 35, наружный диаметр 219 мм, толщина стенки 6 мм</t>
        </is>
      </c>
      <c r="D106" s="141" t="inlineStr">
        <is>
          <t>м</t>
        </is>
      </c>
      <c r="E106" s="139" t="n">
        <v>7.3326</v>
      </c>
      <c r="F106" s="43" t="n">
        <v>195.38</v>
      </c>
      <c r="G106" s="43">
        <f>ROUND(E106*F106,2)</f>
        <v/>
      </c>
      <c r="H106" s="40">
        <f>G106/G171</f>
        <v/>
      </c>
      <c r="I106" s="127">
        <f>ROUND(F106*Прил.10!$D$12,2)</f>
        <v/>
      </c>
      <c r="J106" s="127">
        <f>ROUND(E106*I106,2)</f>
        <v/>
      </c>
    </row>
    <row r="107" hidden="1" outlineLevel="1" ht="78.75" customFormat="1" customHeight="1" s="82">
      <c r="A107" s="122" t="n">
        <v>78</v>
      </c>
      <c r="B107" s="136" t="inlineStr">
        <is>
          <t>08.2.02.13-0030</t>
        </is>
      </c>
      <c r="C107" s="138" t="inlineStr">
        <is>
          <t>Канат двойной свивки ТЛК-О, конструкции 6х37(1+6+15+15)+1 о.с., без покрытия, из проволок марки В, маркировочная группа 1770 н/мм2, диаметр 33 мм</t>
        </is>
      </c>
      <c r="D107" s="141" t="inlineStr">
        <is>
          <t>10 м</t>
        </is>
      </c>
      <c r="E107" s="139" t="n">
        <v>1.3629</v>
      </c>
      <c r="F107" s="43" t="n">
        <v>721.5599999999999</v>
      </c>
      <c r="G107" s="43">
        <f>ROUND(E107*F107,2)</f>
        <v/>
      </c>
      <c r="H107" s="40">
        <f>G107/G171</f>
        <v/>
      </c>
      <c r="I107" s="127">
        <f>ROUND(F107*Прил.10!$D$12,2)</f>
        <v/>
      </c>
      <c r="J107" s="127">
        <f>ROUND(E107*I107,2)</f>
        <v/>
      </c>
    </row>
    <row r="108" hidden="1" outlineLevel="1" ht="78.75" customFormat="1" customHeight="1" s="82">
      <c r="A108" s="122" t="n">
        <v>79</v>
      </c>
      <c r="B108" s="136" t="inlineStr">
        <is>
          <t>23.7.02.01-0028</t>
        </is>
      </c>
      <c r="C108" s="138" t="inlineStr">
        <is>
          <t>Узлы трубопроводов с установкой необходимых деталей из электросварных труб Ст3сп-Ст6сп, номинальный диаметр 700 мм, толщина стенки 12 мм</t>
        </is>
      </c>
      <c r="D108" s="141" t="inlineStr">
        <is>
          <t>т</t>
        </is>
      </c>
      <c r="E108" s="139" t="n">
        <v>0.0726</v>
      </c>
      <c r="F108" s="43" t="n">
        <v>12862.38</v>
      </c>
      <c r="G108" s="43">
        <f>ROUND(E108*F108,2)</f>
        <v/>
      </c>
      <c r="H108" s="40">
        <f>G108/G171</f>
        <v/>
      </c>
      <c r="I108" s="127">
        <f>ROUND(F108*Прил.10!$D$12,2)</f>
        <v/>
      </c>
      <c r="J108" s="127">
        <f>ROUND(E108*I108,2)</f>
        <v/>
      </c>
    </row>
    <row r="109" hidden="1" outlineLevel="1" ht="31.5" customFormat="1" customHeight="1" s="82">
      <c r="A109" s="122" t="n">
        <v>80</v>
      </c>
      <c r="B109" s="136" t="inlineStr">
        <is>
          <t>01.7.11.07-0184</t>
        </is>
      </c>
      <c r="C109" s="138" t="inlineStr">
        <is>
          <t>Электроды с основным покрытием Э50А, диаметр 4 мм</t>
        </is>
      </c>
      <c r="D109" s="141" t="inlineStr">
        <is>
          <t>т</t>
        </is>
      </c>
      <c r="E109" s="139" t="n">
        <v>0.0772</v>
      </c>
      <c r="F109" s="43" t="n">
        <v>11524</v>
      </c>
      <c r="G109" s="43">
        <f>ROUND(E109*F109,2)</f>
        <v/>
      </c>
      <c r="H109" s="40">
        <f>G109/G171</f>
        <v/>
      </c>
      <c r="I109" s="127">
        <f>ROUND(F109*Прил.10!$D$12,2)</f>
        <v/>
      </c>
      <c r="J109" s="127">
        <f>ROUND(E109*I109,2)</f>
        <v/>
      </c>
    </row>
    <row r="110" hidden="1" outlineLevel="1" ht="47.25" customFormat="1" customHeight="1" s="82">
      <c r="A110" s="122" t="n">
        <v>81</v>
      </c>
      <c r="B110" s="136" t="inlineStr">
        <is>
          <t>02.2.05.04-0104</t>
        </is>
      </c>
      <c r="C110" s="138" t="inlineStr">
        <is>
          <t>Щебень из природного камня для строительных работ марка: 1000, фракция 20-80 (70) мм</t>
        </is>
      </c>
      <c r="D110" s="141" t="inlineStr">
        <is>
          <t>м3</t>
        </is>
      </c>
      <c r="E110" s="139" t="n">
        <v>8.58</v>
      </c>
      <c r="F110" s="43" t="n">
        <v>98.55</v>
      </c>
      <c r="G110" s="43">
        <f>ROUND(E110*F110,2)</f>
        <v/>
      </c>
      <c r="H110" s="40">
        <f>G110/G171</f>
        <v/>
      </c>
      <c r="I110" s="127">
        <f>ROUND(F110*Прил.10!$D$12,2)</f>
        <v/>
      </c>
      <c r="J110" s="127">
        <f>ROUND(E110*I110,2)</f>
        <v/>
      </c>
    </row>
    <row r="111" hidden="1" outlineLevel="1" ht="63" customFormat="1" customHeight="1" s="82">
      <c r="A111" s="122" t="n">
        <v>82</v>
      </c>
      <c r="B111" s="136" t="inlineStr">
        <is>
          <t>24.3.05.06-0011</t>
        </is>
      </c>
      <c r="C111" s="138" t="inlineStr">
        <is>
          <t>Манжета предохраняющая для заделки концов кожуха трубопроводов, номинальным наружным диаметром 1000 мм</t>
        </is>
      </c>
      <c r="D111" s="141" t="inlineStr">
        <is>
          <t>шт</t>
        </is>
      </c>
      <c r="E111" s="139" t="n">
        <v>0.66</v>
      </c>
      <c r="F111" s="43" t="n">
        <v>1249.15</v>
      </c>
      <c r="G111" s="43">
        <f>ROUND(E111*F111,2)</f>
        <v/>
      </c>
      <c r="H111" s="40">
        <f>G111/G171</f>
        <v/>
      </c>
      <c r="I111" s="127">
        <f>ROUND(F111*Прил.10!$D$12,2)</f>
        <v/>
      </c>
      <c r="J111" s="127">
        <f>ROUND(E111*I111,2)</f>
        <v/>
      </c>
    </row>
    <row r="112" hidden="1" outlineLevel="1" ht="31.5" customFormat="1" customHeight="1" s="82">
      <c r="A112" s="122" t="n">
        <v>83</v>
      </c>
      <c r="B112" s="136" t="inlineStr">
        <is>
          <t>01.7.12.05-0060</t>
        </is>
      </c>
      <c r="C112" s="138" t="inlineStr">
        <is>
          <t>Нетканый геотекстиль: Дорнит 600 г/м2</t>
        </is>
      </c>
      <c r="D112" s="141" t="inlineStr">
        <is>
          <t>м2</t>
        </is>
      </c>
      <c r="E112" s="139" t="n">
        <v>57.133</v>
      </c>
      <c r="F112" s="43" t="n">
        <v>13.53</v>
      </c>
      <c r="G112" s="43">
        <f>ROUND(E112*F112,2)</f>
        <v/>
      </c>
      <c r="H112" s="40">
        <f>G112/G171</f>
        <v/>
      </c>
      <c r="I112" s="127">
        <f>ROUND(F112*Прил.10!$D$12,2)</f>
        <v/>
      </c>
      <c r="J112" s="127">
        <f>ROUND(E112*I112,2)</f>
        <v/>
      </c>
    </row>
    <row r="113" hidden="1" outlineLevel="1" ht="63" customFormat="1" customHeight="1" s="82">
      <c r="A113" s="122" t="n">
        <v>84</v>
      </c>
      <c r="B113" s="136" t="inlineStr">
        <is>
          <t>01.5.03.03-0026</t>
        </is>
      </c>
      <c r="C113" s="138" t="inlineStr">
        <is>
          <t>Знаки дорожные на оцинкованной подоснове со световозвращающей пленкой запрещающие, круг диаметром 700 мм, тип 3.1-3.33</t>
        </is>
      </c>
      <c r="D113" s="141" t="inlineStr">
        <is>
          <t>шт.</t>
        </is>
      </c>
      <c r="E113" s="139" t="n">
        <v>3.96</v>
      </c>
      <c r="F113" s="43" t="n">
        <v>183.59</v>
      </c>
      <c r="G113" s="43">
        <f>ROUND(E113*F113,2)</f>
        <v/>
      </c>
      <c r="H113" s="40">
        <f>G113/G171</f>
        <v/>
      </c>
      <c r="I113" s="127">
        <f>ROUND(F113*Прил.10!$D$12,2)</f>
        <v/>
      </c>
      <c r="J113" s="127">
        <f>ROUND(E113*I113,2)</f>
        <v/>
      </c>
    </row>
    <row r="114" hidden="1" outlineLevel="1" ht="31.5" customFormat="1" customHeight="1" s="82">
      <c r="A114" s="122" t="n">
        <v>85</v>
      </c>
      <c r="B114" s="136" t="inlineStr">
        <is>
          <t>01.2.03.02-0001</t>
        </is>
      </c>
      <c r="C114" s="138" t="inlineStr">
        <is>
          <t>Грунтовка битумная под полимерное или резиновое покрытие</t>
        </is>
      </c>
      <c r="D114" s="141" t="inlineStr">
        <is>
          <t>т</t>
        </is>
      </c>
      <c r="E114" s="139" t="n">
        <v>0.0234</v>
      </c>
      <c r="F114" s="43" t="n">
        <v>31060</v>
      </c>
      <c r="G114" s="43">
        <f>ROUND(E114*F114,2)</f>
        <v/>
      </c>
      <c r="H114" s="40">
        <f>G114/G171</f>
        <v/>
      </c>
      <c r="I114" s="127">
        <f>ROUND(F114*Прил.10!$D$12,2)</f>
        <v/>
      </c>
      <c r="J114" s="127">
        <f>ROUND(E114*I114,2)</f>
        <v/>
      </c>
    </row>
    <row r="115" hidden="1" outlineLevel="1" ht="31.5" customFormat="1" customHeight="1" s="82">
      <c r="A115" s="122" t="n">
        <v>86</v>
      </c>
      <c r="B115" s="136" t="inlineStr">
        <is>
          <t>18.1.09.01-0014</t>
        </is>
      </c>
      <c r="C115" s="138" t="inlineStr">
        <is>
          <t>Кран шаровой газовый стальной, номинальный диаметр 200 мм</t>
        </is>
      </c>
      <c r="D115" s="141" t="inlineStr">
        <is>
          <t>шт</t>
        </is>
      </c>
      <c r="E115" s="139" t="n">
        <v>0.264</v>
      </c>
      <c r="F115" s="43" t="n">
        <v>2722.64</v>
      </c>
      <c r="G115" s="43">
        <f>ROUND(E115*F115,2)</f>
        <v/>
      </c>
      <c r="H115" s="40">
        <f>G115/G171</f>
        <v/>
      </c>
      <c r="I115" s="127">
        <f>ROUND(F115*Прил.10!$D$12,2)</f>
        <v/>
      </c>
      <c r="J115" s="127">
        <f>ROUND(E115*I115,2)</f>
        <v/>
      </c>
    </row>
    <row r="116" hidden="1" outlineLevel="1" ht="47.25" customFormat="1" customHeight="1" s="82">
      <c r="A116" s="122" t="n">
        <v>87</v>
      </c>
      <c r="B116" s="136" t="inlineStr">
        <is>
          <t>11.1.03.01-0087</t>
        </is>
      </c>
      <c r="C116" s="138" t="inlineStr">
        <is>
          <t>Бруски обрезные, хвойных пород, длина 4-6,5 м, ширина 75-150 мм, толщина 150 мм и более, сорт III</t>
        </is>
      </c>
      <c r="D116" s="141" t="inlineStr">
        <is>
          <t>м3</t>
        </is>
      </c>
      <c r="E116" s="139" t="n">
        <v>0.44152</v>
      </c>
      <c r="F116" s="43" t="n">
        <v>1514.2</v>
      </c>
      <c r="G116" s="43">
        <f>ROUND(E116*F116,2)</f>
        <v/>
      </c>
      <c r="H116" s="40">
        <f>G116/G171</f>
        <v/>
      </c>
      <c r="I116" s="127">
        <f>ROUND(F116*Прил.10!$D$12,2)</f>
        <v/>
      </c>
      <c r="J116" s="127">
        <f>ROUND(E116*I116,2)</f>
        <v/>
      </c>
    </row>
    <row r="117" hidden="1" outlineLevel="1" ht="31.5" customFormat="1" customHeight="1" s="82">
      <c r="A117" s="122" t="n">
        <v>88</v>
      </c>
      <c r="B117" s="136" t="inlineStr">
        <is>
          <t>01.7.11.07-0185</t>
        </is>
      </c>
      <c r="C117" s="138" t="inlineStr">
        <is>
          <t>Электроды с основным покрытием Э60А, диаметр 4 мм</t>
        </is>
      </c>
      <c r="D117" s="141" t="inlineStr">
        <is>
          <t>т</t>
        </is>
      </c>
      <c r="E117" s="139" t="n">
        <v>0.04692</v>
      </c>
      <c r="F117" s="43" t="n">
        <v>14221</v>
      </c>
      <c r="G117" s="43">
        <f>ROUND(E117*F117,2)</f>
        <v/>
      </c>
      <c r="H117" s="40">
        <f>G117/G171</f>
        <v/>
      </c>
      <c r="I117" s="127">
        <f>ROUND(F117*Прил.10!$D$12,2)</f>
        <v/>
      </c>
      <c r="J117" s="127">
        <f>ROUND(E117*I117,2)</f>
        <v/>
      </c>
    </row>
    <row r="118" hidden="1" outlineLevel="1" ht="47.25" customFormat="1" customHeight="1" s="82">
      <c r="A118" s="122" t="n">
        <v>89</v>
      </c>
      <c r="B118" s="136" t="inlineStr">
        <is>
          <t>05.1.07.27-0011</t>
        </is>
      </c>
      <c r="C118" s="138" t="inlineStr">
        <is>
          <t>Столбы оград: 2С 24и /бетон В15 (М200), объем 0,05 м3, расход арматуры 11,9 кг/ (серия 3.017-3)</t>
        </is>
      </c>
      <c r="D118" s="141" t="inlineStr">
        <is>
          <t>шт.</t>
        </is>
      </c>
      <c r="E118" s="139" t="n">
        <v>3.96</v>
      </c>
      <c r="F118" s="43" t="n">
        <v>143</v>
      </c>
      <c r="G118" s="43">
        <f>ROUND(E118*F118,2)</f>
        <v/>
      </c>
      <c r="H118" s="40">
        <f>G118/G171</f>
        <v/>
      </c>
      <c r="I118" s="127">
        <f>ROUND(F118*Прил.10!$D$12,2)</f>
        <v/>
      </c>
      <c r="J118" s="127">
        <f>ROUND(E118*I118,2)</f>
        <v/>
      </c>
    </row>
    <row r="119" hidden="1" outlineLevel="1" ht="31.5" customFormat="1" customHeight="1" s="82">
      <c r="A119" s="122" t="n">
        <v>90</v>
      </c>
      <c r="B119" s="136" t="inlineStr">
        <is>
          <t>01.7.11.07-0183</t>
        </is>
      </c>
      <c r="C119" s="138" t="inlineStr">
        <is>
          <t>Электроды с основным покрытием Э50А, диаметр 3 мм</t>
        </is>
      </c>
      <c r="D119" s="141" t="inlineStr">
        <is>
          <t>т</t>
        </is>
      </c>
      <c r="E119" s="139" t="n">
        <v>0.034954</v>
      </c>
      <c r="F119" s="43" t="n">
        <v>12545.99</v>
      </c>
      <c r="G119" s="43">
        <f>ROUND(E119*F119,2)</f>
        <v/>
      </c>
      <c r="H119" s="40">
        <f>G119/G171</f>
        <v/>
      </c>
      <c r="I119" s="127">
        <f>ROUND(F119*Прил.10!$D$12,2)</f>
        <v/>
      </c>
      <c r="J119" s="127">
        <f>ROUND(E119*I119,2)</f>
        <v/>
      </c>
    </row>
    <row r="120" hidden="1" outlineLevel="1" ht="78.75" customFormat="1" customHeight="1" s="82">
      <c r="A120" s="122" t="n">
        <v>91</v>
      </c>
      <c r="B120" s="136" t="inlineStr">
        <is>
          <t>23.3.03.02-0062</t>
        </is>
      </c>
      <c r="C120" s="138" t="inlineStr">
        <is>
          <t>Трубы стальные бесшовные горячедеформированные со снятой фаской из стали марок 15, 20, 35, наружный диаметр 89 мм, толщина стенки 4 мм</t>
        </is>
      </c>
      <c r="D120" s="141" t="inlineStr">
        <is>
          <t>м</t>
        </is>
      </c>
      <c r="E120" s="139" t="n">
        <v>5.3328</v>
      </c>
      <c r="F120" s="43" t="n">
        <v>73.12</v>
      </c>
      <c r="G120" s="43">
        <f>ROUND(E120*F120,2)</f>
        <v/>
      </c>
      <c r="H120" s="40">
        <f>G120/G171</f>
        <v/>
      </c>
      <c r="I120" s="127">
        <f>ROUND(F120*Прил.10!$D$12,2)</f>
        <v/>
      </c>
      <c r="J120" s="127">
        <f>ROUND(E120*I120,2)</f>
        <v/>
      </c>
    </row>
    <row r="121" hidden="1" outlineLevel="1" ht="63" customFormat="1" customHeight="1" s="82">
      <c r="A121" s="122" t="n">
        <v>92</v>
      </c>
      <c r="B121" s="136" t="inlineStr">
        <is>
          <t>01.2.03.02-0012</t>
        </is>
      </c>
      <c r="C121" s="138" t="inlineStr">
        <is>
          <t>Грунтовка битумно-полимерная антикоррозионная для защитного покрытия при температуре эксплуатации от-45 °C до +40 °C</t>
        </is>
      </c>
      <c r="D121" s="141" t="inlineStr">
        <is>
          <t>т</t>
        </is>
      </c>
      <c r="E121" s="139" t="n">
        <v>0.011484</v>
      </c>
      <c r="F121" s="43" t="n">
        <v>33439.02</v>
      </c>
      <c r="G121" s="43">
        <f>ROUND(E121*F121,2)</f>
        <v/>
      </c>
      <c r="H121" s="40">
        <f>G121/G171</f>
        <v/>
      </c>
      <c r="I121" s="127">
        <f>ROUND(F121*Прил.10!$D$12,2)</f>
        <v/>
      </c>
      <c r="J121" s="127">
        <f>ROUND(E121*I121,2)</f>
        <v/>
      </c>
    </row>
    <row r="122" hidden="1" outlineLevel="1" ht="31.5" customFormat="1" customHeight="1" s="82">
      <c r="A122" s="122" t="n">
        <v>93</v>
      </c>
      <c r="B122" s="136" t="inlineStr">
        <is>
          <t>12.2.03.11-0041</t>
        </is>
      </c>
      <c r="C122" s="138" t="inlineStr">
        <is>
          <t>Холсты стекловолокнистые термовлагоустойчивые</t>
        </is>
      </c>
      <c r="D122" s="141" t="inlineStr">
        <is>
          <t>10 м2</t>
        </is>
      </c>
      <c r="E122" s="139" t="n">
        <v>34.84</v>
      </c>
      <c r="F122" s="43" t="n">
        <v>10.71</v>
      </c>
      <c r="G122" s="43">
        <f>ROUND(E122*F122,2)</f>
        <v/>
      </c>
      <c r="H122" s="40">
        <f>G122/G171</f>
        <v/>
      </c>
      <c r="I122" s="127">
        <f>ROUND(F122*Прил.10!$D$12,2)</f>
        <v/>
      </c>
      <c r="J122" s="127">
        <f>ROUND(E122*I122,2)</f>
        <v/>
      </c>
    </row>
    <row r="123" hidden="1" outlineLevel="1" ht="15.75" customFormat="1" customHeight="1" s="82">
      <c r="A123" s="122" t="n">
        <v>94</v>
      </c>
      <c r="B123" s="136" t="inlineStr">
        <is>
          <t>01.7.02.02-0021</t>
        </is>
      </c>
      <c r="C123" s="138" t="inlineStr">
        <is>
          <t>Бумага оберточная листовая</t>
        </is>
      </c>
      <c r="D123" s="141" t="inlineStr">
        <is>
          <t>1000 м2</t>
        </is>
      </c>
      <c r="E123" s="139" t="n">
        <v>0.2977</v>
      </c>
      <c r="F123" s="43" t="n">
        <v>1252</v>
      </c>
      <c r="G123" s="43">
        <f>ROUND(E123*F123,2)</f>
        <v/>
      </c>
      <c r="H123" s="40">
        <f>G123/G171</f>
        <v/>
      </c>
      <c r="I123" s="127">
        <f>ROUND(F123*Прил.10!$D$12,2)</f>
        <v/>
      </c>
      <c r="J123" s="127">
        <f>ROUND(E123*I123,2)</f>
        <v/>
      </c>
    </row>
    <row r="124" hidden="1" outlineLevel="1" ht="15.75" customFormat="1" customHeight="1" s="82">
      <c r="A124" s="122" t="n">
        <v>95</v>
      </c>
      <c r="B124" s="136" t="inlineStr">
        <is>
          <t>24.3.05.06-0041</t>
        </is>
      </c>
      <c r="C124" s="138" t="inlineStr">
        <is>
          <t>Манжета термоусаживаемая</t>
        </is>
      </c>
      <c r="D124" s="141" t="inlineStr">
        <is>
          <t>шт</t>
        </is>
      </c>
      <c r="E124" s="139" t="n">
        <v>9.24</v>
      </c>
      <c r="F124" s="43" t="n">
        <v>38</v>
      </c>
      <c r="G124" s="43">
        <f>ROUND(E124*F124,2)</f>
        <v/>
      </c>
      <c r="H124" s="40">
        <f>G124/G171</f>
        <v/>
      </c>
      <c r="I124" s="127">
        <f>ROUND(F124*Прил.10!$D$12,2)</f>
        <v/>
      </c>
      <c r="J124" s="127">
        <f>ROUND(E124*I124,2)</f>
        <v/>
      </c>
    </row>
    <row r="125" hidden="1" outlineLevel="1" ht="78.75" customFormat="1" customHeight="1" s="82">
      <c r="A125" s="122" t="n">
        <v>96</v>
      </c>
      <c r="B125" s="136" t="inlineStr">
        <is>
          <t>23.5.01.07-0046</t>
        </is>
      </c>
      <c r="C125" s="138" t="inlineStr">
        <is>
          <t>Трубы стальные сварные для магистральных газонефтепроводов, класс прочности К52, наружный диаметр 720 мм, толщина стенки 12 мм</t>
        </is>
      </c>
      <c r="D125" s="141" t="inlineStr">
        <is>
          <t>м</t>
        </is>
      </c>
      <c r="E125" s="139" t="n">
        <v>0.1155</v>
      </c>
      <c r="F125" s="43" t="n">
        <v>2398.39</v>
      </c>
      <c r="G125" s="43">
        <f>ROUND(E125*F125,2)</f>
        <v/>
      </c>
      <c r="H125" s="40">
        <f>G125/G171</f>
        <v/>
      </c>
      <c r="I125" s="127">
        <f>ROUND(F125*Прил.10!$D$12,2)</f>
        <v/>
      </c>
      <c r="J125" s="127">
        <f>ROUND(E125*I125,2)</f>
        <v/>
      </c>
    </row>
    <row r="126" hidden="1" outlineLevel="1" ht="31.5" customFormat="1" customHeight="1" s="82">
      <c r="A126" s="122" t="n">
        <v>97</v>
      </c>
      <c r="B126" s="136" t="inlineStr">
        <is>
          <t>01.5.03.06-0012</t>
        </is>
      </c>
      <c r="C126" s="138" t="inlineStr">
        <is>
          <t>Столбики сигнальные дорожные пластиковые</t>
        </is>
      </c>
      <c r="D126" s="141" t="inlineStr">
        <is>
          <t>шт</t>
        </is>
      </c>
      <c r="E126" s="139" t="n">
        <v>5.3</v>
      </c>
      <c r="F126" s="43" t="n">
        <v>43.06</v>
      </c>
      <c r="G126" s="43">
        <f>ROUND(E126*F126,2)</f>
        <v/>
      </c>
      <c r="H126" s="40">
        <f>G126/G171</f>
        <v/>
      </c>
      <c r="I126" s="127">
        <f>ROUND(F126*Прил.10!$D$12,2)</f>
        <v/>
      </c>
      <c r="J126" s="127">
        <f>ROUND(E126*I126,2)</f>
        <v/>
      </c>
    </row>
    <row r="127" hidden="1" outlineLevel="1" ht="31.5" customFormat="1" customHeight="1" s="82">
      <c r="A127" s="122" t="n">
        <v>98</v>
      </c>
      <c r="B127" s="136" t="inlineStr">
        <is>
          <t>01.5.03.06-0012</t>
        </is>
      </c>
      <c r="C127" s="138" t="inlineStr">
        <is>
          <t>Столбики сигнальные дорожные пластиковые</t>
        </is>
      </c>
      <c r="D127" s="141" t="inlineStr">
        <is>
          <t>шт.</t>
        </is>
      </c>
      <c r="E127" s="139" t="n">
        <v>5.28</v>
      </c>
      <c r="F127" s="43" t="n">
        <v>43.06</v>
      </c>
      <c r="G127" s="43">
        <f>ROUND(E127*F127,2)</f>
        <v/>
      </c>
      <c r="H127" s="40">
        <f>G127/G171</f>
        <v/>
      </c>
      <c r="I127" s="127">
        <f>ROUND(F127*Прил.10!$D$12,2)</f>
        <v/>
      </c>
      <c r="J127" s="127">
        <f>ROUND(E127*I127,2)</f>
        <v/>
      </c>
    </row>
    <row r="128" hidden="1" outlineLevel="1" ht="15.75" customFormat="1" customHeight="1" s="82">
      <c r="A128" s="122" t="n">
        <v>99</v>
      </c>
      <c r="B128" s="136" t="inlineStr">
        <is>
          <t>01.7.03.01-0001</t>
        </is>
      </c>
      <c r="C128" s="138" t="inlineStr">
        <is>
          <t>Вода</t>
        </is>
      </c>
      <c r="D128" s="141" t="inlineStr">
        <is>
          <t>м3</t>
        </is>
      </c>
      <c r="E128" s="139" t="n">
        <v>82.38420000000001</v>
      </c>
      <c r="F128" s="43" t="n">
        <v>2.44</v>
      </c>
      <c r="G128" s="43">
        <f>ROUND(E128*F128,2)</f>
        <v/>
      </c>
      <c r="H128" s="40">
        <f>G128/G171</f>
        <v/>
      </c>
      <c r="I128" s="127">
        <f>ROUND(F128*Прил.10!$D$12,2)</f>
        <v/>
      </c>
      <c r="J128" s="127">
        <f>ROUND(E128*I128,2)</f>
        <v/>
      </c>
    </row>
    <row r="129" hidden="1" outlineLevel="1" ht="31.5" customFormat="1" customHeight="1" s="82">
      <c r="A129" s="122" t="n">
        <v>100</v>
      </c>
      <c r="B129" s="136" t="inlineStr">
        <is>
          <t>23.1.02.03-0011</t>
        </is>
      </c>
      <c r="C129" s="138" t="inlineStr">
        <is>
          <t>Кольца центрирующие для труб, диаметр 1000 мм</t>
        </is>
      </c>
      <c r="D129" s="141" t="inlineStr">
        <is>
          <t>шт</t>
        </is>
      </c>
      <c r="E129" s="139" t="n">
        <v>3.4089</v>
      </c>
      <c r="F129" s="43" t="n">
        <v>57.89</v>
      </c>
      <c r="G129" s="43">
        <f>ROUND(E129*F129,2)</f>
        <v/>
      </c>
      <c r="H129" s="40">
        <f>G129/G171</f>
        <v/>
      </c>
      <c r="I129" s="127">
        <f>ROUND(F129*Прил.10!$D$12,2)</f>
        <v/>
      </c>
      <c r="J129" s="127">
        <f>ROUND(E129*I129,2)</f>
        <v/>
      </c>
    </row>
    <row r="130" hidden="1" outlineLevel="1" ht="31.5" customFormat="1" customHeight="1" s="82">
      <c r="A130" s="122" t="n">
        <v>101</v>
      </c>
      <c r="B130" s="136" t="inlineStr">
        <is>
          <t>24.2.06.05-0003</t>
        </is>
      </c>
      <c r="C130" s="138" t="inlineStr">
        <is>
          <t>Пневмозаглушка резинокордная диаметром до 900 мм</t>
        </is>
      </c>
      <c r="D130" s="141" t="inlineStr">
        <is>
          <t>шт.</t>
        </is>
      </c>
      <c r="E130" s="139" t="n">
        <v>0.015</v>
      </c>
      <c r="F130" s="43" t="n">
        <v>11311</v>
      </c>
      <c r="G130" s="43">
        <f>ROUND(E130*F130,2)</f>
        <v/>
      </c>
      <c r="H130" s="40">
        <f>G130/G171</f>
        <v/>
      </c>
      <c r="I130" s="127">
        <f>ROUND(F130*Прил.10!$D$12,2)</f>
        <v/>
      </c>
      <c r="J130" s="127">
        <f>ROUND(E130*I130,2)</f>
        <v/>
      </c>
    </row>
    <row r="131" hidden="1" outlineLevel="1" ht="47.25" customFormat="1" customHeight="1" s="82">
      <c r="A131" s="122" t="n">
        <v>102</v>
      </c>
      <c r="B131" s="136" t="inlineStr">
        <is>
          <t>01.7.12.16-0031</t>
        </is>
      </c>
      <c r="C131" s="138" t="inlineStr">
        <is>
          <t>Коврики защитные под утяжелители УБОм из НСМ толщиной 3,5 мм, размером 1900х2400 мм</t>
        </is>
      </c>
      <c r="D131" s="141" t="inlineStr">
        <is>
          <t>шт.</t>
        </is>
      </c>
      <c r="E131" s="139" t="n">
        <v>28.71</v>
      </c>
      <c r="F131" s="43" t="n">
        <v>5.68</v>
      </c>
      <c r="G131" s="43">
        <f>ROUND(E131*F131,2)</f>
        <v/>
      </c>
      <c r="H131" s="40">
        <f>G131/G171</f>
        <v/>
      </c>
      <c r="I131" s="127">
        <f>ROUND(F131*Прил.10!$D$12,2)</f>
        <v/>
      </c>
      <c r="J131" s="127">
        <f>ROUND(E131*I131,2)</f>
        <v/>
      </c>
    </row>
    <row r="132" hidden="1" outlineLevel="1" ht="31.5" customFormat="1" customHeight="1" s="82">
      <c r="A132" s="122" t="n">
        <v>103</v>
      </c>
      <c r="B132" s="136" t="inlineStr">
        <is>
          <t>23.5.02.02-0012</t>
        </is>
      </c>
      <c r="C132" s="138" t="inlineStr">
        <is>
          <t>Трубы стальные электросварные прямошовные диаметром 100-150 мм</t>
        </is>
      </c>
      <c r="D132" s="141" t="inlineStr">
        <is>
          <t>т</t>
        </is>
      </c>
      <c r="E132" s="139" t="n">
        <v>0.018</v>
      </c>
      <c r="F132" s="43" t="n">
        <v>8920.1</v>
      </c>
      <c r="G132" s="43">
        <f>ROUND(E132*F132,2)</f>
        <v/>
      </c>
      <c r="H132" s="40">
        <f>G132/G171</f>
        <v/>
      </c>
      <c r="I132" s="127">
        <f>ROUND(F132*Прил.10!$D$12,2)</f>
        <v/>
      </c>
      <c r="J132" s="127">
        <f>ROUND(E132*I132,2)</f>
        <v/>
      </c>
    </row>
    <row r="133" hidden="1" outlineLevel="1" ht="78.75" customFormat="1" customHeight="1" s="82">
      <c r="A133" s="122" t="n">
        <v>104</v>
      </c>
      <c r="B133" s="136" t="inlineStr">
        <is>
          <t>23.3.03.02-0075</t>
        </is>
      </c>
      <c r="C133" s="138" t="inlineStr">
        <is>
          <t>Трубы стальные бесшовные горячедеформированные со снятой фаской из стали марок 15, 20, 35, наружный диаметр 108 мм, толщина стенки 4 мм</t>
        </is>
      </c>
      <c r="D133" s="141" t="inlineStr">
        <is>
          <t>м</t>
        </is>
      </c>
      <c r="E133" s="139" t="n">
        <v>1.6665</v>
      </c>
      <c r="F133" s="43" t="n">
        <v>81.61</v>
      </c>
      <c r="G133" s="43">
        <f>ROUND(E133*F133,2)</f>
        <v/>
      </c>
      <c r="H133" s="40">
        <f>G133/G171</f>
        <v/>
      </c>
      <c r="I133" s="127">
        <f>ROUND(F133*Прил.10!$D$12,2)</f>
        <v/>
      </c>
      <c r="J133" s="127">
        <f>ROUND(E133*I133,2)</f>
        <v/>
      </c>
    </row>
    <row r="134" hidden="1" outlineLevel="1" ht="15.75" customFormat="1" customHeight="1" s="82">
      <c r="A134" s="122" t="n">
        <v>105</v>
      </c>
      <c r="B134" s="136" t="inlineStr">
        <is>
          <t>01.3.02.09-0022</t>
        </is>
      </c>
      <c r="C134" s="138" t="inlineStr">
        <is>
          <t>Пропан-бутан смесь техническая</t>
        </is>
      </c>
      <c r="D134" s="141" t="inlineStr">
        <is>
          <t>кг</t>
        </is>
      </c>
      <c r="E134" s="139" t="n">
        <v>19.28685</v>
      </c>
      <c r="F134" s="43" t="n">
        <v>6.09</v>
      </c>
      <c r="G134" s="43">
        <f>ROUND(E134*F134,2)</f>
        <v/>
      </c>
      <c r="H134" s="40">
        <f>G134/G171</f>
        <v/>
      </c>
      <c r="I134" s="127">
        <f>ROUND(F134*Прил.10!$D$12,2)</f>
        <v/>
      </c>
      <c r="J134" s="127">
        <f>ROUND(E134*I134,2)</f>
        <v/>
      </c>
    </row>
    <row r="135" hidden="1" outlineLevel="1" ht="31.5" customFormat="1" customHeight="1" s="82">
      <c r="A135" s="122" t="n">
        <v>106</v>
      </c>
      <c r="B135" s="136" t="inlineStr">
        <is>
          <t>16.3.02.01-0002</t>
        </is>
      </c>
      <c r="C135" s="138" t="inlineStr">
        <is>
          <t>Удобрение комплексное на основе диаммонийфосфата</t>
        </is>
      </c>
      <c r="D135" s="141" t="inlineStr">
        <is>
          <t>кг</t>
        </is>
      </c>
      <c r="E135" s="139" t="n">
        <v>19.714</v>
      </c>
      <c r="F135" s="43" t="n">
        <v>5.22</v>
      </c>
      <c r="G135" s="43">
        <f>ROUND(E135*F135,2)</f>
        <v/>
      </c>
      <c r="H135" s="40">
        <f>G135/G171</f>
        <v/>
      </c>
      <c r="I135" s="127">
        <f>ROUND(F135*Прил.10!$D$12,2)</f>
        <v/>
      </c>
      <c r="J135" s="127">
        <f>ROUND(E135*I135,2)</f>
        <v/>
      </c>
    </row>
    <row r="136" hidden="1" outlineLevel="1" ht="15.75" customFormat="1" customHeight="1" s="82">
      <c r="A136" s="122" t="n">
        <v>107</v>
      </c>
      <c r="B136" s="136" t="inlineStr">
        <is>
          <t>01.2.03.03-0045</t>
        </is>
      </c>
      <c r="C136" s="138" t="inlineStr">
        <is>
          <t>Мастика битумно-полимерная</t>
        </is>
      </c>
      <c r="D136" s="141" t="inlineStr">
        <is>
          <t>т</t>
        </is>
      </c>
      <c r="E136" s="139" t="n">
        <v>0.0522</v>
      </c>
      <c r="F136" s="43" t="n">
        <v>1500</v>
      </c>
      <c r="G136" s="43">
        <f>ROUND(E136*F136,2)</f>
        <v/>
      </c>
      <c r="H136" s="40">
        <f>G136/G171</f>
        <v/>
      </c>
      <c r="I136" s="127">
        <f>ROUND(F136*Прил.10!$D$12,2)</f>
        <v/>
      </c>
      <c r="J136" s="127">
        <f>ROUND(E136*I136,2)</f>
        <v/>
      </c>
    </row>
    <row r="137" hidden="1" outlineLevel="1" ht="31.5" customFormat="1" customHeight="1" s="82">
      <c r="A137" s="122" t="n">
        <v>108</v>
      </c>
      <c r="B137" s="136" t="inlineStr">
        <is>
          <t>01.7.11.07-0182</t>
        </is>
      </c>
      <c r="C137" s="138" t="inlineStr">
        <is>
          <t>Электроды с основным покрытием Э42А, диаметр 3 мм</t>
        </is>
      </c>
      <c r="D137" s="141" t="inlineStr">
        <is>
          <t>т</t>
        </is>
      </c>
      <c r="E137" s="139" t="n">
        <v>0.00594</v>
      </c>
      <c r="F137" s="43" t="n">
        <v>12143.01</v>
      </c>
      <c r="G137" s="43">
        <f>ROUND(E137*F137,2)</f>
        <v/>
      </c>
      <c r="H137" s="40">
        <f>G137/G171</f>
        <v/>
      </c>
      <c r="I137" s="127">
        <f>ROUND(F137*Прил.10!$D$12,2)</f>
        <v/>
      </c>
      <c r="J137" s="127">
        <f>ROUND(E137*I137,2)</f>
        <v/>
      </c>
    </row>
    <row r="138" hidden="1" outlineLevel="1" ht="15.75" customFormat="1" customHeight="1" s="82">
      <c r="A138" s="122" t="n">
        <v>109</v>
      </c>
      <c r="B138" s="136" t="inlineStr">
        <is>
          <t>01.3.02.08-0001</t>
        </is>
      </c>
      <c r="C138" s="138" t="inlineStr">
        <is>
          <t>Кислород газообразный технический</t>
        </is>
      </c>
      <c r="D138" s="141" t="inlineStr">
        <is>
          <t>м3</t>
        </is>
      </c>
      <c r="E138" s="139" t="n">
        <v>11.58234</v>
      </c>
      <c r="F138" s="43" t="n">
        <v>6.22</v>
      </c>
      <c r="G138" s="43">
        <f>ROUND(E138*F138,2)</f>
        <v/>
      </c>
      <c r="H138" s="40">
        <f>G138/G171</f>
        <v/>
      </c>
      <c r="I138" s="127">
        <f>ROUND(F138*Прил.10!$D$12,2)</f>
        <v/>
      </c>
      <c r="J138" s="127">
        <f>ROUND(E138*I138,2)</f>
        <v/>
      </c>
    </row>
    <row r="139" hidden="1" outlineLevel="1" ht="31.5" customFormat="1" customHeight="1" s="82">
      <c r="A139" s="122" t="n">
        <v>110</v>
      </c>
      <c r="B139" s="136" t="inlineStr">
        <is>
          <t>18.1.09.01-0011</t>
        </is>
      </c>
      <c r="C139" s="138" t="inlineStr">
        <is>
          <t>Кран шаровой газовый стальной, номинальный диаметр 80 мм</t>
        </is>
      </c>
      <c r="D139" s="141" t="inlineStr">
        <is>
          <t>шт</t>
        </is>
      </c>
      <c r="E139" s="139" t="n">
        <v>0.132</v>
      </c>
      <c r="F139" s="43" t="n">
        <v>537.64</v>
      </c>
      <c r="G139" s="43">
        <f>ROUND(E139*F139,2)</f>
        <v/>
      </c>
      <c r="H139" s="40">
        <f>G139/G171</f>
        <v/>
      </c>
      <c r="I139" s="127">
        <f>ROUND(F139*Прил.10!$D$12,2)</f>
        <v/>
      </c>
      <c r="J139" s="127">
        <f>ROUND(E139*I139,2)</f>
        <v/>
      </c>
    </row>
    <row r="140" hidden="1" outlineLevel="1" ht="78.75" customFormat="1" customHeight="1" s="82">
      <c r="A140" s="122" t="n">
        <v>111</v>
      </c>
      <c r="B140" s="136" t="inlineStr">
        <is>
          <t>23.8.04.12-0132</t>
        </is>
      </c>
      <c r="C140" s="138" t="inlineStr">
        <is>
          <t>Тройники равнопроходные, номинальное давление до 16 МПа, номинальный диаметр 200 мм, наружный диаметр и толщина стенки 219х6,0 мм</t>
        </is>
      </c>
      <c r="D140" s="141" t="inlineStr">
        <is>
          <t>шт</t>
        </is>
      </c>
      <c r="E140" s="139" t="n">
        <v>0.198</v>
      </c>
      <c r="F140" s="43" t="n">
        <v>340.32</v>
      </c>
      <c r="G140" s="43">
        <f>ROUND(E140*F140,2)</f>
        <v/>
      </c>
      <c r="H140" s="40">
        <f>G140/G171</f>
        <v/>
      </c>
      <c r="I140" s="127">
        <f>ROUND(F140*Прил.10!$D$12,2)</f>
        <v/>
      </c>
      <c r="J140" s="127">
        <f>ROUND(E140*I140,2)</f>
        <v/>
      </c>
    </row>
    <row r="141" hidden="1" outlineLevel="1" ht="78.75" customFormat="1" customHeight="1" s="82">
      <c r="A141" s="122" t="n">
        <v>112</v>
      </c>
      <c r="B141" s="136" t="inlineStr">
        <is>
          <t>23.8.04.06-0094</t>
        </is>
      </c>
      <c r="C141" s="138" t="inlineStr">
        <is>
          <t>Отвод крутоизогнутый, радиус кривизны 1,5 мм, номинальное давление до 16 МПа, номинальный диаметр 200 мм, наружный диаметр 219 мм, толщина стенки 6 мм</t>
        </is>
      </c>
      <c r="D141" s="141" t="inlineStr">
        <is>
          <t>шт</t>
        </is>
      </c>
      <c r="E141" s="139" t="n">
        <v>0.297</v>
      </c>
      <c r="F141" s="43" t="n">
        <v>224</v>
      </c>
      <c r="G141" s="43">
        <f>ROUND(E141*F141,2)</f>
        <v/>
      </c>
      <c r="H141" s="40">
        <f>G141/G171</f>
        <v/>
      </c>
      <c r="I141" s="127">
        <f>ROUND(F141*Прил.10!$D$12,2)</f>
        <v/>
      </c>
      <c r="J141" s="127">
        <f>ROUND(E141*I141,2)</f>
        <v/>
      </c>
    </row>
    <row r="142" hidden="1" outlineLevel="1" ht="31.5" customFormat="1" customHeight="1" s="82">
      <c r="A142" s="122" t="n">
        <v>113</v>
      </c>
      <c r="B142" s="136" t="inlineStr">
        <is>
          <t>01.7.11.07-0181</t>
        </is>
      </c>
      <c r="C142" s="138" t="inlineStr">
        <is>
          <t>Электроды с основным покрытием Э42А, диаметр 2,5 мм</t>
        </is>
      </c>
      <c r="D142" s="141" t="inlineStr">
        <is>
          <t>т</t>
        </is>
      </c>
      <c r="E142" s="139" t="n">
        <v>0.004059</v>
      </c>
      <c r="F142" s="43" t="n">
        <v>14074</v>
      </c>
      <c r="G142" s="43">
        <f>ROUND(E142*F142,2)</f>
        <v/>
      </c>
      <c r="H142" s="40">
        <f>G142/G171</f>
        <v/>
      </c>
      <c r="I142" s="127">
        <f>ROUND(F142*Прил.10!$D$12,2)</f>
        <v/>
      </c>
      <c r="J142" s="127">
        <f>ROUND(E142*I142,2)</f>
        <v/>
      </c>
    </row>
    <row r="143" hidden="1" outlineLevel="1" ht="31.5" customFormat="1" customHeight="1" s="82">
      <c r="A143" s="122" t="n">
        <v>114</v>
      </c>
      <c r="B143" s="136" t="inlineStr">
        <is>
          <t>08.4.03.04-0001</t>
        </is>
      </c>
      <c r="C143" s="138" t="inlineStr">
        <is>
          <t>Сталь арматурная, горячекатаная, класс А-I, А-II, А-III</t>
        </is>
      </c>
      <c r="D143" s="141" t="inlineStr">
        <is>
          <t>т</t>
        </is>
      </c>
      <c r="E143" s="139" t="n">
        <v>0.008999999999999999</v>
      </c>
      <c r="F143" s="43" t="n">
        <v>5650</v>
      </c>
      <c r="G143" s="43">
        <f>ROUND(E143*F143,2)</f>
        <v/>
      </c>
      <c r="H143" s="40">
        <f>G143/G171</f>
        <v/>
      </c>
      <c r="I143" s="127">
        <f>ROUND(F143*Прил.10!$D$12,2)</f>
        <v/>
      </c>
      <c r="J143" s="127">
        <f>ROUND(E143*I143,2)</f>
        <v/>
      </c>
    </row>
    <row r="144" hidden="1" outlineLevel="1" ht="31.5" customFormat="1" customHeight="1" s="82">
      <c r="A144" s="122" t="n">
        <v>115</v>
      </c>
      <c r="B144" s="136" t="inlineStr">
        <is>
          <t>04.3.01.09-0023</t>
        </is>
      </c>
      <c r="C144" s="138" t="inlineStr">
        <is>
          <t>Раствор отделочный тяжелый цементный, состав 1:3</t>
        </is>
      </c>
      <c r="D144" s="141" t="inlineStr">
        <is>
          <t>м3</t>
        </is>
      </c>
      <c r="E144" s="139" t="n">
        <v>0.08352</v>
      </c>
      <c r="F144" s="43" t="n">
        <v>497</v>
      </c>
      <c r="G144" s="43">
        <f>ROUND(E144*F144,2)</f>
        <v/>
      </c>
      <c r="H144" s="40">
        <f>G144/G171</f>
        <v/>
      </c>
      <c r="I144" s="127">
        <f>ROUND(F144*Прил.10!$D$12,2)</f>
        <v/>
      </c>
      <c r="J144" s="127">
        <f>ROUND(E144*I144,2)</f>
        <v/>
      </c>
    </row>
    <row r="145" hidden="1" outlineLevel="1" ht="15.75" customFormat="1" customHeight="1" s="82">
      <c r="A145" s="122" t="n">
        <v>116</v>
      </c>
      <c r="B145" s="136" t="inlineStr">
        <is>
          <t>14.4.01.09-0604</t>
        </is>
      </c>
      <c r="C145" s="138" t="inlineStr">
        <is>
          <t>Праймер эпоксидный</t>
        </is>
      </c>
      <c r="D145" s="141" t="inlineStr">
        <is>
          <t>кг</t>
        </is>
      </c>
      <c r="E145" s="139" t="n">
        <v>0.924</v>
      </c>
      <c r="F145" s="43" t="n">
        <v>40.33</v>
      </c>
      <c r="G145" s="43">
        <f>ROUND(E145*F145,2)</f>
        <v/>
      </c>
      <c r="H145" s="40">
        <f>G145/G171</f>
        <v/>
      </c>
      <c r="I145" s="127">
        <f>ROUND(F145*Прил.10!$D$12,2)</f>
        <v/>
      </c>
      <c r="J145" s="127">
        <f>ROUND(E145*I145,2)</f>
        <v/>
      </c>
    </row>
    <row r="146" hidden="1" outlineLevel="1" ht="31.5" customFormat="1" customHeight="1" s="82">
      <c r="A146" s="122" t="n">
        <v>117</v>
      </c>
      <c r="B146" s="136" t="inlineStr">
        <is>
          <t>01.7.15.02-0083</t>
        </is>
      </c>
      <c r="C146" s="138" t="inlineStr">
        <is>
          <t>Болты с шестигранной головкой, диаметр 10 мм</t>
        </is>
      </c>
      <c r="D146" s="141" t="inlineStr">
        <is>
          <t>т</t>
        </is>
      </c>
      <c r="E146" s="139" t="n">
        <v>0.00192</v>
      </c>
      <c r="F146" s="43" t="n">
        <v>19400</v>
      </c>
      <c r="G146" s="43">
        <f>ROUND(E146*F146,2)</f>
        <v/>
      </c>
      <c r="H146" s="40">
        <f>G146/G171</f>
        <v/>
      </c>
      <c r="I146" s="127">
        <f>ROUND(F146*Прил.10!$D$12,2)</f>
        <v/>
      </c>
      <c r="J146" s="127">
        <f>ROUND(E146*I146,2)</f>
        <v/>
      </c>
    </row>
    <row r="147" hidden="1" outlineLevel="1" ht="31.5" customFormat="1" customHeight="1" s="82">
      <c r="A147" s="122" t="n">
        <v>118</v>
      </c>
      <c r="B147" s="136" t="inlineStr">
        <is>
          <t>04.1.02.05-0010</t>
        </is>
      </c>
      <c r="C147" s="138" t="inlineStr">
        <is>
          <t>Смеси бетонные тяжелого бетона (БСТ), класс В27,5 (М350)</t>
        </is>
      </c>
      <c r="D147" s="141" t="inlineStr">
        <is>
          <t>м3</t>
        </is>
      </c>
      <c r="E147" s="139" t="n">
        <v>0.04872</v>
      </c>
      <c r="F147" s="43" t="n">
        <v>730</v>
      </c>
      <c r="G147" s="43">
        <f>ROUND(E147*F147,2)</f>
        <v/>
      </c>
      <c r="H147" s="40">
        <f>G147/G171</f>
        <v/>
      </c>
      <c r="I147" s="127">
        <f>ROUND(F147*Прил.10!$D$12,2)</f>
        <v/>
      </c>
      <c r="J147" s="127">
        <f>ROUND(E147*I147,2)</f>
        <v/>
      </c>
    </row>
    <row r="148" hidden="1" outlineLevel="1" ht="31.5" customFormat="1" customHeight="1" s="82">
      <c r="A148" s="122" t="n">
        <v>119</v>
      </c>
      <c r="B148" s="136" t="inlineStr">
        <is>
          <t>23.8.03.01-0002</t>
        </is>
      </c>
      <c r="C148" s="138" t="inlineStr">
        <is>
          <t>Заглушки инвентарные металлические</t>
        </is>
      </c>
      <c r="D148" s="141" t="inlineStr">
        <is>
          <t>т</t>
        </is>
      </c>
      <c r="E148" s="139" t="n">
        <v>0.0033</v>
      </c>
      <c r="F148" s="43" t="n">
        <v>9200</v>
      </c>
      <c r="G148" s="43">
        <f>ROUND(E148*F148,2)</f>
        <v/>
      </c>
      <c r="H148" s="40">
        <f>G148/G171</f>
        <v/>
      </c>
      <c r="I148" s="127">
        <f>ROUND(F148*Прил.10!$D$12,2)</f>
        <v/>
      </c>
      <c r="J148" s="127">
        <f>ROUND(E148*I148,2)</f>
        <v/>
      </c>
    </row>
    <row r="149" hidden="1" outlineLevel="1" ht="31.5" customFormat="1" customHeight="1" s="82">
      <c r="A149" s="122" t="n">
        <v>120</v>
      </c>
      <c r="B149" s="136" t="inlineStr">
        <is>
          <t>16.3.02.03-0004</t>
        </is>
      </c>
      <c r="C149" s="138" t="inlineStr">
        <is>
          <t>Удобрения сложно-смешанные гранулированные насыпью</t>
        </is>
      </c>
      <c r="D149" s="141" t="inlineStr">
        <is>
          <t>т</t>
        </is>
      </c>
      <c r="E149" s="139" t="n">
        <v>0.0197132</v>
      </c>
      <c r="F149" s="43" t="n">
        <v>1480</v>
      </c>
      <c r="G149" s="43">
        <f>ROUND(E149*F149,2)</f>
        <v/>
      </c>
      <c r="H149" s="40">
        <f>G149/G171</f>
        <v/>
      </c>
      <c r="I149" s="127">
        <f>ROUND(F149*Прил.10!$D$12,2)</f>
        <v/>
      </c>
      <c r="J149" s="127">
        <f>ROUND(E149*I149,2)</f>
        <v/>
      </c>
    </row>
    <row r="150" hidden="1" outlineLevel="1" ht="31.5" customFormat="1" customHeight="1" s="82">
      <c r="A150" s="122" t="n">
        <v>121</v>
      </c>
      <c r="B150" s="136" t="inlineStr">
        <is>
          <t>01.7.11.07-0032</t>
        </is>
      </c>
      <c r="C150" s="138" t="inlineStr">
        <is>
          <t>Электроды сварочные Э42, диаметр 4 мм</t>
        </is>
      </c>
      <c r="D150" s="141" t="inlineStr">
        <is>
          <t>т</t>
        </is>
      </c>
      <c r="E150" s="139" t="n">
        <v>0.002784</v>
      </c>
      <c r="F150" s="43" t="n">
        <v>10315.01</v>
      </c>
      <c r="G150" s="43">
        <f>ROUND(E150*F150,2)</f>
        <v/>
      </c>
      <c r="H150" s="40">
        <f>G150/G171</f>
        <v/>
      </c>
      <c r="I150" s="127">
        <f>ROUND(F150*Прил.10!$D$12,2)</f>
        <v/>
      </c>
      <c r="J150" s="127">
        <f>ROUND(E150*I150,2)</f>
        <v/>
      </c>
    </row>
    <row r="151" hidden="1" outlineLevel="1" ht="31.5" customFormat="1" customHeight="1" s="82">
      <c r="A151" s="122" t="n">
        <v>122</v>
      </c>
      <c r="B151" s="136" t="inlineStr">
        <is>
          <t>23.8.03.01-0002</t>
        </is>
      </c>
      <c r="C151" s="138" t="inlineStr">
        <is>
          <t>Заглушки инвентарные металлические</t>
        </is>
      </c>
      <c r="D151" s="141" t="inlineStr">
        <is>
          <t>т</t>
        </is>
      </c>
      <c r="E151" s="139" t="n">
        <v>0.003</v>
      </c>
      <c r="F151" s="43" t="n">
        <v>9200</v>
      </c>
      <c r="G151" s="43">
        <f>ROUND(E151*F151,2)</f>
        <v/>
      </c>
      <c r="H151" s="40">
        <f>G151/G171</f>
        <v/>
      </c>
      <c r="I151" s="127">
        <f>ROUND(F151*Прил.10!$D$12,2)</f>
        <v/>
      </c>
      <c r="J151" s="127">
        <f>ROUND(E151*I151,2)</f>
        <v/>
      </c>
    </row>
    <row r="152" hidden="1" outlineLevel="1" ht="15.75" customFormat="1" customHeight="1" s="82">
      <c r="A152" s="122" t="n">
        <v>123</v>
      </c>
      <c r="B152" s="136" t="inlineStr">
        <is>
          <t>14.4.01.08-0001</t>
        </is>
      </c>
      <c r="C152" s="138" t="inlineStr">
        <is>
          <t>Грунтовка В-КФ-093</t>
        </is>
      </c>
      <c r="D152" s="141" t="inlineStr">
        <is>
          <t>т</t>
        </is>
      </c>
      <c r="E152" s="139" t="n">
        <v>0.0007739999999999999</v>
      </c>
      <c r="F152" s="43" t="n">
        <v>35003</v>
      </c>
      <c r="G152" s="43">
        <f>ROUND(E152*F152,2)</f>
        <v/>
      </c>
      <c r="H152" s="40">
        <f>G152/G171</f>
        <v/>
      </c>
      <c r="I152" s="127">
        <f>ROUND(F152*Прил.10!$D$12,2)</f>
        <v/>
      </c>
      <c r="J152" s="127">
        <f>ROUND(E152*I152,2)</f>
        <v/>
      </c>
    </row>
    <row r="153" hidden="1" outlineLevel="1" ht="47.25" customFormat="1" customHeight="1" s="82">
      <c r="A153" s="122" t="n">
        <v>124</v>
      </c>
      <c r="B153" s="136" t="inlineStr">
        <is>
          <t>11.1.02.04-0031</t>
        </is>
      </c>
      <c r="C153" s="138" t="inlineStr">
        <is>
          <t>Лесоматериалы круглые, хвойных пород, для строительства, диаметр 14-24 см, длина 3-6,5 м</t>
        </is>
      </c>
      <c r="D153" s="141" t="inlineStr">
        <is>
          <t>м3</t>
        </is>
      </c>
      <c r="E153" s="139" t="n">
        <v>0.026</v>
      </c>
      <c r="F153" s="43" t="n">
        <v>558.33</v>
      </c>
      <c r="G153" s="43">
        <f>ROUND(E153*F153,2)</f>
        <v/>
      </c>
      <c r="H153" s="40">
        <f>G153/G171</f>
        <v/>
      </c>
      <c r="I153" s="127">
        <f>ROUND(F153*Прил.10!$D$12,2)</f>
        <v/>
      </c>
      <c r="J153" s="127">
        <f>ROUND(E153*I153,2)</f>
        <v/>
      </c>
    </row>
    <row r="154" hidden="1" outlineLevel="1" ht="47.25" customFormat="1" customHeight="1" s="82">
      <c r="A154" s="122" t="n">
        <v>125</v>
      </c>
      <c r="B154" s="136" t="inlineStr">
        <is>
          <t>11.1.03.01-0080</t>
        </is>
      </c>
      <c r="C154" s="138" t="inlineStr">
        <is>
          <t>Бруски обрезные, хвойных пород, длина 4-6,5 м, ширина 75-150 мм, толщина 40-75 мм, сорт IV</t>
        </is>
      </c>
      <c r="D154" s="141" t="inlineStr">
        <is>
          <t>м3</t>
        </is>
      </c>
      <c r="E154" s="139" t="n">
        <v>0.0129213</v>
      </c>
      <c r="F154" s="43" t="n">
        <v>1056</v>
      </c>
      <c r="G154" s="43">
        <f>ROUND(E154*F154,2)</f>
        <v/>
      </c>
      <c r="H154" s="40">
        <f>G154/G171</f>
        <v/>
      </c>
      <c r="I154" s="127">
        <f>ROUND(F154*Прил.10!$D$12,2)</f>
        <v/>
      </c>
      <c r="J154" s="127">
        <f>ROUND(E154*I154,2)</f>
        <v/>
      </c>
    </row>
    <row r="155" hidden="1" outlineLevel="1" ht="15.75" customFormat="1" customHeight="1" s="82">
      <c r="A155" s="122" t="n">
        <v>126</v>
      </c>
      <c r="B155" s="136" t="inlineStr">
        <is>
          <t>14.5.09.11-0102</t>
        </is>
      </c>
      <c r="C155" s="138" t="inlineStr">
        <is>
          <t>Уайт-спирит</t>
        </is>
      </c>
      <c r="D155" s="141" t="inlineStr">
        <is>
          <t>кг</t>
        </is>
      </c>
      <c r="E155" s="139" t="n">
        <v>2.0328</v>
      </c>
      <c r="F155" s="43" t="n">
        <v>6.67</v>
      </c>
      <c r="G155" s="43">
        <f>ROUND(E155*F155,2)</f>
        <v/>
      </c>
      <c r="H155" s="40">
        <f>G155/G171</f>
        <v/>
      </c>
      <c r="I155" s="127">
        <f>ROUND(F155*Прил.10!$D$12,2)</f>
        <v/>
      </c>
      <c r="J155" s="127">
        <f>ROUND(E155*I155,2)</f>
        <v/>
      </c>
    </row>
    <row r="156" hidden="1" outlineLevel="1" ht="78.75" customFormat="1" customHeight="1" s="82">
      <c r="A156" s="122" t="n">
        <v>127</v>
      </c>
      <c r="B156" s="136" t="inlineStr">
        <is>
          <t>23.8.04.12-0118</t>
        </is>
      </c>
      <c r="C156" s="138" t="inlineStr">
        <is>
          <t>Тройники равнопроходные, номинальное давление до 16 МПа, номинальный диаметр 80 мм, наружный диаметр и толщина стенки 89х3,5 мм</t>
        </is>
      </c>
      <c r="D156" s="141" t="inlineStr">
        <is>
          <t>шт</t>
        </is>
      </c>
      <c r="E156" s="139" t="n">
        <v>0.099</v>
      </c>
      <c r="F156" s="43" t="n">
        <v>133.37</v>
      </c>
      <c r="G156" s="43">
        <f>ROUND(E156*F156,2)</f>
        <v/>
      </c>
      <c r="H156" s="40">
        <f>G156/G171</f>
        <v/>
      </c>
      <c r="I156" s="127">
        <f>ROUND(F156*Прил.10!$D$12,2)</f>
        <v/>
      </c>
      <c r="J156" s="127">
        <f>ROUND(E156*I156,2)</f>
        <v/>
      </c>
    </row>
    <row r="157" hidden="1" outlineLevel="1" ht="78.75" customFormat="1" customHeight="1" s="82">
      <c r="A157" s="122" t="n">
        <v>128</v>
      </c>
      <c r="B157" s="136" t="inlineStr">
        <is>
          <t>23.8.04.06-0069</t>
        </is>
      </c>
      <c r="C157" s="138" t="inlineStr">
        <is>
          <t>Отвод крутоизогнутый, радиус кривизны 1,5 мм, номинальное давление до 16 МПа, номинальный диаметр 80 мм, наружный диаметр 89 мм, толщина стенки 3,5 мм</t>
        </is>
      </c>
      <c r="D157" s="141" t="inlineStr">
        <is>
          <t>шт</t>
        </is>
      </c>
      <c r="E157" s="139" t="n">
        <v>0.264</v>
      </c>
      <c r="F157" s="43" t="n">
        <v>42.35</v>
      </c>
      <c r="G157" s="43">
        <f>ROUND(E157*F157,2)</f>
        <v/>
      </c>
      <c r="H157" s="40">
        <f>G157/G171</f>
        <v/>
      </c>
      <c r="I157" s="127">
        <f>ROUND(F157*Прил.10!$D$12,2)</f>
        <v/>
      </c>
      <c r="J157" s="127">
        <f>ROUND(E157*I157,2)</f>
        <v/>
      </c>
    </row>
    <row r="158" hidden="1" outlineLevel="1" ht="15.75" customFormat="1" customHeight="1" s="82">
      <c r="A158" s="122" t="n">
        <v>129</v>
      </c>
      <c r="B158" s="136" t="inlineStr">
        <is>
          <t>18.4.01.08-0041</t>
        </is>
      </c>
      <c r="C158" s="138" t="inlineStr">
        <is>
          <t>Свеча вытяжная</t>
        </is>
      </c>
      <c r="D158" s="141" t="inlineStr">
        <is>
          <t>шт</t>
        </is>
      </c>
      <c r="E158" s="139" t="n">
        <v>0.33</v>
      </c>
      <c r="F158" s="43" t="n">
        <v>30</v>
      </c>
      <c r="G158" s="43">
        <f>ROUND(E158*F158,2)</f>
        <v/>
      </c>
      <c r="H158" s="40">
        <f>G158/G171</f>
        <v/>
      </c>
      <c r="I158" s="127">
        <f>ROUND(F158*Прил.10!$D$12,2)</f>
        <v/>
      </c>
      <c r="J158" s="127">
        <f>ROUND(E158*I158,2)</f>
        <v/>
      </c>
    </row>
    <row r="159" hidden="1" outlineLevel="1" ht="78.75" customFormat="1" customHeight="1" s="82">
      <c r="A159" s="122" t="n">
        <v>130</v>
      </c>
      <c r="B159" s="136" t="inlineStr">
        <is>
          <t>23.8.04.06-0064</t>
        </is>
      </c>
      <c r="C159" s="138" t="inlineStr">
        <is>
          <t>Отвод крутоизогнутый, радиус кривизны 1,5 мм, номинальное давление до 16 МПа, номинальный диаметр 50 мм, наружный диаметр 57 мм, толщина стенки 4 мм</t>
        </is>
      </c>
      <c r="D159" s="141" t="inlineStr">
        <is>
          <t>шт</t>
        </is>
      </c>
      <c r="E159" s="139" t="n">
        <v>0.33</v>
      </c>
      <c r="F159" s="43" t="n">
        <v>27.02</v>
      </c>
      <c r="G159" s="43">
        <f>ROUND(E159*F159,2)</f>
        <v/>
      </c>
      <c r="H159" s="40">
        <f>G159/G171</f>
        <v/>
      </c>
      <c r="I159" s="127">
        <f>ROUND(F159*Прил.10!$D$12,2)</f>
        <v/>
      </c>
      <c r="J159" s="127">
        <f>ROUND(E159*I159,2)</f>
        <v/>
      </c>
    </row>
    <row r="160" hidden="1" outlineLevel="1" ht="15.75" customFormat="1" customHeight="1" s="82">
      <c r="A160" s="122" t="n">
        <v>131</v>
      </c>
      <c r="B160" s="136" t="inlineStr">
        <is>
          <t>14.4.04.08-0003</t>
        </is>
      </c>
      <c r="C160" s="138" t="inlineStr">
        <is>
          <t>Эмаль ПФ-115, серая</t>
        </is>
      </c>
      <c r="D160" s="141" t="inlineStr">
        <is>
          <t>т</t>
        </is>
      </c>
      <c r="E160" s="139" t="n">
        <v>0.0002248</v>
      </c>
      <c r="F160" s="43" t="n">
        <v>14312.87</v>
      </c>
      <c r="G160" s="43">
        <f>ROUND(E160*F160,2)</f>
        <v/>
      </c>
      <c r="H160" s="40">
        <f>G160/G171</f>
        <v/>
      </c>
      <c r="I160" s="127">
        <f>ROUND(F160*Прил.10!$D$12,2)</f>
        <v/>
      </c>
      <c r="J160" s="127">
        <f>ROUND(E160*I160,2)</f>
        <v/>
      </c>
    </row>
    <row r="161" hidden="1" outlineLevel="1" ht="15.75" customFormat="1" customHeight="1" s="82">
      <c r="A161" s="122" t="n">
        <v>132</v>
      </c>
      <c r="B161" s="136" t="inlineStr">
        <is>
          <t>01.7.20.08-0021</t>
        </is>
      </c>
      <c r="C161" s="138" t="inlineStr">
        <is>
          <t>Брезент</t>
        </is>
      </c>
      <c r="D161" s="141" t="inlineStr">
        <is>
          <t>м2</t>
        </is>
      </c>
      <c r="E161" s="139" t="n">
        <v>0.078</v>
      </c>
      <c r="F161" s="43" t="n">
        <v>37.43</v>
      </c>
      <c r="G161" s="43">
        <f>ROUND(E161*F161,2)</f>
        <v/>
      </c>
      <c r="H161" s="40">
        <f>G161/G171</f>
        <v/>
      </c>
      <c r="I161" s="127">
        <f>ROUND(F161*Прил.10!$D$12,2)</f>
        <v/>
      </c>
      <c r="J161" s="127">
        <f>ROUND(E161*I161,2)</f>
        <v/>
      </c>
    </row>
    <row r="162" hidden="1" outlineLevel="1" ht="31.5" customFormat="1" customHeight="1" s="82">
      <c r="A162" s="122" t="n">
        <v>133</v>
      </c>
      <c r="B162" s="136" t="inlineStr">
        <is>
          <t>02.3.01.02-1012</t>
        </is>
      </c>
      <c r="C162" s="138" t="inlineStr">
        <is>
          <t>Песок природный II класс, средний, круглые сита</t>
        </is>
      </c>
      <c r="D162" s="141" t="inlineStr">
        <is>
          <t>м3</t>
        </is>
      </c>
      <c r="E162" s="139" t="n">
        <v>0.0462</v>
      </c>
      <c r="F162" s="43" t="n">
        <v>59.99</v>
      </c>
      <c r="G162" s="43">
        <f>ROUND(E162*F162,2)</f>
        <v/>
      </c>
      <c r="H162" s="40">
        <f>G162/G171</f>
        <v/>
      </c>
      <c r="I162" s="127">
        <f>ROUND(F162*Прил.10!$D$12,2)</f>
        <v/>
      </c>
      <c r="J162" s="127">
        <f>ROUND(E162*I162,2)</f>
        <v/>
      </c>
    </row>
    <row r="163" hidden="1" outlineLevel="1" ht="15.75" customFormat="1" customHeight="1" s="82">
      <c r="A163" s="122" t="n">
        <v>134</v>
      </c>
      <c r="B163" s="136" t="inlineStr">
        <is>
          <t>01.7.20.08-0162</t>
        </is>
      </c>
      <c r="C163" s="138" t="inlineStr">
        <is>
          <t>Ткань мешочная</t>
        </is>
      </c>
      <c r="D163" s="141" t="inlineStr">
        <is>
          <t>10 м2</t>
        </is>
      </c>
      <c r="E163" s="139" t="n">
        <v>0.01625</v>
      </c>
      <c r="F163" s="43" t="n">
        <v>84.75</v>
      </c>
      <c r="G163" s="43">
        <f>ROUND(E163*F163,2)</f>
        <v/>
      </c>
      <c r="H163" s="40">
        <f>G163/G171</f>
        <v/>
      </c>
      <c r="I163" s="127">
        <f>ROUND(F163*Прил.10!$D$12,2)</f>
        <v/>
      </c>
      <c r="J163" s="127">
        <f>ROUND(E163*I163,2)</f>
        <v/>
      </c>
    </row>
    <row r="164" hidden="1" outlineLevel="1" ht="47.25" customFormat="1" customHeight="1" s="82">
      <c r="A164" s="122" t="n">
        <v>135</v>
      </c>
      <c r="B164" s="136" t="inlineStr">
        <is>
          <t>999-9950</t>
        </is>
      </c>
      <c r="C164" s="138" t="inlineStr">
        <is>
          <t>Вспомогательные ненормируемые ресурсы (2% от Оплаты труда рабочих)</t>
        </is>
      </c>
      <c r="D164" s="141" t="inlineStr">
        <is>
          <t>руб</t>
        </is>
      </c>
      <c r="E164" s="139" t="n">
        <v>0.8316</v>
      </c>
      <c r="F164" s="43" t="n">
        <v>1</v>
      </c>
      <c r="G164" s="43">
        <f>ROUND(E164*F164,2)</f>
        <v/>
      </c>
      <c r="H164" s="40">
        <f>G164/G171</f>
        <v/>
      </c>
      <c r="I164" s="127">
        <f>ROUND(F164*Прил.10!$D$12,2)</f>
        <v/>
      </c>
      <c r="J164" s="127">
        <f>ROUND(E164*I164,2)</f>
        <v/>
      </c>
    </row>
    <row r="165" hidden="1" outlineLevel="1" ht="15.75" customFormat="1" customHeight="1" s="82">
      <c r="A165" s="122" t="n">
        <v>136</v>
      </c>
      <c r="B165" s="136" t="inlineStr">
        <is>
          <t>14.5.09.07-0031</t>
        </is>
      </c>
      <c r="C165" s="138" t="inlineStr">
        <is>
          <t>Растворитель Р-4А</t>
        </is>
      </c>
      <c r="D165" s="141" t="inlineStr">
        <is>
          <t>т</t>
        </is>
      </c>
      <c r="E165" s="139" t="n">
        <v>0.0001352</v>
      </c>
      <c r="F165" s="43" t="n">
        <v>5479.9</v>
      </c>
      <c r="G165" s="43">
        <f>ROUND(E165*F165,2)</f>
        <v/>
      </c>
      <c r="H165" s="40">
        <f>G165/G171</f>
        <v/>
      </c>
      <c r="I165" s="127">
        <f>ROUND(F165*Прил.10!$D$12,2)</f>
        <v/>
      </c>
      <c r="J165" s="127">
        <f>ROUND(E165*I165,2)</f>
        <v/>
      </c>
    </row>
    <row r="166" hidden="1" outlineLevel="1" ht="31.5" customFormat="1" customHeight="1" s="82">
      <c r="A166" s="122" t="n">
        <v>137</v>
      </c>
      <c r="B166" s="136" t="inlineStr">
        <is>
          <t>01.7.11.07-0034</t>
        </is>
      </c>
      <c r="C166" s="138" t="inlineStr">
        <is>
          <t>Электроды сварочные Э42А, диаметр 4 мм</t>
        </is>
      </c>
      <c r="D166" s="141" t="inlineStr">
        <is>
          <t>кг</t>
        </is>
      </c>
      <c r="E166" s="139" t="n">
        <v>0.0594</v>
      </c>
      <c r="F166" s="43" t="n">
        <v>10.57</v>
      </c>
      <c r="G166" s="43">
        <f>ROUND(E166*F166,2)</f>
        <v/>
      </c>
      <c r="H166" s="40">
        <f>G166/G171</f>
        <v/>
      </c>
      <c r="I166" s="127">
        <f>ROUND(F166*Прил.10!$D$12,2)</f>
        <v/>
      </c>
      <c r="J166" s="127">
        <f>ROUND(E166*I166,2)</f>
        <v/>
      </c>
    </row>
    <row r="167" hidden="1" outlineLevel="1" ht="15.75" customFormat="1" customHeight="1" s="82">
      <c r="A167" s="122" t="n">
        <v>138</v>
      </c>
      <c r="B167" s="136" t="inlineStr">
        <is>
          <t>01.7.20.08-0051</t>
        </is>
      </c>
      <c r="C167" s="138" t="inlineStr">
        <is>
          <t>Ветошь</t>
        </is>
      </c>
      <c r="D167" s="141" t="inlineStr">
        <is>
          <t>кг</t>
        </is>
      </c>
      <c r="E167" s="139" t="n">
        <v>0.31416</v>
      </c>
      <c r="F167" s="43" t="n">
        <v>1.82</v>
      </c>
      <c r="G167" s="43">
        <f>ROUND(E167*F167,2)</f>
        <v/>
      </c>
      <c r="H167" s="40">
        <f>G167/G171</f>
        <v/>
      </c>
      <c r="I167" s="127">
        <f>ROUND(F167*Прил.10!$D$12,2)</f>
        <v/>
      </c>
      <c r="J167" s="127">
        <f>ROUND(E167*I167,2)</f>
        <v/>
      </c>
    </row>
    <row r="168" hidden="1" outlineLevel="1" ht="15.75" customFormat="1" customHeight="1" s="82">
      <c r="A168" s="122" t="n">
        <v>139</v>
      </c>
      <c r="B168" s="136" t="inlineStr">
        <is>
          <t>14.4.04.09-0019</t>
        </is>
      </c>
      <c r="C168" s="138" t="inlineStr">
        <is>
          <t>Эмаль ХВ-125, серебристая</t>
        </is>
      </c>
      <c r="D168" s="141" t="inlineStr">
        <is>
          <t>т</t>
        </is>
      </c>
      <c r="E168" s="139" t="n">
        <v>1.65e-05</v>
      </c>
      <c r="F168" s="43" t="n">
        <v>18750</v>
      </c>
      <c r="G168" s="43">
        <f>ROUND(E168*F168,2)</f>
        <v/>
      </c>
      <c r="H168" s="40">
        <f>G168/G171</f>
        <v/>
      </c>
      <c r="I168" s="127">
        <f>ROUND(F168*Прил.10!$D$12,2)</f>
        <v/>
      </c>
      <c r="J168" s="127">
        <f>ROUND(E168*I168,2)</f>
        <v/>
      </c>
    </row>
    <row r="169" hidden="1" outlineLevel="1" ht="15.75" customFormat="1" customHeight="1" s="82">
      <c r="A169" s="122" t="n">
        <v>140</v>
      </c>
      <c r="B169" s="136" t="inlineStr">
        <is>
          <t>14.4.01.18-0002</t>
        </is>
      </c>
      <c r="C169" s="138" t="inlineStr">
        <is>
          <t>Грунтовка ФЛ-03К, коричневая</t>
        </is>
      </c>
      <c r="D169" s="141" t="inlineStr">
        <is>
          <t>т</t>
        </is>
      </c>
      <c r="E169" s="139" t="n">
        <v>9.9e-06</v>
      </c>
      <c r="F169" s="43" t="n">
        <v>29470.1</v>
      </c>
      <c r="G169" s="43">
        <f>ROUND(E169*F169,2)</f>
        <v/>
      </c>
      <c r="H169" s="40">
        <f>G169/G171</f>
        <v/>
      </c>
      <c r="I169" s="127">
        <f>ROUND(F169*Прил.10!$D$12,2)</f>
        <v/>
      </c>
      <c r="J169" s="127">
        <f>ROUND(E169*I169,2)</f>
        <v/>
      </c>
    </row>
    <row r="170" collapsed="1" ht="15.75" customFormat="1" customHeight="1" s="82">
      <c r="A170" s="122" t="n"/>
      <c r="B170" s="122" t="inlineStr">
        <is>
          <t>Итого прочие Материалы</t>
        </is>
      </c>
      <c r="C170" s="146" t="n"/>
      <c r="D170" s="146" t="n"/>
      <c r="E170" s="146" t="n"/>
      <c r="F170" s="147" t="n"/>
      <c r="G170" s="127">
        <f>SUM(G94:G169)</f>
        <v/>
      </c>
      <c r="H170" s="40">
        <f>SUM(H94:H169)</f>
        <v/>
      </c>
      <c r="I170" s="127" t="n"/>
      <c r="J170" s="127">
        <f>SUM(J94:J169)</f>
        <v/>
      </c>
    </row>
    <row r="171" ht="15.75" customFormat="1" customHeight="1" s="82">
      <c r="A171" s="122" t="n"/>
      <c r="B171" s="122" t="inlineStr">
        <is>
          <t>Итого по разделу "Материалы"</t>
        </is>
      </c>
      <c r="C171" s="146" t="n"/>
      <c r="D171" s="146" t="n"/>
      <c r="E171" s="146" t="n"/>
      <c r="F171" s="147" t="n"/>
      <c r="G171" s="127">
        <f>G93+G170</f>
        <v/>
      </c>
      <c r="H171" s="40">
        <f>H93+H170</f>
        <v/>
      </c>
      <c r="I171" s="127" t="n"/>
      <c r="J171" s="127">
        <f>J93+J170</f>
        <v/>
      </c>
    </row>
    <row r="172" ht="15.75" customFormat="1" customHeight="1" s="82">
      <c r="A172" s="123" t="n"/>
      <c r="B172" s="141" t="n"/>
      <c r="C172" s="138" t="inlineStr">
        <is>
          <t>ИТОГО ПО РМ</t>
        </is>
      </c>
      <c r="D172" s="141" t="n"/>
      <c r="E172" s="141" t="n"/>
      <c r="F172" s="140" t="n"/>
      <c r="G172" s="140">
        <f>+G14+G79+G171</f>
        <v/>
      </c>
      <c r="H172" s="34" t="n"/>
      <c r="I172" s="127" t="n"/>
      <c r="J172" s="140">
        <f>+J14+J79+J171</f>
        <v/>
      </c>
    </row>
    <row r="173" ht="15.75" customFormat="1" customHeight="1" s="82">
      <c r="A173" s="123" t="n"/>
      <c r="B173" s="141" t="n"/>
      <c r="C173" s="138" t="inlineStr">
        <is>
          <t>Накладные расходы</t>
        </is>
      </c>
      <c r="D173" s="35" t="n">
        <v>1.108611700768</v>
      </c>
      <c r="E173" s="141" t="n"/>
      <c r="F173" s="140" t="n"/>
      <c r="G173" s="140">
        <f>(G14+G16)*D173</f>
        <v/>
      </c>
      <c r="H173" s="34" t="n"/>
      <c r="I173" s="127" t="n"/>
      <c r="J173" s="127">
        <f>(J14+J16)*D173</f>
        <v/>
      </c>
    </row>
    <row r="174" ht="15.75" customFormat="1" customHeight="1" s="82">
      <c r="A174" s="123" t="n"/>
      <c r="B174" s="141" t="n"/>
      <c r="C174" s="138" t="inlineStr">
        <is>
          <t>Сметная прибыль</t>
        </is>
      </c>
      <c r="D174" s="35" t="n">
        <v>0.5967049949394</v>
      </c>
      <c r="E174" s="141" t="n"/>
      <c r="F174" s="140" t="n"/>
      <c r="G174" s="140">
        <f>(G14+G16)*D174</f>
        <v/>
      </c>
      <c r="H174" s="34" t="n"/>
      <c r="I174" s="127" t="n"/>
      <c r="J174" s="127">
        <f>(J14+J16)*D174</f>
        <v/>
      </c>
    </row>
    <row r="175" ht="15.75" customFormat="1" customHeight="1" s="82">
      <c r="A175" s="123" t="n"/>
      <c r="B175" s="141" t="n"/>
      <c r="C175" s="138" t="inlineStr">
        <is>
          <t>Итого СМР (с НР и СП)</t>
        </is>
      </c>
      <c r="D175" s="141" t="n"/>
      <c r="E175" s="141" t="n"/>
      <c r="F175" s="140" t="n"/>
      <c r="G175" s="140">
        <f>G172+G173+G174</f>
        <v/>
      </c>
      <c r="H175" s="34" t="n"/>
      <c r="I175" s="127" t="n"/>
      <c r="J175" s="140">
        <f>J172+J173+J174</f>
        <v/>
      </c>
    </row>
    <row r="176" ht="15.75" customFormat="1" customHeight="1" s="82">
      <c r="A176" s="123" t="n"/>
      <c r="B176" s="141" t="n"/>
      <c r="C176" s="138" t="inlineStr">
        <is>
          <t>ВСЕГО СМР + ОБОРУДОВАНИЕ</t>
        </is>
      </c>
      <c r="D176" s="141" t="n"/>
      <c r="E176" s="141" t="n"/>
      <c r="F176" s="140" t="n"/>
      <c r="G176" s="140">
        <f>G85+G175</f>
        <v/>
      </c>
      <c r="H176" s="34" t="n"/>
      <c r="I176" s="127" t="n"/>
      <c r="J176" s="127">
        <f>J85+J175</f>
        <v/>
      </c>
    </row>
    <row r="177" ht="15.75" customFormat="1" customHeight="1" s="82">
      <c r="A177" s="123" t="n"/>
      <c r="B177" s="141" t="n"/>
      <c r="C177" s="138" t="inlineStr">
        <is>
          <t>ИТОГО ПОКАЗАТЕЛЬ НА ЕД. ИЗМ.</t>
        </is>
      </c>
      <c r="D177" s="141" t="inlineStr">
        <is>
          <t>м</t>
        </is>
      </c>
      <c r="E177" s="141" t="n">
        <v>1</v>
      </c>
      <c r="F177" s="140" t="n"/>
      <c r="G177" s="140">
        <f>G176/E177</f>
        <v/>
      </c>
      <c r="H177" s="34" t="n"/>
      <c r="I177" s="127" t="n"/>
      <c r="J177" s="140">
        <f>J176/E177</f>
        <v/>
      </c>
    </row>
    <row r="178" ht="15.75" customFormat="1" customHeight="1" s="82">
      <c r="F178" s="46" t="n"/>
      <c r="G178" s="46" t="n"/>
      <c r="I178" s="46" t="n"/>
      <c r="J178" s="46" t="n"/>
    </row>
    <row r="179" ht="15.75" customFormat="1" customHeight="1" s="82">
      <c r="F179" s="46" t="n"/>
      <c r="G179" s="46" t="n"/>
      <c r="I179" s="46" t="n"/>
      <c r="J179" s="46" t="n"/>
    </row>
    <row r="180" ht="15.75" customFormat="1" customHeight="1" s="82">
      <c r="A180" s="19" t="n"/>
      <c r="B180" s="82" t="n"/>
      <c r="C180" s="82" t="n"/>
      <c r="D180" s="82" t="n"/>
      <c r="F180" s="46" t="n"/>
      <c r="G180" s="46" t="n"/>
      <c r="I180" s="46" t="n"/>
      <c r="J180" s="46" t="n"/>
    </row>
    <row r="181" ht="15.75" customFormat="1" customHeight="1" s="82">
      <c r="B181" s="82" t="inlineStr">
        <is>
          <t>Составил ______________________        М.С. Колотиевская</t>
        </is>
      </c>
      <c r="C181" s="82" t="n"/>
      <c r="D181" s="82" t="n"/>
      <c r="F181" s="46" t="n"/>
      <c r="G181" s="46" t="n"/>
      <c r="I181" s="46" t="n"/>
      <c r="J181" s="46" t="n"/>
    </row>
    <row r="182" ht="15.75" customFormat="1" customHeight="1" s="82">
      <c r="B182" s="19" t="inlineStr">
        <is>
          <t xml:space="preserve">                         (подпись, инициалы, фамилия)</t>
        </is>
      </c>
      <c r="C182" s="82" t="n"/>
      <c r="D182" s="82" t="n"/>
      <c r="F182" s="46" t="n"/>
      <c r="G182" s="46" t="n"/>
      <c r="I182" s="46" t="n"/>
      <c r="J182" s="46" t="n"/>
    </row>
    <row r="183" ht="15.75" customFormat="1" customHeight="1" s="82">
      <c r="A183" s="19" t="n"/>
      <c r="B183" s="82" t="n"/>
      <c r="C183" s="82" t="n"/>
      <c r="D183" s="82" t="n"/>
      <c r="F183" s="46" t="n"/>
      <c r="G183" s="46" t="n"/>
      <c r="I183" s="46" t="n"/>
      <c r="J183" s="46" t="n"/>
    </row>
    <row r="184" ht="15.75" customFormat="1" customHeight="1" s="82">
      <c r="B184" s="82" t="inlineStr">
        <is>
          <t>Проверил ______________________      А.В. Костянецкая</t>
        </is>
      </c>
      <c r="C184" s="82" t="n"/>
      <c r="D184" s="82" t="n"/>
      <c r="F184" s="46" t="n"/>
      <c r="G184" s="46" t="n"/>
      <c r="I184" s="46" t="n"/>
      <c r="J184" s="46" t="n"/>
    </row>
    <row r="185" ht="15.75" customHeight="1" s="80">
      <c r="B185" s="19" t="inlineStr">
        <is>
          <t xml:space="preserve">                        (подпись, инициалы, фамилия)</t>
        </is>
      </c>
      <c r="C185" s="82" t="n"/>
      <c r="D185" s="82" t="n"/>
    </row>
  </sheetData>
  <mergeCells count="28">
    <mergeCell ref="H9:H10"/>
    <mergeCell ref="B15:H15"/>
    <mergeCell ref="H2:J2"/>
    <mergeCell ref="B93:F93"/>
    <mergeCell ref="C9:C10"/>
    <mergeCell ref="E9:E10"/>
    <mergeCell ref="B170:F170"/>
    <mergeCell ref="B83:J83"/>
    <mergeCell ref="B9:B10"/>
    <mergeCell ref="D9:D10"/>
    <mergeCell ref="B80:J80"/>
    <mergeCell ref="B171:F171"/>
    <mergeCell ref="B18:H18"/>
    <mergeCell ref="B78:F78"/>
    <mergeCell ref="B12:H12"/>
    <mergeCell ref="D6:J6"/>
    <mergeCell ref="F9:G9"/>
    <mergeCell ref="A4:H4"/>
    <mergeCell ref="B81:J81"/>
    <mergeCell ref="B17:H17"/>
    <mergeCell ref="B88:H88"/>
    <mergeCell ref="A9:A10"/>
    <mergeCell ref="A6:C6"/>
    <mergeCell ref="B87:H87"/>
    <mergeCell ref="B79:F79"/>
    <mergeCell ref="A7:C7"/>
    <mergeCell ref="I9:J9"/>
    <mergeCell ref="B35:F35"/>
  </mergeCells>
  <conditionalFormatting sqref="E13:E184">
    <cfRule type="expression" priority="1" dxfId="0" stopIfTrue="1">
      <formula>E13&gt;=1/10000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161" min="0" max="9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Normal="100" zoomScaleSheetLayoutView="100" workbookViewId="0">
      <selection activeCell="C14" sqref="C14:C15"/>
    </sheetView>
  </sheetViews>
  <sheetFormatPr baseColWidth="8" defaultColWidth="9.140625" defaultRowHeight="15"/>
  <cols>
    <col width="5.7109375" customWidth="1" style="80" min="1" max="1"/>
    <col width="14.85546875" customWidth="1" style="80" min="2" max="2"/>
    <col width="39.140625" customWidth="1" style="80" min="3" max="3"/>
    <col width="8.28515625" customWidth="1" style="80" min="4" max="4"/>
    <col width="13.5703125" customWidth="1" style="80" min="5" max="5"/>
    <col width="12.42578125" customWidth="1" style="80" min="6" max="6"/>
    <col width="14.140625" customWidth="1" style="80" min="7" max="7"/>
  </cols>
  <sheetData>
    <row r="1" ht="15.75" customHeight="1" s="80">
      <c r="A1" s="128" t="inlineStr">
        <is>
          <t>Приложение №6</t>
        </is>
      </c>
    </row>
    <row r="2" ht="21.75" customHeight="1" s="80">
      <c r="A2" s="128" t="n"/>
      <c r="B2" s="128" t="n"/>
      <c r="C2" s="128" t="n"/>
      <c r="D2" s="128" t="n"/>
      <c r="E2" s="128" t="n"/>
      <c r="F2" s="128" t="n"/>
      <c r="G2" s="128" t="n"/>
    </row>
    <row r="3" ht="15.75" customHeight="1" s="80">
      <c r="A3" s="113" t="inlineStr">
        <is>
          <t>Расчет стоимости оборудования</t>
        </is>
      </c>
    </row>
    <row r="4" ht="25.5" customHeight="1" s="80">
      <c r="A4" s="129" t="inlineStr">
        <is>
          <t>Наименование разрабатываемого показателя УНЦ —  Ж4 Переустр. НП диам. 720 мм____коэф. 0,330_35 кВ</t>
        </is>
      </c>
    </row>
    <row r="5" ht="15.75" customHeight="1" s="80">
      <c r="A5" s="82" t="n"/>
      <c r="B5" s="82" t="n"/>
      <c r="C5" s="82" t="n"/>
      <c r="D5" s="82" t="n"/>
      <c r="E5" s="82" t="n"/>
      <c r="F5" s="82" t="n"/>
      <c r="G5" s="82" t="n"/>
    </row>
    <row r="6" ht="30" customFormat="1" customHeight="1" s="82">
      <c r="A6" s="141" t="inlineStr">
        <is>
          <t>№ пп.</t>
        </is>
      </c>
      <c r="B6" s="141" t="inlineStr">
        <is>
          <t>Код ресурса</t>
        </is>
      </c>
      <c r="C6" s="141" t="inlineStr">
        <is>
          <t>Наименование</t>
        </is>
      </c>
      <c r="D6" s="141" t="inlineStr">
        <is>
          <t>Ед. изм.</t>
        </is>
      </c>
      <c r="E6" s="117" t="inlineStr">
        <is>
          <t>Кол-во единиц по проектным данным</t>
        </is>
      </c>
      <c r="F6" s="141" t="inlineStr">
        <is>
          <t>Сметная стоимость в ценах на 01.01.2000 (руб.)</t>
        </is>
      </c>
      <c r="G6" s="147" t="n"/>
    </row>
    <row r="7" ht="15.75" customFormat="1" customHeight="1" s="82">
      <c r="A7" s="149" t="n"/>
      <c r="B7" s="149" t="n"/>
      <c r="C7" s="149" t="n"/>
      <c r="D7" s="149" t="n"/>
      <c r="E7" s="149" t="n"/>
      <c r="F7" s="117" t="inlineStr">
        <is>
          <t>на ед. изм.</t>
        </is>
      </c>
      <c r="G7" s="117" t="inlineStr">
        <is>
          <t>общая</t>
        </is>
      </c>
    </row>
    <row r="8" ht="15.75" customFormat="1" customHeight="1" s="82">
      <c r="A8" s="117" t="n">
        <v>1</v>
      </c>
      <c r="B8" s="117" t="n">
        <v>2</v>
      </c>
      <c r="C8" s="117" t="n">
        <v>3</v>
      </c>
      <c r="D8" s="117" t="n">
        <v>4</v>
      </c>
      <c r="E8" s="117" t="n">
        <v>5</v>
      </c>
      <c r="F8" s="117" t="n">
        <v>6</v>
      </c>
      <c r="G8" s="117" t="n">
        <v>7</v>
      </c>
    </row>
    <row r="9" ht="15.75" customFormat="1" customHeight="1" s="82">
      <c r="A9" s="123" t="n"/>
      <c r="B9" s="138" t="inlineStr">
        <is>
          <t>ИНЖЕНЕРНОЕ ОБОРУДОВАНИЕ</t>
        </is>
      </c>
      <c r="C9" s="146" t="n"/>
      <c r="D9" s="146" t="n"/>
      <c r="E9" s="146" t="n"/>
      <c r="F9" s="146" t="n"/>
      <c r="G9" s="147" t="n"/>
    </row>
    <row r="10" ht="31.5" customFormat="1" customHeight="1" s="82">
      <c r="A10" s="141" t="n"/>
      <c r="B10" s="48" t="n"/>
      <c r="C10" s="138" t="inlineStr">
        <is>
          <t>ИТОГО ИНЖЕНЕРНОЕ ОБОРУДОВАНИЕ</t>
        </is>
      </c>
      <c r="D10" s="48" t="n"/>
      <c r="E10" s="49" t="n"/>
      <c r="F10" s="140" t="n"/>
      <c r="G10" s="140" t="n">
        <v>0</v>
      </c>
    </row>
    <row r="11" ht="15.75" customFormat="1" customHeight="1" s="82">
      <c r="A11" s="141" t="n"/>
      <c r="B11" s="138" t="inlineStr">
        <is>
          <t>ТЕХНОЛОГИЧЕСКОЕ ОБОРУДОВАНИЕ</t>
        </is>
      </c>
      <c r="C11" s="146" t="n"/>
      <c r="D11" s="146" t="n"/>
      <c r="E11" s="146" t="n"/>
      <c r="F11" s="146" t="n"/>
      <c r="G11" s="147" t="n"/>
    </row>
    <row r="12" ht="31.5" customFormat="1" customHeight="1" s="82">
      <c r="A12" s="141" t="n"/>
      <c r="B12" s="138" t="n"/>
      <c r="C12" s="138" t="inlineStr">
        <is>
          <t>ИТОГО ТЕХНОЛОГИЧЕСКОЕ ОБОРУДОВАНИЕ</t>
        </is>
      </c>
      <c r="D12" s="138" t="n"/>
      <c r="E12" s="139" t="n"/>
      <c r="F12" s="140" t="n"/>
      <c r="G12" s="140" t="n">
        <v>0</v>
      </c>
    </row>
    <row r="13" ht="15.75" customFormat="1" customHeight="1" s="82">
      <c r="A13" s="141" t="n"/>
      <c r="B13" s="138" t="n"/>
      <c r="C13" s="138" t="inlineStr">
        <is>
          <t>Итого по разделу "Оборудование"</t>
        </is>
      </c>
      <c r="D13" s="138" t="n"/>
      <c r="E13" s="139" t="n"/>
      <c r="F13" s="140" t="n"/>
      <c r="G13" s="140" t="n">
        <v>0</v>
      </c>
    </row>
    <row r="14" ht="15.75" customFormat="1" customHeight="1" s="82">
      <c r="A14" s="82" t="n"/>
      <c r="B14" s="82" t="n"/>
      <c r="C14" s="82" t="n"/>
    </row>
    <row r="15" ht="15.75" customFormat="1" customHeight="1" s="82">
      <c r="A15" s="82" t="inlineStr">
        <is>
          <t>Составил ______________________        М.С. Колотиевская</t>
        </is>
      </c>
      <c r="B15" s="82" t="n"/>
      <c r="C15" s="82" t="n"/>
    </row>
    <row r="16" ht="15.75" customFormat="1" customHeight="1" s="82">
      <c r="A16" s="19" t="inlineStr">
        <is>
          <t xml:space="preserve">                         (подпись, инициалы, фамилия)</t>
        </is>
      </c>
      <c r="B16" s="82" t="n"/>
      <c r="C16" s="82" t="n"/>
    </row>
    <row r="17" ht="15.75" customFormat="1" customHeight="1" s="82">
      <c r="A17" s="82" t="n"/>
      <c r="B17" s="82" t="n"/>
      <c r="C17" s="82" t="n"/>
    </row>
    <row r="18" ht="15.75" customFormat="1" customHeight="1" s="82">
      <c r="A18" s="82" t="inlineStr">
        <is>
          <t>Проверил ______________________      А.В. Костянецкая</t>
        </is>
      </c>
      <c r="B18" s="82" t="n"/>
      <c r="C18" s="82" t="n"/>
    </row>
    <row r="19" ht="15.75" customFormat="1" customHeight="1" s="82">
      <c r="A19" s="19" t="inlineStr">
        <is>
          <t xml:space="preserve">                        (подпись, инициалы, фамилия)</t>
        </is>
      </c>
      <c r="B19" s="82" t="n"/>
      <c r="C19" s="82" t="n"/>
    </row>
    <row r="20" ht="15.75" customFormat="1" customHeight="1" s="82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0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zoomScale="130" zoomScaleSheetLayoutView="130" workbookViewId="0">
      <selection activeCell="B13" sqref="B13"/>
    </sheetView>
  </sheetViews>
  <sheetFormatPr baseColWidth="8" defaultColWidth="8.85546875" defaultRowHeight="15"/>
  <cols>
    <col width="14.42578125" customWidth="1" style="80" min="1" max="1"/>
    <col width="30" customWidth="1" style="80" min="2" max="2"/>
    <col width="31.28515625" customWidth="1" style="80" min="3" max="3"/>
    <col width="29.42578125" customWidth="1" style="80" min="4" max="4"/>
  </cols>
  <sheetData>
    <row r="1">
      <c r="B1" s="67" t="n"/>
      <c r="C1" s="67" t="n"/>
      <c r="D1" s="68" t="inlineStr">
        <is>
          <t>Приложение №7</t>
        </is>
      </c>
    </row>
    <row r="2">
      <c r="A2" s="68" t="n"/>
      <c r="B2" s="68" t="n"/>
      <c r="C2" s="68" t="n"/>
      <c r="D2" s="68" t="n"/>
    </row>
    <row r="3" ht="24.75" customHeight="1" s="80">
      <c r="A3" s="143" t="inlineStr">
        <is>
          <t>Расчет показателя УНЦ</t>
        </is>
      </c>
    </row>
    <row r="4" ht="24.75" customHeight="1" s="80">
      <c r="A4" s="143" t="n"/>
      <c r="B4" s="143" t="n"/>
      <c r="C4" s="143" t="n"/>
      <c r="D4" s="143" t="n"/>
    </row>
    <row r="5" ht="39.75" customHeight="1" s="80">
      <c r="A5" s="144" t="inlineStr">
        <is>
          <t xml:space="preserve">Наименование разрабатываемого показателя УНЦ - </t>
        </is>
      </c>
      <c r="D5" s="144">
        <f>'Прил.5 Расчет СМР и ОБ'!D6:J6</f>
        <v/>
      </c>
    </row>
    <row r="6" ht="19.9" customHeight="1" s="80">
      <c r="A6" s="144" t="inlineStr">
        <is>
          <t>Единица измерения  — 1 переход</t>
        </is>
      </c>
      <c r="D6" s="144" t="n"/>
    </row>
    <row r="7">
      <c r="A7" s="67" t="n"/>
      <c r="B7" s="67" t="n"/>
      <c r="C7" s="67" t="n"/>
      <c r="D7" s="67" t="n"/>
    </row>
    <row r="8" ht="14.45" customHeight="1" s="80">
      <c r="A8" s="117" t="inlineStr">
        <is>
          <t>Код показателя</t>
        </is>
      </c>
      <c r="B8" s="117" t="inlineStr">
        <is>
          <t>Наименование показателя</t>
        </is>
      </c>
      <c r="C8" s="117" t="inlineStr">
        <is>
          <t>Наименование РМ, входящих в состав показателя</t>
        </is>
      </c>
      <c r="D8" s="117" t="inlineStr">
        <is>
          <t>Норматив цены на 01.01.2023, тыс.руб.</t>
        </is>
      </c>
    </row>
    <row r="9" ht="15" customHeight="1" s="80">
      <c r="A9" s="149" t="n"/>
      <c r="B9" s="149" t="n"/>
      <c r="C9" s="149" t="n"/>
      <c r="D9" s="149" t="n"/>
    </row>
    <row r="10">
      <c r="A10" s="71" t="n">
        <v>1</v>
      </c>
      <c r="B10" s="71" t="n">
        <v>2</v>
      </c>
      <c r="C10" s="71" t="n">
        <v>3</v>
      </c>
      <c r="D10" s="71" t="n">
        <v>4</v>
      </c>
    </row>
    <row r="11" ht="41.45" customHeight="1" s="80">
      <c r="A11" s="71" t="inlineStr">
        <is>
          <t>Ж4-03-1</t>
        </is>
      </c>
      <c r="B11" s="72" t="inlineStr">
        <is>
          <t>УНЦ переустройства магистрального нефтепровода при переходе ВЛ</t>
        </is>
      </c>
      <c r="C11" s="73">
        <f>D5</f>
        <v/>
      </c>
      <c r="D11" s="74">
        <f>'Прил.4 РМ'!C41/1000</f>
        <v/>
      </c>
      <c r="E11" s="75" t="n"/>
    </row>
    <row r="12" ht="15.75" customHeight="1" s="80">
      <c r="A12" s="82" t="n"/>
      <c r="B12" s="82" t="n"/>
      <c r="C12" s="82" t="n"/>
      <c r="D12" s="76" t="n"/>
    </row>
    <row r="13" ht="15.75" customHeight="1" s="80">
      <c r="A13" s="82" t="inlineStr">
        <is>
          <t>Составил ______________________        М.С. Колотиевская</t>
        </is>
      </c>
      <c r="B13" s="82" t="n"/>
      <c r="C13" s="82" t="n"/>
      <c r="D13" s="76" t="n"/>
    </row>
    <row r="14" ht="15.75" customHeight="1" s="80">
      <c r="A14" s="19" t="inlineStr">
        <is>
          <t xml:space="preserve">                         (подпись, инициалы, фамилия)</t>
        </is>
      </c>
      <c r="B14" s="82" t="n"/>
      <c r="C14" s="82" t="n"/>
      <c r="D14" s="76" t="n"/>
    </row>
    <row r="15" ht="15.75" customHeight="1" s="80">
      <c r="A15" s="82" t="n"/>
      <c r="B15" s="82" t="n"/>
      <c r="C15" s="82" t="n"/>
      <c r="D15" s="76" t="n"/>
    </row>
    <row r="16" ht="15.75" customHeight="1" s="80">
      <c r="A16" s="82" t="inlineStr">
        <is>
          <t>Проверил ______________________      А.В. Костянецкая</t>
        </is>
      </c>
      <c r="B16" s="82" t="n"/>
      <c r="C16" s="82" t="n"/>
      <c r="D16" s="76" t="n"/>
    </row>
    <row r="17" ht="15.75" customHeight="1" s="80">
      <c r="A17" s="19" t="inlineStr">
        <is>
          <t xml:space="preserve">                        (подпись, инициалы, фамилия)</t>
        </is>
      </c>
      <c r="B17" s="82" t="n"/>
      <c r="C17" s="82" t="n"/>
      <c r="D17" s="7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3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tabSelected="1" view="pageBreakPreview" topLeftCell="A4" zoomScale="60" zoomScaleNormal="100" workbookViewId="0">
      <selection activeCell="B25" sqref="B25"/>
    </sheetView>
  </sheetViews>
  <sheetFormatPr baseColWidth="8" defaultRowHeight="15.75"/>
  <cols>
    <col width="9.140625" customWidth="1" style="82" min="1" max="1"/>
    <col width="40.7109375" customWidth="1" style="82" min="2" max="2"/>
    <col width="37" customWidth="1" style="82" min="3" max="3"/>
    <col width="32" customWidth="1" style="82" min="4" max="4"/>
    <col width="9.140625" customWidth="1" style="82" min="5" max="6"/>
  </cols>
  <sheetData>
    <row r="4" ht="15.75" customHeight="1" s="80">
      <c r="B4" s="112" t="inlineStr">
        <is>
          <t>Приложение № 10</t>
        </is>
      </c>
    </row>
    <row r="5" ht="18.75" customHeight="1" s="80">
      <c r="B5" s="112" t="n"/>
    </row>
    <row r="6" ht="15.75" customHeight="1" s="80">
      <c r="B6" s="113" t="inlineStr">
        <is>
          <t>Используемые индексы изменений сметной стоимости и нормы сопутствующих затрат</t>
        </is>
      </c>
    </row>
    <row r="7">
      <c r="B7" s="145" t="n"/>
    </row>
    <row r="8" ht="47.25" customHeight="1" s="80">
      <c r="B8" s="117" t="inlineStr">
        <is>
          <t>Наименование индекса / норм сопутствующих затрат</t>
        </is>
      </c>
      <c r="C8" s="117" t="inlineStr">
        <is>
          <t>Дата применения и обоснование индекса / норм сопутствующих затрат</t>
        </is>
      </c>
      <c r="D8" s="117" t="inlineStr">
        <is>
          <t>Размер индекса / норма сопутствующих затрат</t>
        </is>
      </c>
    </row>
    <row r="9" ht="15.75" customHeight="1" s="80">
      <c r="B9" s="117" t="n">
        <v>1</v>
      </c>
      <c r="C9" s="117" t="n">
        <v>2</v>
      </c>
      <c r="D9" s="117" t="n">
        <v>3</v>
      </c>
    </row>
    <row r="10" ht="37.5" customHeight="1" s="80">
      <c r="B10" s="117" t="inlineStr">
        <is>
          <t xml:space="preserve">Индекс изменения сметной стоимости на 1 квартал 2023 года. ОЗП </t>
        </is>
      </c>
      <c r="C10" s="117" t="inlineStr">
        <is>
          <t>Письмо Минстроя России от от 01.04.2023г. №17772-ИФ/09 прил.9</t>
        </is>
      </c>
      <c r="D10" s="117" t="n">
        <v>46.83</v>
      </c>
    </row>
    <row r="11" ht="31.5" customHeight="1" s="80">
      <c r="B11" s="117" t="inlineStr">
        <is>
          <t>Индекс изменения сметной стоимости на 1 квартал 2023 года. ЭМ</t>
        </is>
      </c>
      <c r="C11" s="117" t="inlineStr">
        <is>
          <t>Письмо Минстроя России от от 01.04.2023г. №17772-ИФ/09 прил.9</t>
        </is>
      </c>
      <c r="D11" s="117" t="n">
        <v>11.96</v>
      </c>
    </row>
    <row r="12" ht="31.5" customHeight="1" s="80">
      <c r="B12" s="117" t="inlineStr">
        <is>
          <t>Индекс изменения сметной стоимости на 1 квартал 2023 года. МАТ</t>
        </is>
      </c>
      <c r="C12" s="117" t="inlineStr">
        <is>
          <t>Письмо Минстроя России от от 01.04.2023г. №17772-ИФ/09 прил.9</t>
        </is>
      </c>
      <c r="D12" s="117" t="n">
        <v>9.84</v>
      </c>
    </row>
    <row r="13" ht="31.5" customHeight="1" s="80">
      <c r="B13" s="117" t="inlineStr">
        <is>
          <t>Индекс изменения сметной стоимости на 1 квартал 2023 года. ОБ</t>
        </is>
      </c>
      <c r="C13" s="10" t="inlineStr">
        <is>
          <t>Письмо Минстроя России от 23.02.2023г. №9791-ИФ/09 прил.6</t>
        </is>
      </c>
      <c r="D13" s="117" t="n">
        <v>6.26</v>
      </c>
    </row>
    <row r="14" ht="89.25" customHeight="1" s="80">
      <c r="B14" s="117" t="inlineStr">
        <is>
          <t>Временные здания и сооружения</t>
        </is>
      </c>
      <c r="C14" s="117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20" t="n">
        <v>0.033</v>
      </c>
    </row>
    <row r="15" ht="78.75" customHeight="1" s="80">
      <c r="B15" s="117" t="inlineStr">
        <is>
          <t>Дополнительные затраты при производстве строительно-монтажных работ в зимнее время</t>
        </is>
      </c>
      <c r="C15" s="117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20" t="n">
        <v>0.01</v>
      </c>
    </row>
    <row r="16" ht="36" customHeight="1" s="80">
      <c r="B16" s="117" t="inlineStr">
        <is>
          <t>Пусконаладочные работы</t>
        </is>
      </c>
      <c r="C16" s="117" t="n"/>
      <c r="D16" s="117" t="inlineStr">
        <is>
          <t>Расчёт</t>
        </is>
      </c>
    </row>
    <row r="17" ht="31.5" customHeight="1" s="80">
      <c r="B17" s="117" t="inlineStr">
        <is>
          <t>Строительный контроль</t>
        </is>
      </c>
      <c r="C17" s="117" t="inlineStr">
        <is>
          <t>Постановление Правительства РФ от 21.06.10 г. № 468</t>
        </is>
      </c>
      <c r="D17" s="20" t="n">
        <v>0.0214</v>
      </c>
    </row>
    <row r="18" ht="31.5" customHeight="1" s="80">
      <c r="B18" s="117" t="inlineStr">
        <is>
          <t>Авторский надзор</t>
        </is>
      </c>
      <c r="C18" s="117" t="inlineStr">
        <is>
          <t>Приказ от 4.08.2020 № 421/пр п.173</t>
        </is>
      </c>
      <c r="D18" s="20" t="n">
        <v>0.002</v>
      </c>
    </row>
    <row r="19" ht="24" customHeight="1" s="80">
      <c r="B19" s="117" t="inlineStr">
        <is>
          <t>Непредвиденные расходы</t>
        </is>
      </c>
      <c r="C19" s="117" t="inlineStr">
        <is>
          <t>Приказ от 4.08.2020 № 421/пр п.179</t>
        </is>
      </c>
      <c r="D19" s="20" t="n">
        <v>0.03</v>
      </c>
    </row>
    <row r="20" ht="18.75" customHeight="1" s="80">
      <c r="B20" s="111" t="n"/>
    </row>
    <row r="21" ht="18.75" customHeight="1" s="80">
      <c r="B21" s="111" t="n"/>
    </row>
    <row r="22" ht="18.75" customHeight="1" s="80">
      <c r="B22" s="111" t="n"/>
    </row>
    <row r="23" ht="18.75" customHeight="1" s="80">
      <c r="B23" s="111" t="n"/>
    </row>
    <row r="25">
      <c r="B25" s="82" t="n"/>
      <c r="C25" s="82" t="n"/>
      <c r="D25" s="82" t="n"/>
    </row>
    <row r="26">
      <c r="B26" s="82" t="inlineStr">
        <is>
          <t>Составил ______________________        М.С. Колотиевская</t>
        </is>
      </c>
      <c r="C26" s="82" t="n"/>
      <c r="D26" s="82" t="n"/>
    </row>
    <row r="27">
      <c r="B27" s="19" t="inlineStr">
        <is>
          <t xml:space="preserve">                         (подпись, инициалы, фамилия)</t>
        </is>
      </c>
      <c r="C27" s="82" t="n"/>
      <c r="D27" s="82" t="n"/>
    </row>
    <row r="28">
      <c r="B28" s="82" t="n"/>
      <c r="C28" s="82" t="n"/>
      <c r="D28" s="82" t="n"/>
    </row>
    <row r="29">
      <c r="B29" s="82" t="inlineStr">
        <is>
          <t>Проверил ______________________      А.В. Костянецкая</t>
        </is>
      </c>
      <c r="C29" s="82" t="n"/>
      <c r="D29" s="82" t="n"/>
    </row>
    <row r="30">
      <c r="B30" s="19" t="inlineStr">
        <is>
          <t xml:space="preserve">                        (подпись, инициалы, фамилия)</t>
        </is>
      </c>
      <c r="C30" s="82" t="n"/>
      <c r="D30" s="82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14" sqref="D14"/>
    </sheetView>
  </sheetViews>
  <sheetFormatPr baseColWidth="8" defaultColWidth="9.140625" defaultRowHeight="15"/>
  <cols>
    <col width="44.85546875" customWidth="1" style="80" min="2" max="2"/>
    <col width="13" customWidth="1" style="80" min="3" max="3"/>
    <col width="22.85546875" customWidth="1" style="80" min="4" max="4"/>
    <col width="21.5703125" customWidth="1" style="80" min="5" max="5"/>
    <col width="43.85546875" customWidth="1" style="80" min="6" max="6"/>
  </cols>
  <sheetData>
    <row r="1" s="80"/>
    <row r="2" ht="17.25" customHeight="1" s="80">
      <c r="A2" s="113" t="inlineStr">
        <is>
          <t>Расчет размера средств на оплату труда рабочих-строителей в текущем уровне цен (ФОТр.тек.)</t>
        </is>
      </c>
    </row>
    <row r="3" s="80"/>
    <row r="4" ht="18" customHeight="1" s="80">
      <c r="A4" s="81" t="inlineStr">
        <is>
          <t>Составлен в уровне цен на 01.01.2023 г.</t>
        </is>
      </c>
      <c r="B4" s="82" t="n"/>
      <c r="C4" s="82" t="n"/>
      <c r="D4" s="82" t="n"/>
      <c r="E4" s="82" t="n"/>
      <c r="F4" s="82" t="n"/>
      <c r="G4" s="82" t="n"/>
    </row>
    <row r="5" ht="15.75" customHeight="1" s="80">
      <c r="A5" s="83" t="inlineStr">
        <is>
          <t>№ пп.</t>
        </is>
      </c>
      <c r="B5" s="83" t="inlineStr">
        <is>
          <t>Наименование элемента</t>
        </is>
      </c>
      <c r="C5" s="83" t="inlineStr">
        <is>
          <t>Обозначение</t>
        </is>
      </c>
      <c r="D5" s="83" t="inlineStr">
        <is>
          <t>Формула</t>
        </is>
      </c>
      <c r="E5" s="83" t="inlineStr">
        <is>
          <t>Величина элемента</t>
        </is>
      </c>
      <c r="F5" s="83" t="inlineStr">
        <is>
          <t>Наименования обосновывающих документов</t>
        </is>
      </c>
      <c r="G5" s="82" t="n"/>
    </row>
    <row r="6" ht="15.75" customHeight="1" s="80">
      <c r="A6" s="83" t="n">
        <v>1</v>
      </c>
      <c r="B6" s="83" t="n">
        <v>2</v>
      </c>
      <c r="C6" s="83" t="n">
        <v>3</v>
      </c>
      <c r="D6" s="83" t="n">
        <v>4</v>
      </c>
      <c r="E6" s="83" t="n">
        <v>5</v>
      </c>
      <c r="F6" s="83" t="n">
        <v>6</v>
      </c>
      <c r="G6" s="82" t="n"/>
    </row>
    <row r="7" ht="110.25" customHeight="1" s="80">
      <c r="A7" s="84" t="inlineStr">
        <is>
          <t>1.1</t>
        </is>
      </c>
      <c r="B7" s="8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17" t="inlineStr">
        <is>
          <t>С1ср</t>
        </is>
      </c>
      <c r="D7" s="117" t="inlineStr">
        <is>
          <t>-</t>
        </is>
      </c>
      <c r="E7" s="87" t="n">
        <v>47872.94</v>
      </c>
      <c r="F7" s="8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82" t="n"/>
    </row>
    <row r="8" ht="31.5" customHeight="1" s="80">
      <c r="A8" s="84" t="inlineStr">
        <is>
          <t>1.2</t>
        </is>
      </c>
      <c r="B8" s="89" t="inlineStr">
        <is>
          <t>Среднегодовое нормативное число часов работы одного рабочего в месяц, часы (ч.)</t>
        </is>
      </c>
      <c r="C8" s="117" t="inlineStr">
        <is>
          <t>tср</t>
        </is>
      </c>
      <c r="D8" s="117" t="inlineStr">
        <is>
          <t>1973ч/12мес.</t>
        </is>
      </c>
      <c r="E8" s="88">
        <f>1973/12</f>
        <v/>
      </c>
      <c r="F8" s="89" t="inlineStr">
        <is>
          <t>Производственный календарь 2023 год
(40-часов.неделя)</t>
        </is>
      </c>
      <c r="G8" s="91" t="n"/>
    </row>
    <row r="9" ht="15.75" customHeight="1" s="80">
      <c r="A9" s="84" t="inlineStr">
        <is>
          <t>1.3</t>
        </is>
      </c>
      <c r="B9" s="89" t="inlineStr">
        <is>
          <t>Коэффициент увеличения</t>
        </is>
      </c>
      <c r="C9" s="117" t="inlineStr">
        <is>
          <t>Кув</t>
        </is>
      </c>
      <c r="D9" s="117" t="inlineStr">
        <is>
          <t>-</t>
        </is>
      </c>
      <c r="E9" s="88" t="n">
        <v>1</v>
      </c>
      <c r="F9" s="89" t="n"/>
      <c r="G9" s="91" t="n"/>
    </row>
    <row r="10" ht="15.75" customHeight="1" s="80">
      <c r="A10" s="84" t="inlineStr">
        <is>
          <t>1.4</t>
        </is>
      </c>
      <c r="B10" s="89" t="inlineStr">
        <is>
          <t>Средний разряд работ</t>
        </is>
      </c>
      <c r="C10" s="117" t="n"/>
      <c r="D10" s="117" t="n"/>
      <c r="E10" s="92" t="n">
        <v>3.4</v>
      </c>
      <c r="F10" s="89" t="inlineStr">
        <is>
          <t>РТМ</t>
        </is>
      </c>
      <c r="G10" s="91" t="n"/>
    </row>
    <row r="11" ht="78.75" customHeight="1" s="80">
      <c r="A11" s="84" t="inlineStr">
        <is>
          <t>1.5</t>
        </is>
      </c>
      <c r="B11" s="89" t="inlineStr">
        <is>
          <t>Тарифный коэффициент среднего разряда работ</t>
        </is>
      </c>
      <c r="C11" s="117" t="inlineStr">
        <is>
          <t>КТ</t>
        </is>
      </c>
      <c r="D11" s="117" t="inlineStr">
        <is>
          <t>-</t>
        </is>
      </c>
      <c r="E11" s="93" t="n">
        <v>1.247</v>
      </c>
      <c r="F11" s="8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82" t="n"/>
    </row>
    <row r="12" ht="78.75" customHeight="1" s="80">
      <c r="A12" s="84" t="inlineStr">
        <is>
          <t>1.6</t>
        </is>
      </c>
      <c r="B12" s="132" t="inlineStr">
        <is>
          <t>Коэффициент инфляции, определяемый поквартально</t>
        </is>
      </c>
      <c r="C12" s="117" t="inlineStr">
        <is>
          <t>Кинф</t>
        </is>
      </c>
      <c r="D12" s="117" t="inlineStr">
        <is>
          <t>-</t>
        </is>
      </c>
      <c r="E12" s="95" t="n">
        <v>1.139</v>
      </c>
      <c r="F12" s="13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91" t="n"/>
    </row>
    <row r="13" ht="63" customHeight="1" s="80">
      <c r="A13" s="97" t="inlineStr">
        <is>
          <t>1.7</t>
        </is>
      </c>
      <c r="B13" s="98" t="inlineStr">
        <is>
          <t>Размер средств на оплату труда рабочих-строителей в текущем уровне цен (ФОТр.тек.), руб/чел.-ч</t>
        </is>
      </c>
      <c r="C13" s="118" t="inlineStr">
        <is>
          <t>ФОТр.тек.</t>
        </is>
      </c>
      <c r="D13" s="118" t="inlineStr">
        <is>
          <t>(С1ср/tср*КТ*Т*Кув)*Кинф</t>
        </is>
      </c>
      <c r="E13" s="100">
        <f>((E7*E9/E8)*E11)*E12</f>
        <v/>
      </c>
      <c r="F13" s="10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82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PEV</dc:creator>
  <dcterms:created xsi:type="dcterms:W3CDTF">2023-08-21T11:52:22Z</dcterms:created>
  <dcterms:modified xsi:type="dcterms:W3CDTF">2025-01-24T11:56:18Z</dcterms:modified>
  <cp:lastModifiedBy>Nikolay Ivanov</cp:lastModifiedBy>
  <cp:lastPrinted>2023-12-04T08:39:14Z</cp:lastPrinted>
</cp:coreProperties>
</file>