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ОБ'!$A$1:$J$203</definedName>
    <definedName name="_xlnm.Print_Area" localSheetId="5">'Прил.6 Расчет ОБ'!$A$1:$G$56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vertical="top"/>
    </xf>
    <xf numFmtId="4" fontId="16" fillId="0" borderId="1" applyAlignment="1" pivotButton="0" quotePrefix="0" xfId="0">
      <alignment vertical="top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10" fontId="16" fillId="0" borderId="0" pivotButton="0" quotePrefix="0" xfId="0"/>
    <xf numFmtId="1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170" fontId="16" fillId="0" borderId="0" pivotButton="0" quotePrefix="0" xfId="0"/>
    <xf numFmtId="0" fontId="16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6" fillId="0" borderId="0" pivotButton="0" quotePrefix="0" xfId="0"/>
    <xf numFmtId="167" fontId="16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7" fontId="1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4" fontId="4" fillId="0" borderId="0" pivotButton="0" quotePrefix="0" xfId="0"/>
    <xf numFmtId="0" fontId="16" fillId="0" borderId="0" applyAlignment="1" pivotButton="0" quotePrefix="0" xfId="0">
      <alignment horizontal="right"/>
    </xf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6" applyAlignment="1" pivotButton="0" quotePrefix="0" xfId="0">
      <alignment horizontal="right" vertical="center" wrapText="1"/>
    </xf>
    <xf numFmtId="0" fontId="18" fillId="0" borderId="7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top" wrapText="1"/>
    </xf>
    <xf numFmtId="0" fontId="16" fillId="0" borderId="8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top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16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REDMIBOOK/Desktop/&#1054;&#1090;&#1095;&#1077;&#1090;&#1099;&#1077;%20&#1090;&#1086;&#1084;&#1072;%20&#1055;&#1044;&#1060;/&#1056;&#1052;%20&#1041;&#1083;&#1086;&#1082;%202/&#1056;&#1052;/&#1047;1/&#1047;1_&#1055;&#1057;_&#1101;&#1083;&#1077;&#1082;&#1090;&#1088;&#1086;&#1087;&#1080;&#1090;&#1072;&#1085;&#1080;&#1077;_500_&#1082;&#104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 Расчет пок."/>
      <sheetName val="Прил.10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C41">
            <v>2662151.7099999995</v>
          </cell>
        </row>
      </sheetData>
      <sheetData sheetId="7">
        <row r="6">
          <cell r="D6" t="str">
            <v>Постоянная часть ПС, оборудование электропитания ПС 500 кВ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H32"/>
  <sheetViews>
    <sheetView view="pageBreakPreview" zoomScale="70" zoomScaleNormal="55" workbookViewId="0">
      <selection activeCell="G12" sqref="G12"/>
    </sheetView>
  </sheetViews>
  <sheetFormatPr baseColWidth="8" defaultColWidth="9.140625" defaultRowHeight="15.75"/>
  <cols>
    <col width="9.140625" customWidth="1" style="114" min="1" max="2"/>
    <col width="36.85546875" customWidth="1" style="114" min="3" max="3"/>
    <col width="36.5703125" customWidth="1" style="114" min="4" max="5"/>
    <col width="13.28515625" customWidth="1" style="114" min="6" max="6"/>
    <col width="13.140625" customWidth="1" style="114" min="7" max="7"/>
    <col width="9.140625" customWidth="1" style="114" min="8" max="8"/>
  </cols>
  <sheetData>
    <row r="3">
      <c r="B3" s="208" t="inlineStr">
        <is>
          <t>Приложение № 1</t>
        </is>
      </c>
    </row>
    <row r="4">
      <c r="B4" s="209" t="inlineStr">
        <is>
          <t>Сравнительная таблица отбора объекта-представителя</t>
        </is>
      </c>
    </row>
    <row r="5">
      <c r="B5" s="151" t="n"/>
      <c r="C5" s="151" t="n"/>
      <c r="D5" s="151" t="n"/>
      <c r="E5" s="151" t="n"/>
    </row>
    <row r="6">
      <c r="B6" s="151" t="n"/>
      <c r="C6" s="151" t="n"/>
      <c r="D6" s="151" t="n"/>
      <c r="E6" s="151" t="n"/>
    </row>
    <row r="7">
      <c r="B7" s="210" t="inlineStr">
        <is>
          <t>Наименование разрабатываемого показателя УНЦ — Система газового пожаротушения.</t>
        </is>
      </c>
    </row>
    <row r="8" ht="31.5" customHeight="1">
      <c r="B8" s="210" t="inlineStr">
        <is>
          <t>Сопоставимый уровень цен: 4 кв 2018</t>
        </is>
      </c>
    </row>
    <row r="9">
      <c r="B9" s="210" t="inlineStr">
        <is>
          <t>Единица измерения  — 1 ед</t>
        </is>
      </c>
    </row>
    <row r="10">
      <c r="B10" s="210" t="n"/>
    </row>
    <row r="11">
      <c r="B11" s="216" t="inlineStr">
        <is>
          <t>№ п/п</t>
        </is>
      </c>
      <c r="C11" s="216" t="inlineStr">
        <is>
          <t>Параметр</t>
        </is>
      </c>
      <c r="D11" s="121" t="inlineStr">
        <is>
          <t>Объект-представитель 1</t>
        </is>
      </c>
      <c r="E11" s="121" t="inlineStr">
        <is>
          <t>Объект-представитель 2</t>
        </is>
      </c>
    </row>
    <row r="12" ht="291" customHeight="1">
      <c r="B12" s="216" t="n">
        <v>1</v>
      </c>
      <c r="C12" s="121" t="inlineStr">
        <is>
          <t>Наименование объекта-представителя</t>
        </is>
      </c>
      <c r="D12" s="121" t="inlineStr">
        <is>
          <t>Строительство ПС 330 кВ Ручей с заходами ВЛ 330 кВ. Корректировка.
(ОПУ с КРУЭ и ЗРУ 10 кВ)</t>
        </is>
      </c>
      <c r="E12" s="121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
(Здание СПЗ)</t>
        </is>
      </c>
    </row>
    <row r="13" ht="31.5" customHeight="1">
      <c r="B13" s="216" t="n">
        <v>2</v>
      </c>
      <c r="C13" s="121" t="inlineStr">
        <is>
          <t>Наименование субъекта Российской Федерации</t>
        </is>
      </c>
      <c r="D13" s="121" t="inlineStr">
        <is>
          <t>Новогородская область</t>
        </is>
      </c>
      <c r="E13" s="121" t="inlineStr">
        <is>
          <t>Брянская область</t>
        </is>
      </c>
    </row>
    <row r="14">
      <c r="B14" s="216" t="n">
        <v>3</v>
      </c>
      <c r="C14" s="121" t="inlineStr">
        <is>
          <t>Климатический район и подрайон</t>
        </is>
      </c>
      <c r="D14" s="121" t="inlineStr">
        <is>
          <t>IIВ</t>
        </is>
      </c>
      <c r="E14" s="121" t="inlineStr">
        <is>
          <t>IIIВ</t>
        </is>
      </c>
    </row>
    <row r="15">
      <c r="B15" s="216" t="n">
        <v>4</v>
      </c>
      <c r="C15" s="121" t="inlineStr">
        <is>
          <t>Мощность объекта</t>
        </is>
      </c>
      <c r="D15" s="117" t="n">
        <v>2</v>
      </c>
      <c r="E15" s="117" t="n">
        <v>1</v>
      </c>
    </row>
    <row r="16" ht="350.25" customHeight="1">
      <c r="B16" s="216" t="n">
        <v>5</v>
      </c>
      <c r="C16" s="15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1" t="inlineStr">
        <is>
      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      </is>
      </c>
      <c r="E16" s="121" t="inlineStr">
        <is>
          <t>б/у разводки:
АППКУП Посейдон-Н-Пт0-Е - 1 шт
АКБ 12В, 17 А/ч -20 шт
Пульт управления автоматики - 13 шт
Оповещатель световой - 42 шт
Извещатели -101 шт
Оповещатели звуковые - 14 шт 
АРМ - 1 компл
Модули газового пожаротушения (14/27/100 л) - 20 шт
Хладон 125 ХП - 422,5 кг
Реле давления сигнализации выпуска - 9 шт
Коллектор - 2 шт
Дыхательный аппарат - 2 шт
Кабель- 4232 м
Гибкие трубы ПВХ - 2495 м
Трубы стальные - 139 м</t>
        </is>
      </c>
    </row>
    <row r="17" ht="78.75" customHeight="1">
      <c r="B17" s="216" t="n">
        <v>6</v>
      </c>
      <c r="C17" s="15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>
        <f>SUM(D18:D21)</f>
        <v/>
      </c>
      <c r="E17" s="192">
        <f>SUM(E18:E21)</f>
        <v/>
      </c>
    </row>
    <row r="18">
      <c r="B18" s="193" t="inlineStr">
        <is>
          <t>6.1</t>
        </is>
      </c>
      <c r="C18" s="121" t="inlineStr">
        <is>
          <t>строительно-монтажные работы</t>
        </is>
      </c>
      <c r="D18" s="192">
        <f>'Прил.2 Расч стоим'!F14+'Прил.2 Расч стоим'!G14</f>
        <v/>
      </c>
      <c r="E18" s="192">
        <f>526.8872+1292.87872</f>
        <v/>
      </c>
    </row>
    <row r="19" ht="15.75" customHeight="1">
      <c r="B19" s="193" t="inlineStr">
        <is>
          <t>6.2</t>
        </is>
      </c>
      <c r="C19" s="121" t="inlineStr">
        <is>
          <t>оборудование и инвентарь</t>
        </is>
      </c>
      <c r="D19" s="192">
        <f>'Прил.2 Расч стоим'!H14</f>
        <v/>
      </c>
      <c r="E19" s="192" t="n">
        <v>10728.49428</v>
      </c>
    </row>
    <row r="20" ht="16.5" customHeight="1">
      <c r="B20" s="193" t="inlineStr">
        <is>
          <t>6.3</t>
        </is>
      </c>
      <c r="C20" s="121" t="inlineStr">
        <is>
          <t>пусконаладочные работы</t>
        </is>
      </c>
      <c r="D20" s="192" t="n"/>
      <c r="E20" s="192" t="n"/>
    </row>
    <row r="21" ht="35.25" customHeight="1">
      <c r="B21" s="193" t="inlineStr">
        <is>
          <t>6.4</t>
        </is>
      </c>
      <c r="C21" s="194" t="inlineStr">
        <is>
          <t>прочие и лимитированные затраты</t>
        </is>
      </c>
      <c r="D21" s="192">
        <f>D18*3.9%+(D18+D18*3.9%)*2.1%</f>
        <v/>
      </c>
      <c r="E21" s="192">
        <f>E18*3.9%+(E18+E18*3.9%)*2.1%*0.9</f>
        <v/>
      </c>
    </row>
    <row r="22">
      <c r="B22" s="216" t="n">
        <v>7</v>
      </c>
      <c r="C22" s="194" t="inlineStr">
        <is>
          <t>Сопоставимый уровень цен</t>
        </is>
      </c>
      <c r="D22" s="216" t="inlineStr">
        <is>
          <t>4 кв 2018</t>
        </is>
      </c>
      <c r="E22" s="216" t="inlineStr">
        <is>
          <t>4 кв 2018</t>
        </is>
      </c>
    </row>
    <row r="23" ht="123" customHeight="1">
      <c r="B23" s="216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>
        <f>(D18+D21)/6.51*8.38+D19/4.28*4.58+D20/4.28*20.23</f>
        <v/>
      </c>
      <c r="E23" s="192">
        <f>(E18+E21)/7.84*8.38+E19/4.58*4.58+E20/16.84*20.23</f>
        <v/>
      </c>
      <c r="F23" s="174" t="n"/>
    </row>
    <row r="24" ht="60.75" customHeight="1">
      <c r="B24" s="216" t="n">
        <v>9</v>
      </c>
      <c r="C24" s="154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E24" s="192">
        <f>E23/E15</f>
        <v/>
      </c>
      <c r="F24" s="174" t="n"/>
    </row>
    <row r="25" ht="164.25" customHeight="1">
      <c r="B25" s="216" t="n">
        <v>10</v>
      </c>
      <c r="C25" s="121" t="inlineStr">
        <is>
          <t>Примечание</t>
        </is>
      </c>
      <c r="D25" s="121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</t>
        </is>
      </c>
      <c r="E25" s="121" t="n"/>
      <c r="F25" s="174" t="n"/>
    </row>
    <row r="26">
      <c r="B26" s="196" t="n"/>
      <c r="C26" s="197" t="n"/>
      <c r="D26" s="197" t="n"/>
      <c r="E26" s="197" t="n"/>
    </row>
    <row r="27" ht="37.5" customHeight="1">
      <c r="B27" s="146" t="n"/>
    </row>
    <row r="28">
      <c r="B28" s="114" t="inlineStr">
        <is>
          <t>Составил ______________________        Д.Ю. Нефедова</t>
        </is>
      </c>
    </row>
    <row r="29">
      <c r="B29" s="146" t="inlineStr">
        <is>
          <t xml:space="preserve">                         (подпись, инициалы, фамилия)</t>
        </is>
      </c>
    </row>
    <row r="31">
      <c r="B31" s="114" t="inlineStr">
        <is>
          <t>Проверил ______________________        А.В. Костянецкая</t>
        </is>
      </c>
    </row>
    <row r="32">
      <c r="B32" s="146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49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35"/>
  <sheetViews>
    <sheetView view="pageBreakPreview" topLeftCell="A16" zoomScale="70" zoomScaleNormal="70" workbookViewId="0">
      <selection activeCell="E31" sqref="E31"/>
    </sheetView>
  </sheetViews>
  <sheetFormatPr baseColWidth="8" defaultColWidth="9.140625" defaultRowHeight="15.75"/>
  <cols>
    <col width="5.5703125" customWidth="1" style="114" min="1" max="1"/>
    <col width="9.140625" customWidth="1" style="114" min="2" max="2"/>
    <col width="48" customWidth="1" style="114" min="3" max="3"/>
    <col width="13.85546875" customWidth="1" style="114" min="4" max="4"/>
    <col width="24.85546875" customWidth="1" style="114" min="5" max="5"/>
    <col width="15.5703125" customWidth="1" style="114" min="6" max="6"/>
    <col width="14.85546875" customWidth="1" style="114" min="7" max="7"/>
    <col width="16.7109375" customWidth="1" style="114" min="8" max="8"/>
    <col width="13" customWidth="1" style="114" min="9" max="10"/>
    <col width="18" customWidth="1" style="114" min="11" max="11"/>
    <col width="9.140625" customWidth="1" style="114" min="12" max="12"/>
  </cols>
  <sheetData>
    <row r="3">
      <c r="B3" s="208" t="inlineStr">
        <is>
          <t>Приложение № 2</t>
        </is>
      </c>
      <c r="K3" s="146" t="n"/>
    </row>
    <row r="4">
      <c r="B4" s="209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15.75" customHeight="1">
      <c r="B6" s="215" t="inlineStr">
        <is>
          <t>Наименование разрабатываемого показателя УНЦ —  Система газового пожаротушения.</t>
        </is>
      </c>
      <c r="K6" s="146" t="n"/>
    </row>
    <row r="7">
      <c r="B7" s="210" t="inlineStr">
        <is>
          <t>Единица измерения  — 1 ед</t>
        </is>
      </c>
    </row>
    <row r="8">
      <c r="B8" s="210" t="n"/>
    </row>
    <row r="9" ht="15.75" customHeight="1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2 кв. 2017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143.45" customHeight="1">
      <c r="B12" s="217" t="n"/>
      <c r="C12" s="216" t="inlineStr">
        <is>
      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      </is>
      </c>
      <c r="D12" s="184" t="inlineStr">
        <is>
          <t>05-05-02</t>
        </is>
      </c>
      <c r="E12" s="216" t="inlineStr">
        <is>
          <t>Монтаж системы газового пожаротушения.
Здание ОПУ</t>
        </is>
      </c>
      <c r="F12" s="185">
        <f>694/1000*6.51</f>
        <v/>
      </c>
      <c r="G12" s="185">
        <f>130155/1000*6.51</f>
        <v/>
      </c>
      <c r="H12" s="185">
        <f>2129392/1000*4.28</f>
        <v/>
      </c>
      <c r="I12" s="186" t="n"/>
      <c r="J12" s="187">
        <f>SUM(F12:I12)</f>
        <v/>
      </c>
    </row>
    <row r="13" ht="105" customHeight="1">
      <c r="B13" s="307" t="n"/>
      <c r="C13" s="308" t="n"/>
      <c r="D13" s="184" t="inlineStr">
        <is>
          <t>05-06-03</t>
        </is>
      </c>
      <c r="E13" s="216" t="inlineStr">
        <is>
          <t>Система пожарной сигнализации и оповещения о пожаре</t>
        </is>
      </c>
      <c r="F13" s="185" t="n"/>
      <c r="G13" s="185">
        <f>(257683)/1000*6.51</f>
        <v/>
      </c>
      <c r="H13" s="185" t="n"/>
      <c r="I13" s="186" t="n"/>
      <c r="J13" s="187">
        <f>SUM(F13:I13)</f>
        <v/>
      </c>
    </row>
    <row r="14" ht="15.75" customHeight="1">
      <c r="B14" s="214" t="inlineStr">
        <is>
          <t>Всего по объекту:</t>
        </is>
      </c>
      <c r="C14" s="305" t="n"/>
      <c r="D14" s="305" t="n"/>
      <c r="E14" s="306" t="n"/>
      <c r="F14" s="188">
        <f>SUM(F12:F13)</f>
        <v/>
      </c>
      <c r="G14" s="188">
        <f>SUM(G12:G13)</f>
        <v/>
      </c>
      <c r="H14" s="188">
        <f>SUM(H12:H13)</f>
        <v/>
      </c>
      <c r="I14" s="199">
        <f>'Прил.1 Сравнит табл'!D21</f>
        <v/>
      </c>
      <c r="J14" s="189">
        <f>SUM(F14:I14)</f>
        <v/>
      </c>
    </row>
    <row r="15" ht="28.5" customHeight="1">
      <c r="B15" s="214" t="inlineStr">
        <is>
          <t>Всего по объекту в сопоставимом уровне цен 2 кв. 2017 г:</t>
        </is>
      </c>
      <c r="C15" s="305" t="n"/>
      <c r="D15" s="305" t="n"/>
      <c r="E15" s="306" t="n"/>
      <c r="F15" s="188">
        <f>F14</f>
        <v/>
      </c>
      <c r="G15" s="188">
        <f>G14</f>
        <v/>
      </c>
      <c r="H15" s="188">
        <f>H14</f>
        <v/>
      </c>
      <c r="I15" s="199">
        <f>I14</f>
        <v/>
      </c>
      <c r="J15" s="189">
        <f>SUM(F15:I15)</f>
        <v/>
      </c>
    </row>
    <row r="16">
      <c r="B16" s="210" t="n"/>
    </row>
    <row r="17">
      <c r="B17" s="216" t="inlineStr">
        <is>
          <t>№ п/п</t>
        </is>
      </c>
      <c r="C17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16" t="inlineStr">
        <is>
          <t>Объект-представитель 2</t>
        </is>
      </c>
      <c r="E17" s="305" t="n"/>
      <c r="F17" s="305" t="n"/>
      <c r="G17" s="305" t="n"/>
      <c r="H17" s="305" t="n"/>
      <c r="I17" s="305" t="n"/>
      <c r="J17" s="306" t="n"/>
    </row>
    <row r="18" ht="15.75" customHeight="1">
      <c r="B18" s="307" t="n"/>
      <c r="C18" s="307" t="n"/>
      <c r="D18" s="216" t="inlineStr">
        <is>
          <t>Номер сметы</t>
        </is>
      </c>
      <c r="E18" s="216" t="inlineStr">
        <is>
          <t>Наименование сметы</t>
        </is>
      </c>
      <c r="F18" s="216" t="inlineStr">
        <is>
          <t>Сметная стоимость в уровне цен 4 кв. 2018 г., тыс. руб.</t>
        </is>
      </c>
      <c r="G18" s="305" t="n"/>
      <c r="H18" s="305" t="n"/>
      <c r="I18" s="305" t="n"/>
      <c r="J18" s="306" t="n"/>
    </row>
    <row r="19" ht="31.5" customHeight="1">
      <c r="B19" s="308" t="n"/>
      <c r="C19" s="308" t="n"/>
      <c r="D19" s="308" t="n"/>
      <c r="E19" s="308" t="n"/>
      <c r="F19" s="216" t="inlineStr">
        <is>
          <t>Строительные работы</t>
        </is>
      </c>
      <c r="G19" s="216" t="inlineStr">
        <is>
          <t>Монтажные работы</t>
        </is>
      </c>
      <c r="H19" s="216" t="inlineStr">
        <is>
          <t>Оборудование</t>
        </is>
      </c>
      <c r="I19" s="216" t="inlineStr">
        <is>
          <t>Прочее</t>
        </is>
      </c>
      <c r="J19" s="216" t="inlineStr">
        <is>
          <t>Всего</t>
        </is>
      </c>
    </row>
    <row r="20" ht="68.25" customHeight="1">
      <c r="B20" s="115" t="n">
        <v>1</v>
      </c>
      <c r="C20" s="309" t="inlineStr">
        <is>
          <t>б/у разводки:
АППКУП Посейдон-Н-Пт0-Е - 1 шт
АКБ 12В, 17 А/ч -20 шт
Пульт управления автоматики - 13 шт
Оповещатель световой - 42 шт
Извещатели -101 шт
Оповещатели звуковые - 14 шт 
АРМ - 1 компл
Модули газового пожаротушения (14/27/100 л) - 20 шт
Хладон 125 ХП - 422,5 кг
Реле давления сигнализации выпуска - 9 шт
Коллектор - 2 шт
Дыхательный аппарат - 2 шт
Кабель- 4232 м
Гибкие трубы ПВХ - 2495 м
Трубы стальные - 139 м</t>
        </is>
      </c>
      <c r="D20" s="190" t="inlineStr">
        <is>
          <t>02-01-36</t>
        </is>
      </c>
      <c r="E20" s="121" t="inlineStr">
        <is>
          <t>Авт установка газового пожаротушения. ПС 500 кВ Белобережская</t>
        </is>
      </c>
      <c r="F20" s="185">
        <f>880/1000*7.84</f>
        <v/>
      </c>
      <c r="G20" s="185">
        <f>106996/1000*7.84</f>
        <v/>
      </c>
      <c r="H20" s="185">
        <f>398689/1000*4.58</f>
        <v/>
      </c>
      <c r="I20" s="186" t="n"/>
      <c r="J20" s="187">
        <f>SUM(F20:I20)</f>
        <v/>
      </c>
    </row>
    <row r="21" ht="60" customHeight="1">
      <c r="B21" s="307" t="n"/>
      <c r="C21" s="307" t="n"/>
      <c r="D21" s="190" t="inlineStr">
        <is>
          <t>02-01-37</t>
        </is>
      </c>
      <c r="E21" s="121" t="inlineStr">
        <is>
          <t xml:space="preserve">Станция газового пожаротушения. Здание СПЗ </t>
        </is>
      </c>
      <c r="F21" s="185">
        <f>52882/1000*7.84</f>
        <v/>
      </c>
      <c r="G21" s="185">
        <f>18762/1000*7.84</f>
        <v/>
      </c>
      <c r="H21" s="185">
        <f>1943777/1000*4.58</f>
        <v/>
      </c>
      <c r="I21" s="186" t="n"/>
      <c r="J21" s="187">
        <f>SUM(F21:I21)</f>
        <v/>
      </c>
    </row>
    <row r="22" ht="203.25" customHeight="1">
      <c r="B22" s="308" t="n"/>
      <c r="C22" s="308" t="n"/>
      <c r="D22" s="190" t="inlineStr">
        <is>
          <t>02-01-38</t>
        </is>
      </c>
      <c r="E22" s="121" t="inlineStr">
        <is>
          <t>Разводка пожаротушения</t>
        </is>
      </c>
      <c r="F22" s="185">
        <f>13443/1000*7.84</f>
        <v/>
      </c>
      <c r="G22" s="185">
        <f>39150/1000*7.84</f>
        <v/>
      </c>
      <c r="H22" s="186" t="n"/>
      <c r="I22" s="186" t="n"/>
      <c r="J22" s="187">
        <f>SUM(F22:I22)</f>
        <v/>
      </c>
    </row>
    <row r="23" ht="15.75" customHeight="1">
      <c r="B23" s="214" t="inlineStr">
        <is>
          <t>Всего по объекту:</t>
        </is>
      </c>
      <c r="C23" s="305" t="n"/>
      <c r="D23" s="305" t="n"/>
      <c r="E23" s="306" t="n"/>
      <c r="F23" s="188">
        <f>SUM(F20:F22)</f>
        <v/>
      </c>
      <c r="G23" s="188">
        <f>SUM(G20:G22)</f>
        <v/>
      </c>
      <c r="H23" s="188">
        <f>SUM(H20:H22)</f>
        <v/>
      </c>
      <c r="I23" s="123" t="n"/>
      <c r="J23" s="189">
        <f>SUM(F23:I23)</f>
        <v/>
      </c>
    </row>
    <row r="24" ht="28.5" customHeight="1">
      <c r="B24" s="214" t="inlineStr">
        <is>
          <t>Всего по объекту в сопоставимом уровне цен 4 кв. 2018 г:</t>
        </is>
      </c>
      <c r="C24" s="305" t="n"/>
      <c r="D24" s="305" t="n"/>
      <c r="E24" s="306" t="n"/>
      <c r="F24" s="188">
        <f>F23</f>
        <v/>
      </c>
      <c r="G24" s="188">
        <f>G23</f>
        <v/>
      </c>
      <c r="H24" s="188">
        <f>H23</f>
        <v/>
      </c>
      <c r="I24" s="123" t="n"/>
      <c r="J24" s="189">
        <f>SUM(F24:I24)</f>
        <v/>
      </c>
      <c r="K24" s="191" t="n"/>
    </row>
    <row r="27">
      <c r="B27" s="247" t="inlineStr">
        <is>
          <t>*</t>
        </is>
      </c>
      <c r="C27" s="114" t="inlineStr">
        <is>
          <t xml:space="preserve"> - стоимость с учетом исключения затрат на корректровку по транспортировке  свыше 30 км.</t>
        </is>
      </c>
    </row>
    <row r="31">
      <c r="B31" s="114" t="inlineStr">
        <is>
          <t>Составил ______________________        Д.Ю. Нефедова</t>
        </is>
      </c>
    </row>
    <row r="32">
      <c r="B32" s="146" t="inlineStr">
        <is>
          <t xml:space="preserve">                         (подпись, инициалы, фамилия)</t>
        </is>
      </c>
    </row>
    <row r="34">
      <c r="B34" s="114" t="inlineStr">
        <is>
          <t>Проверил ______________________        А.В. Костянецкая</t>
        </is>
      </c>
    </row>
    <row r="35">
      <c r="B35" s="146" t="inlineStr">
        <is>
          <t xml:space="preserve">                        (подпись, инициалы, фамилия)</t>
        </is>
      </c>
    </row>
  </sheetData>
  <mergeCells count="24">
    <mergeCell ref="D9:J9"/>
    <mergeCell ref="B12:B13"/>
    <mergeCell ref="F10:J10"/>
    <mergeCell ref="C17:C19"/>
    <mergeCell ref="B15:E15"/>
    <mergeCell ref="B24:E24"/>
    <mergeCell ref="E10:E11"/>
    <mergeCell ref="B4:K4"/>
    <mergeCell ref="B20:B22"/>
    <mergeCell ref="C12:C13"/>
    <mergeCell ref="F18:J18"/>
    <mergeCell ref="B7:K7"/>
    <mergeCell ref="B6:J6"/>
    <mergeCell ref="D18:D19"/>
    <mergeCell ref="C20:C22"/>
    <mergeCell ref="B14:E14"/>
    <mergeCell ref="B23:E23"/>
    <mergeCell ref="B17:B19"/>
    <mergeCell ref="B3:J3"/>
    <mergeCell ref="D10:D11"/>
    <mergeCell ref="D17:J17"/>
    <mergeCell ref="E18:E19"/>
    <mergeCell ref="B9:B11"/>
    <mergeCell ref="C9:C11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4:L178"/>
  <sheetViews>
    <sheetView view="pageBreakPreview" topLeftCell="A160" zoomScale="70" workbookViewId="0">
      <selection activeCell="D181" sqref="D181"/>
    </sheetView>
  </sheetViews>
  <sheetFormatPr baseColWidth="8" defaultColWidth="9.140625" defaultRowHeight="15.75"/>
  <cols>
    <col width="9.140625" customWidth="1" style="114" min="1" max="1"/>
    <col width="12.5703125" customWidth="1" style="114" min="2" max="2"/>
    <col width="22.42578125" customWidth="1" style="114" min="3" max="3"/>
    <col width="49.7109375" customWidth="1" style="114" min="4" max="4"/>
    <col width="10.140625" customWidth="1" style="169" min="5" max="5"/>
    <col width="20.7109375" customWidth="1" style="114" min="6" max="6"/>
    <col width="16.140625" customWidth="1" style="114" min="7" max="7"/>
    <col width="16.7109375" customWidth="1" style="114" min="8" max="8"/>
    <col width="9.140625" customWidth="1" style="114" min="9" max="9"/>
  </cols>
  <sheetData>
    <row r="4">
      <c r="A4" s="208" t="inlineStr">
        <is>
          <t xml:space="preserve">Приложение № 3 </t>
        </is>
      </c>
    </row>
    <row r="5">
      <c r="A5" s="209" t="inlineStr">
        <is>
          <t>Объектная ресурсная ведомость</t>
        </is>
      </c>
    </row>
    <row r="6">
      <c r="A6" s="210" t="n"/>
    </row>
    <row r="7">
      <c r="A7" s="215" t="inlineStr">
        <is>
          <t>Наименование разрабатываемого показателя УНЦ - Система газового пожаротушения.</t>
        </is>
      </c>
    </row>
    <row r="8">
      <c r="A8" s="215" t="n"/>
      <c r="B8" s="215" t="n"/>
      <c r="C8" s="215" t="n"/>
      <c r="D8" s="215" t="n"/>
      <c r="E8" s="151" t="n"/>
      <c r="F8" s="215" t="n"/>
      <c r="G8" s="215" t="n"/>
      <c r="H8" s="215" t="n"/>
    </row>
    <row r="9" ht="38.25" customHeight="1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306" t="n"/>
    </row>
    <row r="10" ht="40.5" customHeight="1">
      <c r="A10" s="308" t="n"/>
      <c r="B10" s="308" t="n"/>
      <c r="C10" s="308" t="n"/>
      <c r="D10" s="308" t="n"/>
      <c r="E10" s="308" t="n"/>
      <c r="F10" s="308" t="n"/>
      <c r="G10" s="216" t="inlineStr">
        <is>
          <t>на ед.изм.</t>
        </is>
      </c>
      <c r="H10" s="216" t="inlineStr">
        <is>
          <t>общая</t>
        </is>
      </c>
    </row>
    <row r="11">
      <c r="A11" s="218" t="n">
        <v>1</v>
      </c>
      <c r="B11" s="218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218" t="n">
        <v>6</v>
      </c>
      <c r="H11" s="218" t="n">
        <v>7</v>
      </c>
    </row>
    <row r="12" customFormat="1" s="166">
      <c r="A12" s="228" t="inlineStr">
        <is>
          <t>Затраты труда рабочих</t>
        </is>
      </c>
      <c r="B12" s="305" t="n"/>
      <c r="C12" s="305" t="n"/>
      <c r="D12" s="305" t="n"/>
      <c r="E12" s="306" t="n"/>
      <c r="F12" s="162">
        <f>SUM(F13:F21)</f>
        <v/>
      </c>
      <c r="G12" s="162" t="n"/>
      <c r="H12" s="162">
        <f>SUM(H13:H21)</f>
        <v/>
      </c>
    </row>
    <row r="13">
      <c r="A13" s="229" t="n">
        <v>1</v>
      </c>
      <c r="B13" s="167" t="inlineStr">
        <is>
          <t> </t>
        </is>
      </c>
      <c r="C13" s="155" t="inlineStr">
        <is>
          <t>1-4-0</t>
        </is>
      </c>
      <c r="D13" s="230" t="inlineStr">
        <is>
          <t>Затраты труда рабочих (ср 4)</t>
        </is>
      </c>
      <c r="E13" s="170" t="inlineStr">
        <is>
          <t>чел.-ч</t>
        </is>
      </c>
      <c r="F13" s="229" t="n">
        <v>1736.68985</v>
      </c>
      <c r="G13" s="158" t="n">
        <v>9.619999999999999</v>
      </c>
      <c r="H13" s="158">
        <f>ROUND(F13*G13,2)</f>
        <v/>
      </c>
      <c r="L13" s="168" t="n"/>
    </row>
    <row r="14">
      <c r="A14" s="229" t="n">
        <v>2</v>
      </c>
      <c r="B14" s="167" t="inlineStr">
        <is>
          <t> </t>
        </is>
      </c>
      <c r="C14" s="155" t="inlineStr">
        <is>
          <t>1-3-8</t>
        </is>
      </c>
      <c r="D14" s="230" t="inlineStr">
        <is>
          <t>Затраты труда рабочих (ср 3,8)</t>
        </is>
      </c>
      <c r="E14" s="170" t="inlineStr">
        <is>
          <t>чел.-ч</t>
        </is>
      </c>
      <c r="F14" s="229" t="n">
        <v>828.848</v>
      </c>
      <c r="G14" s="158" t="n">
        <v>9.4</v>
      </c>
      <c r="H14" s="158">
        <f>ROUND(F14*G14,2)</f>
        <v/>
      </c>
    </row>
    <row r="15">
      <c r="A15" s="229" t="n">
        <v>3</v>
      </c>
      <c r="B15" s="167" t="inlineStr">
        <is>
          <t> </t>
        </is>
      </c>
      <c r="C15" s="155" t="inlineStr">
        <is>
          <t>1-4-3</t>
        </is>
      </c>
      <c r="D15" s="230" t="inlineStr">
        <is>
          <t>Затраты труда рабочих (ср 4,3)</t>
        </is>
      </c>
      <c r="E15" s="170" t="inlineStr">
        <is>
          <t>чел.-ч</t>
        </is>
      </c>
      <c r="F15" s="229" t="n">
        <v>475.1</v>
      </c>
      <c r="G15" s="158" t="n">
        <v>10.06</v>
      </c>
      <c r="H15" s="158">
        <f>ROUND(F15*G15,2)</f>
        <v/>
      </c>
    </row>
    <row r="16">
      <c r="A16" s="229" t="n">
        <v>4</v>
      </c>
      <c r="B16" s="167" t="inlineStr">
        <is>
          <t> </t>
        </is>
      </c>
      <c r="C16" s="155" t="inlineStr">
        <is>
          <t>1-4-2</t>
        </is>
      </c>
      <c r="D16" s="230" t="inlineStr">
        <is>
          <t>Затраты труда рабочих (ср 4,2)</t>
        </is>
      </c>
      <c r="E16" s="170" t="inlineStr">
        <is>
          <t>чел.-ч</t>
        </is>
      </c>
      <c r="F16" s="229" t="n">
        <v>89.004</v>
      </c>
      <c r="G16" s="158" t="n">
        <v>9.92</v>
      </c>
      <c r="H16" s="158">
        <f>ROUND(F16*G16,2)</f>
        <v/>
      </c>
    </row>
    <row r="17">
      <c r="A17" s="229" t="n">
        <v>5</v>
      </c>
      <c r="B17" s="167" t="inlineStr">
        <is>
          <t> </t>
        </is>
      </c>
      <c r="C17" s="155" t="inlineStr">
        <is>
          <t>1-3-5</t>
        </is>
      </c>
      <c r="D17" s="230" t="inlineStr">
        <is>
          <t>Затраты труда рабочих (ср 3,5)</t>
        </is>
      </c>
      <c r="E17" s="170" t="inlineStr">
        <is>
          <t>чел.-ч</t>
        </is>
      </c>
      <c r="F17" s="229" t="n">
        <v>77.17709979999999</v>
      </c>
      <c r="G17" s="158" t="n">
        <v>9.07</v>
      </c>
      <c r="H17" s="158">
        <f>ROUND(F17*G17,2)</f>
        <v/>
      </c>
    </row>
    <row r="18">
      <c r="A18" s="229" t="n">
        <v>6</v>
      </c>
      <c r="B18" s="167" t="inlineStr">
        <is>
          <t> </t>
        </is>
      </c>
      <c r="C18" s="155" t="inlineStr">
        <is>
          <t>1-3-2</t>
        </is>
      </c>
      <c r="D18" s="230" t="inlineStr">
        <is>
          <t>Затраты труда рабочих (ср 3,2)</t>
        </is>
      </c>
      <c r="E18" s="170" t="inlineStr">
        <is>
          <t>чел.-ч</t>
        </is>
      </c>
      <c r="F18" s="229" t="n">
        <v>25.29</v>
      </c>
      <c r="G18" s="158" t="n">
        <v>8.74</v>
      </c>
      <c r="H18" s="158">
        <f>ROUND(F18*G18,2)</f>
        <v/>
      </c>
    </row>
    <row r="19">
      <c r="A19" s="229" t="n">
        <v>7</v>
      </c>
      <c r="B19" s="167" t="inlineStr">
        <is>
          <t> </t>
        </is>
      </c>
      <c r="C19" s="155" t="inlineStr">
        <is>
          <t>1-4-7</t>
        </is>
      </c>
      <c r="D19" s="230" t="inlineStr">
        <is>
          <t>Затраты труда рабочих (ср 4,7)</t>
        </is>
      </c>
      <c r="E19" s="170" t="inlineStr">
        <is>
          <t>чел.-ч</t>
        </is>
      </c>
      <c r="F19" s="229" t="n">
        <v>3.4888293</v>
      </c>
      <c r="G19" s="158" t="n">
        <v>10.65</v>
      </c>
      <c r="H19" s="158">
        <f>ROUND(F19*G19,2)</f>
        <v/>
      </c>
    </row>
    <row r="20">
      <c r="A20" s="229" t="n">
        <v>8</v>
      </c>
      <c r="B20" s="167" t="n"/>
      <c r="C20" s="155" t="inlineStr">
        <is>
          <t>1-4-5</t>
        </is>
      </c>
      <c r="D20" s="230" t="inlineStr">
        <is>
          <t>Затраты труда рабочих (ср 4,5)</t>
        </is>
      </c>
      <c r="E20" s="170" t="inlineStr">
        <is>
          <t>чел.-ч</t>
        </is>
      </c>
      <c r="F20" s="229" t="n">
        <v>3.3</v>
      </c>
      <c r="G20" s="158" t="n">
        <v>10.35</v>
      </c>
      <c r="H20" s="158">
        <f>ROUND(F20*G20,2)</f>
        <v/>
      </c>
    </row>
    <row r="21">
      <c r="A21" s="229" t="n">
        <v>9</v>
      </c>
      <c r="B21" s="167" t="n"/>
      <c r="C21" s="155" t="inlineStr">
        <is>
          <t>1-5-1</t>
        </is>
      </c>
      <c r="D21" s="230" t="inlineStr">
        <is>
          <t>Затраты труда рабочих (ср 5,1)</t>
        </is>
      </c>
      <c r="E21" s="170" t="inlineStr">
        <is>
          <t>чел.-ч</t>
        </is>
      </c>
      <c r="F21" s="229" t="n">
        <v>1.1988</v>
      </c>
      <c r="G21" s="158" t="n">
        <v>11.27</v>
      </c>
      <c r="H21" s="158">
        <f>ROUND(F21*G21,2)</f>
        <v/>
      </c>
    </row>
    <row r="22">
      <c r="A22" s="228" t="inlineStr">
        <is>
          <t>Затраты труда машинистов</t>
        </is>
      </c>
      <c r="B22" s="305" t="n"/>
      <c r="C22" s="305" t="n"/>
      <c r="D22" s="305" t="n"/>
      <c r="E22" s="306" t="n"/>
      <c r="F22" s="228">
        <f>F23</f>
        <v/>
      </c>
      <c r="G22" s="162" t="n"/>
      <c r="H22" s="162">
        <f>H23</f>
        <v/>
      </c>
    </row>
    <row r="23">
      <c r="A23" s="229" t="n">
        <v>10</v>
      </c>
      <c r="B23" s="229" t="inlineStr">
        <is>
          <t> </t>
        </is>
      </c>
      <c r="C23" s="230" t="n">
        <v>2</v>
      </c>
      <c r="D23" s="230" t="inlineStr">
        <is>
          <t>Затраты труда машинистов</t>
        </is>
      </c>
      <c r="E23" s="170" t="inlineStr">
        <is>
          <t>чел.-ч</t>
        </is>
      </c>
      <c r="F23" s="229" t="n">
        <v>128.6302805</v>
      </c>
      <c r="G23" s="158" t="n">
        <v>0</v>
      </c>
      <c r="H23" s="158" t="n">
        <v>1505.3</v>
      </c>
    </row>
    <row r="24" customFormat="1" s="166">
      <c r="A24" s="228" t="inlineStr">
        <is>
          <t>Машины и механизмы</t>
        </is>
      </c>
      <c r="B24" s="305" t="n"/>
      <c r="C24" s="305" t="n"/>
      <c r="D24" s="305" t="n"/>
      <c r="E24" s="306" t="n"/>
      <c r="F24" s="228" t="n"/>
      <c r="G24" s="162" t="n"/>
      <c r="H24" s="162">
        <f>SUM(H25:H45)</f>
        <v/>
      </c>
    </row>
    <row r="25" ht="31.5" customHeight="1">
      <c r="A25" s="229" t="n">
        <v>11</v>
      </c>
      <c r="B25" s="229" t="inlineStr">
        <is>
          <t> </t>
        </is>
      </c>
      <c r="C25" s="230" t="inlineStr">
        <is>
          <t>91.06.03-058</t>
        </is>
      </c>
      <c r="D25" s="230" t="inlineStr">
        <is>
          <t>Лебедки электрические тяговым усилием 156,96 кН (16 т)</t>
        </is>
      </c>
      <c r="E25" s="170" t="inlineStr">
        <is>
          <t>маш.час</t>
        </is>
      </c>
      <c r="F25" s="229" t="n">
        <v>72.5</v>
      </c>
      <c r="G25" s="158" t="n">
        <v>131.44</v>
      </c>
      <c r="H25" s="158">
        <f>ROUND(F25*G25,2)</f>
        <v/>
      </c>
      <c r="J25" s="163" t="n"/>
    </row>
    <row r="26" ht="31.5" customFormat="1" customHeight="1" s="166">
      <c r="A26" s="229" t="n">
        <v>12</v>
      </c>
      <c r="B26" s="229" t="inlineStr">
        <is>
          <t> </t>
        </is>
      </c>
      <c r="C26" s="230" t="inlineStr">
        <is>
          <t>91.05.05-015</t>
        </is>
      </c>
      <c r="D26" s="230" t="inlineStr">
        <is>
          <t>Краны на автомобильном ходу, грузоподъемность 16 т</t>
        </is>
      </c>
      <c r="E26" s="170" t="inlineStr">
        <is>
          <t>маш.час</t>
        </is>
      </c>
      <c r="F26" s="229" t="n">
        <v>11.6417872</v>
      </c>
      <c r="G26" s="158" t="n">
        <v>115.4</v>
      </c>
      <c r="H26" s="158">
        <f>ROUND(F26*G26,2)</f>
        <v/>
      </c>
      <c r="J26" s="163" t="n"/>
    </row>
    <row r="27" ht="31.5" customFormat="1" customHeight="1" s="166">
      <c r="A27" s="229" t="n">
        <v>13</v>
      </c>
      <c r="B27" s="229" t="inlineStr">
        <is>
          <t> </t>
        </is>
      </c>
      <c r="C27" s="230" t="inlineStr">
        <is>
          <t>91.17.04-233</t>
        </is>
      </c>
      <c r="D27" s="230" t="inlineStr">
        <is>
          <t>Установки для сварки ручной дуговой (постоянного тока)</t>
        </is>
      </c>
      <c r="E27" s="170" t="inlineStr">
        <is>
          <t>маш.час</t>
        </is>
      </c>
      <c r="F27" s="229" t="n">
        <v>138.201031</v>
      </c>
      <c r="G27" s="158" t="n">
        <v>8.1</v>
      </c>
      <c r="H27" s="158">
        <f>ROUND(F27*G27,2)</f>
        <v/>
      </c>
      <c r="J27" s="163" t="n"/>
    </row>
    <row r="28" ht="31.5" customFormat="1" customHeight="1" s="166">
      <c r="A28" s="229" t="n">
        <v>14</v>
      </c>
      <c r="B28" s="229" t="inlineStr">
        <is>
          <t> </t>
        </is>
      </c>
      <c r="C28" s="230" t="inlineStr">
        <is>
          <t>91.14.02-001</t>
        </is>
      </c>
      <c r="D28" s="230" t="inlineStr">
        <is>
          <t>Автомобили бортовые, грузоподъемность до 5 т</t>
        </is>
      </c>
      <c r="E28" s="170" t="inlineStr">
        <is>
          <t>маш.час</t>
        </is>
      </c>
      <c r="F28" s="229" t="n">
        <v>14.2007841</v>
      </c>
      <c r="G28" s="158" t="n">
        <v>65.70999999999999</v>
      </c>
      <c r="H28" s="158">
        <f>ROUND(F28*G28,2)</f>
        <v/>
      </c>
      <c r="J28" s="163" t="n"/>
    </row>
    <row r="29" ht="31.5" customFormat="1" customHeight="1" s="166">
      <c r="A29" s="229" t="n">
        <v>15</v>
      </c>
      <c r="B29" s="229" t="inlineStr">
        <is>
          <t> </t>
        </is>
      </c>
      <c r="C29" s="230" t="inlineStr">
        <is>
          <t>91.05.04-006</t>
        </is>
      </c>
      <c r="D29" s="230" t="inlineStr">
        <is>
          <t>Краны мостовые электрические, грузоподъемность 10 т</t>
        </is>
      </c>
      <c r="E29" s="170" t="inlineStr">
        <is>
          <t>маш.час</t>
        </is>
      </c>
      <c r="F29" s="229" t="n">
        <v>10.18</v>
      </c>
      <c r="G29" s="158" t="n">
        <v>73.12</v>
      </c>
      <c r="H29" s="158">
        <f>ROUND(F29*G29,2)</f>
        <v/>
      </c>
      <c r="J29" s="163" t="n"/>
      <c r="K29" s="164" t="n"/>
    </row>
    <row r="30" ht="47.25" customFormat="1" customHeight="1" s="166">
      <c r="A30" s="229" t="n">
        <v>16</v>
      </c>
      <c r="B30" s="229" t="inlineStr">
        <is>
          <t> </t>
        </is>
      </c>
      <c r="C30" s="230" t="inlineStr">
        <is>
          <t>91.18.01-015</t>
        </is>
      </c>
      <c r="D30" s="230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E30" s="170" t="inlineStr">
        <is>
          <t>маш.час</t>
        </is>
      </c>
      <c r="F30" s="229" t="n">
        <v>6.2741875</v>
      </c>
      <c r="G30" s="158" t="n">
        <v>100</v>
      </c>
      <c r="H30" s="158">
        <f>ROUND(F30*G30,2)</f>
        <v/>
      </c>
      <c r="J30" s="163" t="n"/>
      <c r="K30" s="164" t="n"/>
    </row>
    <row r="31" customFormat="1" s="166">
      <c r="A31" s="229" t="n">
        <v>17</v>
      </c>
      <c r="B31" s="229" t="inlineStr">
        <is>
          <t> </t>
        </is>
      </c>
      <c r="C31" s="230" t="inlineStr">
        <is>
          <t>91.19.08-007</t>
        </is>
      </c>
      <c r="D31" s="230" t="inlineStr">
        <is>
          <t>Насосы мощностью 7,2 м3/ч</t>
        </is>
      </c>
      <c r="E31" s="170" t="inlineStr">
        <is>
          <t>маш.час</t>
        </is>
      </c>
      <c r="F31" s="229" t="n">
        <v>25.09675</v>
      </c>
      <c r="G31" s="158" t="n">
        <v>18.68</v>
      </c>
      <c r="H31" s="158">
        <f>ROUND(F31*G31,2)</f>
        <v/>
      </c>
      <c r="K31" s="163" t="n"/>
    </row>
    <row r="32" ht="31.5" customFormat="1" customHeight="1" s="166">
      <c r="A32" s="229" t="n">
        <v>18</v>
      </c>
      <c r="B32" s="229" t="inlineStr">
        <is>
          <t> </t>
        </is>
      </c>
      <c r="C32" s="230" t="inlineStr">
        <is>
          <t>91.21.12-002</t>
        </is>
      </c>
      <c r="D32" s="230" t="inlineStr">
        <is>
          <t>Ножницы листовые кривошипные гильотинные</t>
        </is>
      </c>
      <c r="E32" s="170" t="inlineStr">
        <is>
          <t>маш.час</t>
        </is>
      </c>
      <c r="F32" s="229" t="n">
        <v>6.036</v>
      </c>
      <c r="G32" s="158" t="n">
        <v>70</v>
      </c>
      <c r="H32" s="158">
        <f>ROUND(F32*G32,2)</f>
        <v/>
      </c>
      <c r="K32" s="163" t="n"/>
    </row>
    <row r="33" ht="31.5" customFormat="1" customHeight="1" s="166">
      <c r="A33" s="229" t="n">
        <v>19</v>
      </c>
      <c r="B33" s="229" t="inlineStr">
        <is>
          <t> </t>
        </is>
      </c>
      <c r="C33" s="230" t="inlineStr">
        <is>
          <t>91.21.16-014</t>
        </is>
      </c>
      <c r="D33" s="230" t="inlineStr">
        <is>
          <t>Прессы листогибочные кривошипные 1000 кН (100 тс)</t>
        </is>
      </c>
      <c r="E33" s="170" t="inlineStr">
        <is>
          <t>маш.час</t>
        </is>
      </c>
      <c r="F33" s="229" t="n">
        <v>6.036</v>
      </c>
      <c r="G33" s="158" t="n">
        <v>56.24</v>
      </c>
      <c r="H33" s="158">
        <f>ROUND(F33*G33,2)</f>
        <v/>
      </c>
      <c r="K33" s="163" t="n"/>
      <c r="L33" s="164" t="n"/>
    </row>
    <row r="34" ht="47.25" customFormat="1" customHeight="1" s="166">
      <c r="A34" s="229" t="n">
        <v>20</v>
      </c>
      <c r="B34" s="229" t="inlineStr">
        <is>
          <t> </t>
        </is>
      </c>
      <c r="C34" s="230" t="inlineStr">
        <is>
          <t>91.18.01-011</t>
        </is>
      </c>
      <c r="D34" s="230" t="inlineStr">
        <is>
          <t>Компрессоры передвижные с электродвигателем давление 600 кПа (6 ат), производительность 0,5 м3/мин</t>
        </is>
      </c>
      <c r="E34" s="170" t="inlineStr">
        <is>
          <t>маш.час</t>
        </is>
      </c>
      <c r="F34" s="229" t="n">
        <v>44.1</v>
      </c>
      <c r="G34" s="158" t="n">
        <v>3.7</v>
      </c>
      <c r="H34" s="158">
        <f>ROUND(F34*G34,2)</f>
        <v/>
      </c>
    </row>
    <row r="35" ht="31.5" customFormat="1" customHeight="1" s="166">
      <c r="A35" s="229" t="n">
        <v>21</v>
      </c>
      <c r="B35" s="229" t="inlineStr">
        <is>
          <t> </t>
        </is>
      </c>
      <c r="C35" s="230" t="inlineStr">
        <is>
          <t>91.21.16-013</t>
        </is>
      </c>
      <c r="D35" s="230" t="inlineStr">
        <is>
          <t>Прессы кривошипные простого действия 25 кН (2,5 тс)</t>
        </is>
      </c>
      <c r="E35" s="170" t="inlineStr">
        <is>
          <t>маш.час</t>
        </is>
      </c>
      <c r="F35" s="229" t="n">
        <v>6.036</v>
      </c>
      <c r="G35" s="158" t="n">
        <v>16.92</v>
      </c>
      <c r="H35" s="158">
        <f>ROUND(F35*G35,2)</f>
        <v/>
      </c>
      <c r="K35" s="163" t="n"/>
    </row>
    <row r="36" ht="31.5" customFormat="1" customHeight="1" s="166">
      <c r="A36" s="229" t="n">
        <v>22</v>
      </c>
      <c r="B36" s="229" t="inlineStr">
        <is>
          <t> </t>
        </is>
      </c>
      <c r="C36" s="230" t="inlineStr">
        <is>
          <t>91.06.03-055</t>
        </is>
      </c>
      <c r="D36" s="230" t="inlineStr">
        <is>
          <t>Лебедки электрические тяговым усилием 19,62 кН (2 т)</t>
        </is>
      </c>
      <c r="E36" s="170" t="inlineStr">
        <is>
          <t>маш.час</t>
        </is>
      </c>
      <c r="F36" s="229" t="n">
        <v>7.4939292</v>
      </c>
      <c r="G36" s="158" t="n">
        <v>6.66</v>
      </c>
      <c r="H36" s="158">
        <f>ROUND(F36*G36,2)</f>
        <v/>
      </c>
      <c r="K36" s="163" t="n"/>
    </row>
    <row r="37" ht="47.25" customFormat="1" customHeight="1" s="166">
      <c r="A37" s="229" t="n">
        <v>23</v>
      </c>
      <c r="B37" s="229" t="inlineStr">
        <is>
          <t> </t>
        </is>
      </c>
      <c r="C37" s="230" t="inlineStr">
        <is>
          <t>91.21.01-012</t>
        </is>
      </c>
      <c r="D37" s="230" t="inlineStr">
        <is>
          <t>Агрегаты окрасочные высокого давления для окраски поверхностей конструкций, мощность 1 кВт</t>
        </is>
      </c>
      <c r="E37" s="170" t="inlineStr">
        <is>
          <t>маш.час</t>
        </is>
      </c>
      <c r="F37" s="229" t="n">
        <v>7.1935295</v>
      </c>
      <c r="G37" s="158" t="n">
        <v>6.82</v>
      </c>
      <c r="H37" s="158">
        <f>ROUND(F37*G37,2)</f>
        <v/>
      </c>
      <c r="K37" s="163" t="n"/>
    </row>
    <row r="38" ht="31.5" customFormat="1" customHeight="1" s="166">
      <c r="A38" s="229" t="n">
        <v>24</v>
      </c>
      <c r="B38" s="229" t="inlineStr">
        <is>
          <t> </t>
        </is>
      </c>
      <c r="C38" s="230" t="inlineStr">
        <is>
          <t>91.06.03-061</t>
        </is>
      </c>
      <c r="D38" s="230" t="inlineStr">
        <is>
          <t>Лебедки электрические тяговым усилием до 12,26 кН (1,25 т)</t>
        </is>
      </c>
      <c r="E38" s="170" t="inlineStr">
        <is>
          <t>маш.час</t>
        </is>
      </c>
      <c r="F38" s="229" t="n">
        <v>13.56</v>
      </c>
      <c r="G38" s="158" t="n">
        <v>3.28</v>
      </c>
      <c r="H38" s="158">
        <f>ROUND(F38*G38,2)</f>
        <v/>
      </c>
      <c r="K38" s="163" t="n"/>
    </row>
    <row r="39" customFormat="1" s="166">
      <c r="A39" s="229" t="n">
        <v>25</v>
      </c>
      <c r="B39" s="229" t="inlineStr">
        <is>
          <t> </t>
        </is>
      </c>
      <c r="C39" s="230" t="inlineStr">
        <is>
          <t>91.21.19-035</t>
        </is>
      </c>
      <c r="D39" s="230" t="inlineStr">
        <is>
          <t>Станки трубонарезные</t>
        </is>
      </c>
      <c r="E39" s="170" t="inlineStr">
        <is>
          <t>маш.час</t>
        </is>
      </c>
      <c r="F39" s="229" t="n">
        <v>1.22818</v>
      </c>
      <c r="G39" s="158" t="n">
        <v>30.46</v>
      </c>
      <c r="H39" s="158">
        <f>ROUND(F39*G39,2)</f>
        <v/>
      </c>
      <c r="K39" s="163" t="n"/>
    </row>
    <row r="40" customFormat="1" s="166">
      <c r="A40" s="229" t="n">
        <v>26</v>
      </c>
      <c r="B40" s="229" t="inlineStr">
        <is>
          <t> </t>
        </is>
      </c>
      <c r="C40" s="230" t="inlineStr">
        <is>
          <t>91.21.19-031</t>
        </is>
      </c>
      <c r="D40" s="230" t="inlineStr">
        <is>
          <t>Станки сверлильные</t>
        </is>
      </c>
      <c r="E40" s="170" t="inlineStr">
        <is>
          <t>маш.час</t>
        </is>
      </c>
      <c r="F40" s="229" t="n">
        <v>6.036</v>
      </c>
      <c r="G40" s="158" t="n">
        <v>2.36</v>
      </c>
      <c r="H40" s="158">
        <f>ROUND(F40*G40,2)</f>
        <v/>
      </c>
      <c r="K40" s="163" t="n"/>
    </row>
    <row r="41" ht="31.5" customFormat="1" customHeight="1" s="166">
      <c r="A41" s="229" t="n">
        <v>27</v>
      </c>
      <c r="B41" s="229" t="inlineStr">
        <is>
          <t> </t>
        </is>
      </c>
      <c r="C41" s="230" t="inlineStr">
        <is>
          <t>91.06.01-003</t>
        </is>
      </c>
      <c r="D41" s="230" t="inlineStr">
        <is>
          <t>Домкраты гидравлические, грузоподъемность 63-100 т</t>
        </is>
      </c>
      <c r="E41" s="170" t="inlineStr">
        <is>
          <t>маш.час</t>
        </is>
      </c>
      <c r="F41" s="229" t="n">
        <v>13.56</v>
      </c>
      <c r="G41" s="158" t="n">
        <v>0.9</v>
      </c>
      <c r="H41" s="158">
        <f>ROUND(F41*G41,2)</f>
        <v/>
      </c>
      <c r="K41" s="163" t="n"/>
    </row>
    <row r="42" customFormat="1" s="166">
      <c r="A42" s="229" t="n">
        <v>28</v>
      </c>
      <c r="B42" s="229" t="inlineStr">
        <is>
          <t> </t>
        </is>
      </c>
      <c r="C42" s="230" t="inlineStr">
        <is>
          <t>91.21.19-033</t>
        </is>
      </c>
      <c r="D42" s="230" t="inlineStr">
        <is>
          <t>Станки токарно-винторезные</t>
        </is>
      </c>
      <c r="E42" s="170" t="inlineStr">
        <is>
          <t>маш.час</t>
        </is>
      </c>
      <c r="F42" s="229" t="n">
        <v>0.5223449999999999</v>
      </c>
      <c r="G42" s="158" t="n">
        <v>19.76</v>
      </c>
      <c r="H42" s="158">
        <f>ROUND(F42*G42,2)</f>
        <v/>
      </c>
      <c r="K42" s="163" t="n"/>
    </row>
    <row r="43" customFormat="1" s="166">
      <c r="A43" s="229" t="n">
        <v>29</v>
      </c>
      <c r="B43" s="229" t="inlineStr">
        <is>
          <t> </t>
        </is>
      </c>
      <c r="C43" s="230" t="inlineStr">
        <is>
          <t>91.17.04-042</t>
        </is>
      </c>
      <c r="D43" s="230" t="inlineStr">
        <is>
          <t>Аппараты для газовой сварки и резки</t>
        </is>
      </c>
      <c r="E43" s="170" t="inlineStr">
        <is>
          <t>маш.час</t>
        </is>
      </c>
      <c r="F43" s="229" t="n">
        <v>4.25</v>
      </c>
      <c r="G43" s="158" t="n">
        <v>1.2</v>
      </c>
      <c r="H43" s="158">
        <f>ROUND(F43*G43,2)</f>
        <v/>
      </c>
      <c r="K43" s="163" t="n"/>
    </row>
    <row r="44" ht="31.5" customFormat="1" customHeight="1" s="166">
      <c r="A44" s="229" t="n">
        <v>30</v>
      </c>
      <c r="B44" s="229" t="inlineStr">
        <is>
          <t> </t>
        </is>
      </c>
      <c r="C44" s="230" t="inlineStr">
        <is>
          <t>91.06.03-060</t>
        </is>
      </c>
      <c r="D44" s="230" t="inlineStr">
        <is>
          <t>Лебедки электрические тяговым усилием до 5,79 кН (0,59 т)</t>
        </is>
      </c>
      <c r="E44" s="170" t="inlineStr">
        <is>
          <t>маш.час</t>
        </is>
      </c>
      <c r="F44" s="229" t="n">
        <v>0.8609969</v>
      </c>
      <c r="G44" s="158" t="n">
        <v>1.7</v>
      </c>
      <c r="H44" s="158">
        <f>ROUND(F44*G44,2)</f>
        <v/>
      </c>
      <c r="K44" s="163" t="n"/>
    </row>
    <row r="45" customFormat="1" s="166">
      <c r="A45" s="229" t="n">
        <v>31</v>
      </c>
      <c r="B45" s="229" t="inlineStr">
        <is>
          <t> </t>
        </is>
      </c>
      <c r="C45" s="230" t="inlineStr">
        <is>
          <t>91.06.05-011</t>
        </is>
      </c>
      <c r="D45" s="230" t="inlineStr">
        <is>
          <t>Погрузчики, грузоподъемность 5 т</t>
        </is>
      </c>
      <c r="E45" s="170" t="inlineStr">
        <is>
          <t>маш.час</t>
        </is>
      </c>
      <c r="F45" s="229" t="n">
        <v>0.0109969</v>
      </c>
      <c r="G45" s="158" t="n">
        <v>89.98999999999999</v>
      </c>
      <c r="H45" s="158">
        <f>ROUND(F45*G45,2)</f>
        <v/>
      </c>
      <c r="K45" s="163" t="n"/>
    </row>
    <row r="46">
      <c r="A46" s="228" t="inlineStr">
        <is>
          <t>Оборудование</t>
        </is>
      </c>
      <c r="B46" s="305" t="n"/>
      <c r="C46" s="305" t="n"/>
      <c r="D46" s="305" t="n"/>
      <c r="E46" s="306" t="n"/>
      <c r="F46" s="228" t="n"/>
      <c r="G46" s="162" t="n"/>
      <c r="H46" s="162">
        <f>SUM(H47:H83)</f>
        <v/>
      </c>
    </row>
    <row r="47" ht="31.5" customFormat="1" customHeight="1" s="166">
      <c r="A47" s="229" t="n">
        <v>32</v>
      </c>
      <c r="B47" s="229" t="inlineStr">
        <is>
          <t> </t>
        </is>
      </c>
      <c r="C47" s="230" t="inlineStr">
        <is>
          <t>Прайс из СД ОП</t>
        </is>
      </c>
      <c r="D47" s="230" t="inlineStr">
        <is>
          <t>Модуль  К2-1 МП (60-160-50) ЭмР-ЭМП на раме в комплекте</t>
        </is>
      </c>
      <c r="E47" s="170" t="inlineStr">
        <is>
          <t>к-т</t>
        </is>
      </c>
      <c r="F47" s="229" t="n">
        <v>1</v>
      </c>
      <c r="G47" s="158" t="n">
        <v>259933.87</v>
      </c>
      <c r="H47" s="158">
        <f>ROUND(F47*G47,2)</f>
        <v/>
      </c>
      <c r="J47" s="163" t="n"/>
    </row>
    <row r="48" customFormat="1" s="166">
      <c r="A48" s="229" t="n">
        <v>33</v>
      </c>
      <c r="B48" s="229" t="inlineStr">
        <is>
          <t> </t>
        </is>
      </c>
      <c r="C48" s="230" t="inlineStr">
        <is>
          <t>01.3.02.11-0022</t>
        </is>
      </c>
      <c r="D48" s="230" t="inlineStr">
        <is>
          <t>Фреон</t>
        </is>
      </c>
      <c r="E48" s="170" t="inlineStr">
        <is>
          <t>т</t>
        </is>
      </c>
      <c r="F48" s="229" t="n">
        <v>3.74</v>
      </c>
      <c r="G48" s="158" t="n">
        <v>68400</v>
      </c>
      <c r="H48" s="158">
        <f>ROUND(F48*G48,2)</f>
        <v/>
      </c>
      <c r="J48" s="163" t="n"/>
    </row>
    <row r="49" customFormat="1" s="166">
      <c r="A49" s="229" t="n">
        <v>34</v>
      </c>
      <c r="B49" s="229" t="inlineStr">
        <is>
          <t> </t>
        </is>
      </c>
      <c r="C49" s="230" t="inlineStr">
        <is>
          <t>Прайс из СД ОП</t>
        </is>
      </c>
      <c r="D49" s="230" t="inlineStr">
        <is>
          <t>Модуль  1 МП (60-160-50) запас</t>
        </is>
      </c>
      <c r="E49" s="170" t="inlineStr">
        <is>
          <t>к-т</t>
        </is>
      </c>
      <c r="F49" s="229" t="n">
        <v>8</v>
      </c>
      <c r="G49" s="158" t="n">
        <v>26987.96</v>
      </c>
      <c r="H49" s="158">
        <f>ROUND(F49*G49,2)</f>
        <v/>
      </c>
      <c r="J49" s="163" t="n"/>
    </row>
    <row r="50" ht="31.5" customFormat="1" customHeight="1" s="166">
      <c r="A50" s="229" t="n">
        <v>35</v>
      </c>
      <c r="B50" s="229" t="inlineStr">
        <is>
          <t> </t>
        </is>
      </c>
      <c r="C50" s="230" t="inlineStr">
        <is>
          <t>Прайс из СД ОП</t>
        </is>
      </c>
      <c r="D50" s="230" t="inlineStr">
        <is>
          <t>Модуль  К2-1 МП (60-100-50) ЭмР-ЭМП на раме в комплекте</t>
        </is>
      </c>
      <c r="E50" s="170" t="inlineStr">
        <is>
          <t>к-т</t>
        </is>
      </c>
      <c r="F50" s="229" t="n">
        <v>3</v>
      </c>
      <c r="G50" s="158" t="n">
        <v>51888.96</v>
      </c>
      <c r="H50" s="158">
        <f>ROUND(F50*G50,2)</f>
        <v/>
      </c>
      <c r="J50" s="163" t="n"/>
    </row>
    <row r="51" customFormat="1" s="166">
      <c r="A51" s="229" t="n">
        <v>36</v>
      </c>
      <c r="B51" s="229" t="inlineStr">
        <is>
          <t> </t>
        </is>
      </c>
      <c r="C51" s="230" t="inlineStr">
        <is>
          <t>Прайс из СД ОП</t>
        </is>
      </c>
      <c r="D51" s="230" t="inlineStr">
        <is>
          <t>Модуль  1 МП (60-100-50) запас</t>
        </is>
      </c>
      <c r="E51" s="170" t="inlineStr">
        <is>
          <t>к-т</t>
        </is>
      </c>
      <c r="F51" s="229" t="n">
        <v>6</v>
      </c>
      <c r="G51" s="158" t="n">
        <v>19543.01</v>
      </c>
      <c r="H51" s="158">
        <f>ROUND(F51*G51,2)</f>
        <v/>
      </c>
      <c r="J51" s="163" t="n"/>
    </row>
    <row r="52" ht="31.5" customFormat="1" customHeight="1" s="166">
      <c r="A52" s="229" t="n">
        <v>37</v>
      </c>
      <c r="B52" s="229" t="inlineStr">
        <is>
          <t> </t>
        </is>
      </c>
      <c r="C52" s="230" t="inlineStr">
        <is>
          <t>Прайс из СД ОП</t>
        </is>
      </c>
      <c r="D52" s="230" t="inlineStr">
        <is>
          <t>Модуль  К2-1 МП (60-60-50) ЭмР-ЭМП на раме в комплекте</t>
        </is>
      </c>
      <c r="E52" s="170" t="inlineStr">
        <is>
          <t>к-т</t>
        </is>
      </c>
      <c r="F52" s="229" t="n">
        <v>2</v>
      </c>
      <c r="G52" s="158" t="n">
        <v>42129.34</v>
      </c>
      <c r="H52" s="158">
        <f>ROUND(F52*G52,2)</f>
        <v/>
      </c>
      <c r="J52" s="163" t="n"/>
    </row>
    <row r="53" customFormat="1" s="166">
      <c r="A53" s="229" t="n">
        <v>38</v>
      </c>
      <c r="B53" s="229" t="inlineStr">
        <is>
          <t> </t>
        </is>
      </c>
      <c r="C53" s="230" t="inlineStr">
        <is>
          <t>Прайс из СД ОП</t>
        </is>
      </c>
      <c r="D53" s="230" t="inlineStr">
        <is>
          <t>Модуль  1 МП (60-60-50) запас</t>
        </is>
      </c>
      <c r="E53" s="170" t="inlineStr">
        <is>
          <t>к-т</t>
        </is>
      </c>
      <c r="F53" s="229" t="n">
        <v>4</v>
      </c>
      <c r="G53" s="158" t="n">
        <v>17978.77</v>
      </c>
      <c r="H53" s="158">
        <f>ROUND(F53*G53,2)</f>
        <v/>
      </c>
      <c r="J53" s="163" t="n"/>
    </row>
    <row r="54" ht="47.25" customFormat="1" customHeight="1" s="166">
      <c r="A54" s="229" t="n">
        <v>39</v>
      </c>
      <c r="B54" s="229" t="inlineStr">
        <is>
          <t> </t>
        </is>
      </c>
      <c r="C54" s="230" t="inlineStr">
        <is>
          <t>61.2.02.01-1004</t>
        </is>
      </c>
      <c r="D54" s="230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E54" s="170" t="inlineStr">
        <is>
          <t>шт</t>
        </is>
      </c>
      <c r="F54" s="229" t="n">
        <v>457</v>
      </c>
      <c r="G54" s="158" t="n">
        <v>116.52</v>
      </c>
      <c r="H54" s="158">
        <f>ROUND(F54*G54,2)</f>
        <v/>
      </c>
      <c r="J54" s="163" t="n"/>
    </row>
    <row r="55" customFormat="1" s="166">
      <c r="A55" s="229" t="n">
        <v>40</v>
      </c>
      <c r="B55" s="229" t="inlineStr">
        <is>
          <t> </t>
        </is>
      </c>
      <c r="C55" s="230" t="inlineStr">
        <is>
          <t>61.2.02.01-0095</t>
        </is>
      </c>
      <c r="D55" s="230" t="inlineStr">
        <is>
          <t>Извещатель пожарный дымовой: ИПДЛ</t>
        </is>
      </c>
      <c r="E55" s="170" t="inlineStr">
        <is>
          <t>10 шт</t>
        </is>
      </c>
      <c r="F55" s="229" t="n">
        <v>6</v>
      </c>
      <c r="G55" s="158" t="n">
        <v>3463.94</v>
      </c>
      <c r="H55" s="158">
        <f>ROUND(F55*G55,2)</f>
        <v/>
      </c>
      <c r="J55" s="163" t="n"/>
    </row>
    <row r="56" ht="78.75" customFormat="1" customHeight="1" s="166">
      <c r="A56" s="229" t="n">
        <v>41</v>
      </c>
      <c r="B56" s="229" t="inlineStr">
        <is>
          <t> </t>
        </is>
      </c>
      <c r="C56" s="230" t="inlineStr">
        <is>
          <t>19.3.01.05-0033</t>
        </is>
      </c>
      <c r="D56" s="230" t="inlineStr">
        <is>
      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      </is>
      </c>
      <c r="E56" s="170" t="inlineStr">
        <is>
          <t>шт</t>
        </is>
      </c>
      <c r="F56" s="229" t="n">
        <v>6</v>
      </c>
      <c r="G56" s="158" t="n">
        <v>1958.38</v>
      </c>
      <c r="H56" s="158">
        <f>ROUND(F56*G56,2)</f>
        <v/>
      </c>
      <c r="J56" s="163" t="n"/>
    </row>
    <row r="57" ht="31.5" customFormat="1" customHeight="1" s="166">
      <c r="A57" s="229" t="n">
        <v>42</v>
      </c>
      <c r="B57" s="229" t="inlineStr">
        <is>
          <t> </t>
        </is>
      </c>
      <c r="C57" s="230" t="inlineStr">
        <is>
          <t>61.2.02.03-0025</t>
        </is>
      </c>
      <c r="D57" s="230" t="inlineStr">
        <is>
          <t>Извещатель пожарный ручной: ИПР-513-3 исп. 02</t>
        </is>
      </c>
      <c r="E57" s="170" t="inlineStr">
        <is>
          <t>10 шт</t>
        </is>
      </c>
      <c r="F57" s="229" t="n">
        <v>24</v>
      </c>
      <c r="G57" s="158" t="n">
        <v>410.04</v>
      </c>
      <c r="H57" s="158">
        <f>ROUND(F57*G57,2)</f>
        <v/>
      </c>
      <c r="J57" s="163" t="n"/>
    </row>
    <row r="58" customFormat="1" s="166">
      <c r="A58" s="229" t="n">
        <v>43</v>
      </c>
      <c r="B58" s="229" t="inlineStr">
        <is>
          <t> </t>
        </is>
      </c>
      <c r="C58" s="230" t="inlineStr">
        <is>
          <t>Прайс из СД ОП</t>
        </is>
      </c>
      <c r="D58" s="230" t="inlineStr">
        <is>
          <t>Коллектор на 8модуля 1МП (60-60-50)</t>
        </is>
      </c>
      <c r="E58" s="170" t="inlineStr">
        <is>
          <t>к-т</t>
        </is>
      </c>
      <c r="F58" s="229" t="n">
        <v>1</v>
      </c>
      <c r="G58" s="158" t="n">
        <v>9028.99</v>
      </c>
      <c r="H58" s="158">
        <f>ROUND(F58*G58,2)</f>
        <v/>
      </c>
      <c r="J58" s="163" t="n"/>
    </row>
    <row r="59" ht="31.5" customFormat="1" customHeight="1" s="166">
      <c r="A59" s="229" t="n">
        <v>44</v>
      </c>
      <c r="B59" s="229" t="inlineStr">
        <is>
          <t> </t>
        </is>
      </c>
      <c r="C59" s="230" t="inlineStr">
        <is>
          <t>61.2.04.05-0018</t>
        </is>
      </c>
      <c r="D59" s="230" t="inlineStr">
        <is>
          <t>Оповещатель охранно-пожарный звуковой, тип СВИРЕЛЬ-2 исп.00 6-15В/600мА</t>
        </is>
      </c>
      <c r="E59" s="170" t="inlineStr">
        <is>
          <t>шт</t>
        </is>
      </c>
      <c r="F59" s="229" t="n">
        <v>38</v>
      </c>
      <c r="G59" s="158" t="n">
        <v>187</v>
      </c>
      <c r="H59" s="158">
        <f>ROUND(F59*G59,2)</f>
        <v/>
      </c>
      <c r="J59" s="163" t="n"/>
      <c r="K59" s="164" t="n"/>
    </row>
    <row r="60" customFormat="1" s="166">
      <c r="A60" s="229" t="n">
        <v>45</v>
      </c>
      <c r="B60" s="229" t="inlineStr">
        <is>
          <t> </t>
        </is>
      </c>
      <c r="C60" s="230" t="inlineStr">
        <is>
          <t>Прайс из СД ОП</t>
        </is>
      </c>
      <c r="D60" s="230" t="inlineStr">
        <is>
          <t>Насадок НГ-3.1-1/2 В латунный с муфтой</t>
        </is>
      </c>
      <c r="E60" s="170" t="inlineStr">
        <is>
          <t>к-т</t>
        </is>
      </c>
      <c r="F60" s="229" t="n">
        <v>28</v>
      </c>
      <c r="G60" s="158" t="n">
        <v>218.79</v>
      </c>
      <c r="H60" s="158">
        <f>ROUND(F60*G60,2)</f>
        <v/>
      </c>
      <c r="K60" s="163" t="n"/>
    </row>
    <row r="61" ht="31.5" customFormat="1" customHeight="1" s="166">
      <c r="A61" s="229" t="n">
        <v>46</v>
      </c>
      <c r="B61" s="229" t="inlineStr">
        <is>
          <t> </t>
        </is>
      </c>
      <c r="C61" s="230" t="inlineStr">
        <is>
          <t>61.2.07.06-0006</t>
        </is>
      </c>
      <c r="D61" s="230" t="inlineStr">
        <is>
          <t>Расширитель адресный на восемь шлейфов с контролем на замыкание и обрыв</t>
        </is>
      </c>
      <c r="E61" s="170" t="inlineStr">
        <is>
          <t>шт</t>
        </is>
      </c>
      <c r="F61" s="229" t="n">
        <v>31</v>
      </c>
      <c r="G61" s="158" t="n">
        <v>182.89</v>
      </c>
      <c r="H61" s="158">
        <f>ROUND(F61*G61,2)</f>
        <v/>
      </c>
      <c r="K61" s="163" t="n"/>
    </row>
    <row r="62" customFormat="1" s="166">
      <c r="A62" s="229" t="n">
        <v>47</v>
      </c>
      <c r="B62" s="229" t="inlineStr">
        <is>
          <t> </t>
        </is>
      </c>
      <c r="C62" s="230" t="inlineStr">
        <is>
          <t>Прайс из СД ОП</t>
        </is>
      </c>
      <c r="D62" s="230" t="inlineStr">
        <is>
          <t>Насадок НГ-2.1-1 В латунный с муфтой</t>
        </is>
      </c>
      <c r="E62" s="170" t="inlineStr">
        <is>
          <t>к-т</t>
        </is>
      </c>
      <c r="F62" s="229" t="n">
        <v>26</v>
      </c>
      <c r="G62" s="158" t="n">
        <v>213.84</v>
      </c>
      <c r="H62" s="158">
        <f>ROUND(F62*G62,2)</f>
        <v/>
      </c>
      <c r="K62" s="163" t="n"/>
    </row>
    <row r="63" ht="31.5" customFormat="1" customHeight="1" s="166">
      <c r="A63" s="229" t="n">
        <v>48</v>
      </c>
      <c r="B63" s="229" t="inlineStr">
        <is>
          <t> </t>
        </is>
      </c>
      <c r="C63" s="230" t="inlineStr">
        <is>
          <t>18.4.01.01-0023</t>
        </is>
      </c>
      <c r="D63" s="230" t="inlineStr">
        <is>
          <t>Баллоны стальные для газов, рабочее давление до 19,6 МПа, (200 кг/см2), объем 40 л</t>
        </is>
      </c>
      <c r="E63" s="170" t="inlineStr">
        <is>
          <t>шт</t>
        </is>
      </c>
      <c r="F63" s="229" t="n">
        <v>6</v>
      </c>
      <c r="G63" s="158" t="n">
        <v>809.71</v>
      </c>
      <c r="H63" s="158">
        <f>ROUND(F63*G63,2)</f>
        <v/>
      </c>
      <c r="K63" s="163" t="n"/>
    </row>
    <row r="64" customFormat="1" s="166">
      <c r="A64" s="229" t="n">
        <v>49</v>
      </c>
      <c r="B64" s="229" t="inlineStr">
        <is>
          <t> </t>
        </is>
      </c>
      <c r="C64" s="230" t="inlineStr">
        <is>
          <t>Прайс из СД ОП</t>
        </is>
      </c>
      <c r="D64" s="230" t="inlineStr">
        <is>
          <t>Устройство для взведения</t>
        </is>
      </c>
      <c r="E64" s="170" t="inlineStr">
        <is>
          <t>шт</t>
        </is>
      </c>
      <c r="F64" s="229" t="n">
        <v>6</v>
      </c>
      <c r="G64" s="158" t="n">
        <v>752.42</v>
      </c>
      <c r="H64" s="158">
        <f>ROUND(F64*G64,2)</f>
        <v/>
      </c>
      <c r="K64" s="163" t="n"/>
    </row>
    <row r="65" customFormat="1" s="166">
      <c r="A65" s="229" t="n">
        <v>50</v>
      </c>
      <c r="B65" s="229" t="inlineStr">
        <is>
          <t> </t>
        </is>
      </c>
      <c r="C65" s="230" t="inlineStr">
        <is>
          <t>Прайс из СД ОП</t>
        </is>
      </c>
      <c r="D65" s="230" t="inlineStr">
        <is>
          <t>Коллектор на 2 модуля 1МП (60-100-50)</t>
        </is>
      </c>
      <c r="E65" s="170" t="inlineStr">
        <is>
          <t>к-т</t>
        </is>
      </c>
      <c r="F65" s="229" t="n">
        <v>2</v>
      </c>
      <c r="G65" s="158" t="n">
        <v>2110.72</v>
      </c>
      <c r="H65" s="158">
        <f>ROUND(F65*G65,2)</f>
        <v/>
      </c>
      <c r="K65" s="163" t="n"/>
    </row>
    <row r="66" ht="78.75" customFormat="1" customHeight="1" s="166">
      <c r="A66" s="229" t="n">
        <v>51</v>
      </c>
      <c r="B66" s="229" t="inlineStr">
        <is>
          <t> </t>
        </is>
      </c>
      <c r="C66" s="230" t="inlineStr">
        <is>
          <t>61.2.07.02-0050</t>
        </is>
      </c>
      <c r="D66" s="230" t="inlineStr">
        <is>
      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      </is>
      </c>
      <c r="E66" s="170" t="inlineStr">
        <is>
          <t>10 шт</t>
        </is>
      </c>
      <c r="F66" s="229" t="n">
        <v>6</v>
      </c>
      <c r="G66" s="158" t="n">
        <v>688.2</v>
      </c>
      <c r="H66" s="158">
        <f>ROUND(F66*G66,2)</f>
        <v/>
      </c>
      <c r="K66" s="163" t="n"/>
    </row>
    <row r="67" customFormat="1" s="166">
      <c r="A67" s="229" t="n">
        <v>52</v>
      </c>
      <c r="B67" s="229" t="inlineStr">
        <is>
          <t> </t>
        </is>
      </c>
      <c r="C67" s="230" t="inlineStr">
        <is>
          <t>Прайс из СД ОП</t>
        </is>
      </c>
      <c r="D67" s="230" t="inlineStr">
        <is>
          <t>Насадок НГ-3.1-3/4 В латунный с муфтой</t>
        </is>
      </c>
      <c r="E67" s="170" t="inlineStr">
        <is>
          <t>к-т</t>
        </is>
      </c>
      <c r="F67" s="229" t="n">
        <v>16</v>
      </c>
      <c r="G67" s="158" t="n">
        <v>249.49</v>
      </c>
      <c r="H67" s="158">
        <f>ROUND(F67*G67,2)</f>
        <v/>
      </c>
      <c r="K67" s="163" t="n"/>
    </row>
    <row r="68" customFormat="1" s="166">
      <c r="A68" s="229" t="n">
        <v>53</v>
      </c>
      <c r="B68" s="229" t="inlineStr">
        <is>
          <t> </t>
        </is>
      </c>
      <c r="C68" s="230" t="inlineStr">
        <is>
          <t>Прайс из СД ОП</t>
        </is>
      </c>
      <c r="D68" s="230" t="inlineStr">
        <is>
          <t>Насадок НГ-3.1-1 В латунный с муфтой</t>
        </is>
      </c>
      <c r="E68" s="170" t="inlineStr">
        <is>
          <t>к-т</t>
        </is>
      </c>
      <c r="F68" s="229" t="n">
        <v>16</v>
      </c>
      <c r="G68" s="158" t="n">
        <v>218.79</v>
      </c>
      <c r="H68" s="158">
        <f>ROUND(F68*G68,2)</f>
        <v/>
      </c>
      <c r="K68" s="163" t="n"/>
    </row>
    <row r="69" customFormat="1" s="166">
      <c r="A69" s="229" t="n">
        <v>54</v>
      </c>
      <c r="B69" s="229" t="inlineStr">
        <is>
          <t> </t>
        </is>
      </c>
      <c r="C69" s="230" t="inlineStr">
        <is>
          <t>Прайс из СД ОП</t>
        </is>
      </c>
      <c r="D69" s="230" t="inlineStr">
        <is>
          <t>Коллектор на 2 модуля 1МП (60-60-50)</t>
        </is>
      </c>
      <c r="E69" s="170" t="inlineStr">
        <is>
          <t>к-т</t>
        </is>
      </c>
      <c r="F69" s="229" t="n">
        <v>2</v>
      </c>
      <c r="G69" s="158" t="n">
        <v>1643.43</v>
      </c>
      <c r="H69" s="158">
        <f>ROUND(F69*G69,2)</f>
        <v/>
      </c>
      <c r="K69" s="163" t="n"/>
    </row>
    <row r="70" customFormat="1" s="166">
      <c r="A70" s="229" t="n">
        <v>55</v>
      </c>
      <c r="B70" s="229" t="inlineStr">
        <is>
          <t> </t>
        </is>
      </c>
      <c r="C70" s="230" t="inlineStr">
        <is>
          <t>62.1.04.01-0003</t>
        </is>
      </c>
      <c r="D70" s="230" t="inlineStr">
        <is>
          <t>Датчик-реле давления ДРД-1, ДРД-6</t>
        </is>
      </c>
      <c r="E70" s="170" t="inlineStr">
        <is>
          <t>шт</t>
        </is>
      </c>
      <c r="F70" s="229" t="n">
        <v>7</v>
      </c>
      <c r="G70" s="158" t="n">
        <v>422.41</v>
      </c>
      <c r="H70" s="158">
        <f>ROUND(F70*G70,2)</f>
        <v/>
      </c>
      <c r="K70" s="163" t="n"/>
    </row>
    <row r="71" ht="63" customFormat="1" customHeight="1" s="166">
      <c r="A71" s="229" t="n">
        <v>56</v>
      </c>
      <c r="B71" s="229" t="inlineStr">
        <is>
          <t> </t>
        </is>
      </c>
      <c r="C71" s="230" t="inlineStr">
        <is>
          <t>23.8.02.01-0005</t>
        </is>
      </c>
      <c r="D71" s="230" t="inlineStr">
        <is>
          <t>Заглушка трубопровода стальная изолированная пенополиуретаном в полиэтиленовой оболочке, наружный диаметр 76 мм, диаметр изоляции 160 мм</t>
        </is>
      </c>
      <c r="E71" s="170" t="inlineStr">
        <is>
          <t>шт</t>
        </is>
      </c>
      <c r="F71" s="229" t="n">
        <v>17</v>
      </c>
      <c r="G71" s="158" t="n">
        <v>168.8</v>
      </c>
      <c r="H71" s="158">
        <f>ROUND(F71*G71,2)</f>
        <v/>
      </c>
      <c r="K71" s="163" t="n"/>
    </row>
    <row r="72" ht="31.5" customFormat="1" customHeight="1" s="166">
      <c r="A72" s="229" t="n">
        <v>57</v>
      </c>
      <c r="B72" s="229" t="inlineStr">
        <is>
          <t> </t>
        </is>
      </c>
      <c r="C72" s="230" t="inlineStr">
        <is>
          <t>Прайс из СД ОП</t>
        </is>
      </c>
      <c r="D72" s="230" t="inlineStr">
        <is>
          <t>Комплект деталей для принудительного пуска (В481-8/650)</t>
        </is>
      </c>
      <c r="E72" s="170" t="inlineStr">
        <is>
          <t>к-т</t>
        </is>
      </c>
      <c r="F72" s="229" t="n">
        <v>2</v>
      </c>
      <c r="G72" s="158" t="n">
        <v>1073.18</v>
      </c>
      <c r="H72" s="158">
        <f>ROUND(F72*G72,2)</f>
        <v/>
      </c>
      <c r="K72" s="163" t="n"/>
    </row>
    <row r="73" customFormat="1" s="166">
      <c r="A73" s="229" t="n">
        <v>58</v>
      </c>
      <c r="B73" s="229" t="n"/>
      <c r="C73" s="230" t="inlineStr">
        <is>
          <t>61.2.07.02-0034</t>
        </is>
      </c>
      <c r="D73" s="230" t="inlineStr">
        <is>
          <t>Блок контрольно-пусковой, марка "С2000-КПБ"</t>
        </is>
      </c>
      <c r="E73" s="170" t="inlineStr">
        <is>
          <t>шт</t>
        </is>
      </c>
      <c r="F73" s="229" t="n">
        <v>6</v>
      </c>
      <c r="G73" s="158" t="n">
        <v>243.85</v>
      </c>
      <c r="H73" s="158">
        <f>ROUND(F73*G73,2)</f>
        <v/>
      </c>
      <c r="K73" s="163" t="n"/>
    </row>
    <row r="74" customFormat="1" s="166">
      <c r="A74" s="229" t="n">
        <v>59</v>
      </c>
      <c r="B74" s="229" t="n"/>
      <c r="C74" s="230" t="inlineStr">
        <is>
          <t>61.2.04.07-0008</t>
        </is>
      </c>
      <c r="D74" s="230" t="inlineStr">
        <is>
          <t>Оповещатель световой МОЛНИЯ-12(24)</t>
        </is>
      </c>
      <c r="E74" s="170" t="inlineStr">
        <is>
          <t>шт</t>
        </is>
      </c>
      <c r="F74" s="229" t="n">
        <v>38</v>
      </c>
      <c r="G74" s="158" t="n">
        <v>38.38</v>
      </c>
      <c r="H74" s="158">
        <f>ROUND(F74*G74,2)</f>
        <v/>
      </c>
      <c r="K74" s="163" t="n"/>
    </row>
    <row r="75" customFormat="1" s="166">
      <c r="A75" s="229" t="n">
        <v>60</v>
      </c>
      <c r="B75" s="229" t="n"/>
      <c r="C75" s="230" t="inlineStr">
        <is>
          <t>Прайс из СД ОП</t>
        </is>
      </c>
      <c r="D75" s="230" t="inlineStr">
        <is>
          <t>Насадок НГ-2.1-3/4 В латунный с муфтой</t>
        </is>
      </c>
      <c r="E75" s="170" t="inlineStr">
        <is>
          <t>к-т</t>
        </is>
      </c>
      <c r="F75" s="229" t="n">
        <v>6</v>
      </c>
      <c r="G75" s="158" t="n">
        <v>213.84</v>
      </c>
      <c r="H75" s="158">
        <f>ROUND(F75*G75,2)</f>
        <v/>
      </c>
      <c r="K75" s="163" t="n"/>
    </row>
    <row r="76" ht="63" customFormat="1" customHeight="1" s="166">
      <c r="A76" s="229" t="n">
        <v>61</v>
      </c>
      <c r="B76" s="229" t="n"/>
      <c r="C76" s="230" t="inlineStr">
        <is>
          <t>61.2.07.02-0035</t>
        </is>
      </c>
      <c r="D76" s="230" t="inlineStr">
        <is>
          <t>Шкаф контрольно-пусковой для систем пожаротушения и дымоудаления, мощность управляемой нагрузки 10 кВт, номинальный коммутируемый ток 25 А</t>
        </is>
      </c>
      <c r="E76" s="170" t="inlineStr">
        <is>
          <t>шт</t>
        </is>
      </c>
      <c r="F76" s="229" t="n">
        <v>3</v>
      </c>
      <c r="G76" s="158" t="n">
        <v>396.74</v>
      </c>
      <c r="H76" s="158">
        <f>ROUND(F76*G76,2)</f>
        <v/>
      </c>
      <c r="K76" s="163" t="n"/>
    </row>
    <row r="77" ht="31.5" customFormat="1" customHeight="1" s="166">
      <c r="A77" s="229" t="n">
        <v>62</v>
      </c>
      <c r="B77" s="229" t="n"/>
      <c r="C77" s="230" t="inlineStr">
        <is>
          <t>Прайс из СД ОП</t>
        </is>
      </c>
      <c r="D77" s="230" t="inlineStr">
        <is>
          <t>Комплект деталей для принудительного пуска (В481-2/650)</t>
        </is>
      </c>
      <c r="E77" s="170" t="inlineStr">
        <is>
          <t>к-т</t>
        </is>
      </c>
      <c r="F77" s="229" t="n">
        <v>3</v>
      </c>
      <c r="G77" s="158" t="n">
        <v>279.19</v>
      </c>
      <c r="H77" s="158">
        <f>ROUND(F77*G77,2)</f>
        <v/>
      </c>
      <c r="K77" s="163" t="n"/>
    </row>
    <row r="78" ht="31.5" customFormat="1" customHeight="1" s="166">
      <c r="A78" s="229" t="n">
        <v>63</v>
      </c>
      <c r="B78" s="229" t="n"/>
      <c r="C78" s="230" t="inlineStr">
        <is>
          <t>61.2.04.10-0004</t>
        </is>
      </c>
      <c r="D78" s="230" t="inlineStr">
        <is>
          <t>Пульт контроля и управления охранно-пожарный с двухстрочным ЖК индикатором</t>
        </is>
      </c>
      <c r="E78" s="170" t="inlineStr">
        <is>
          <t>шт</t>
        </is>
      </c>
      <c r="F78" s="229" t="n">
        <v>1</v>
      </c>
      <c r="G78" s="158" t="n">
        <v>627.51</v>
      </c>
      <c r="H78" s="158">
        <f>ROUND(F78*G78,2)</f>
        <v/>
      </c>
      <c r="K78" s="163" t="n"/>
    </row>
    <row r="79" customFormat="1" s="166">
      <c r="A79" s="229" t="n">
        <v>64</v>
      </c>
      <c r="B79" s="229" t="n"/>
      <c r="C79" s="230" t="inlineStr">
        <is>
          <t>01.3.02.11-0023</t>
        </is>
      </c>
      <c r="D79" s="230" t="inlineStr">
        <is>
          <t>Фреон R410A (разовый баллон 11,30 кг)</t>
        </is>
      </c>
      <c r="E79" s="170" t="inlineStr">
        <is>
          <t>шт</t>
        </is>
      </c>
      <c r="F79" s="229" t="n">
        <v>1</v>
      </c>
      <c r="G79" s="158" t="n">
        <v>614.85</v>
      </c>
      <c r="H79" s="158">
        <f>ROUND(F79*G79,2)</f>
        <v/>
      </c>
      <c r="K79" s="163" t="n"/>
    </row>
    <row r="80" ht="47.25" customFormat="1" customHeight="1" s="166">
      <c r="A80" s="229" t="n">
        <v>65</v>
      </c>
      <c r="B80" s="229" t="n"/>
      <c r="C80" s="230" t="inlineStr">
        <is>
          <t>23.8.01.03-0002</t>
        </is>
      </c>
      <c r="D80" s="230" t="inlineStr">
        <is>
          <t>Заглушка универсальная для труб из термостойкого полиэтилена с внутренней резьбой, размер 1/2"</t>
        </is>
      </c>
      <c r="E80" s="170" t="inlineStr">
        <is>
          <t>10 шт</t>
        </is>
      </c>
      <c r="F80" s="229" t="n">
        <v>5.4</v>
      </c>
      <c r="G80" s="158" t="n">
        <v>62.4</v>
      </c>
      <c r="H80" s="158">
        <f>ROUND(F80*G80,2)</f>
        <v/>
      </c>
      <c r="K80" s="163" t="n"/>
    </row>
    <row r="81" customFormat="1" s="166">
      <c r="A81" s="229" t="n">
        <v>66</v>
      </c>
      <c r="B81" s="229" t="n"/>
      <c r="C81" s="230" t="inlineStr">
        <is>
          <t>24.3.05.18-0001</t>
        </is>
      </c>
      <c r="D81" s="230" t="inlineStr">
        <is>
          <t>Штуцеры, длина 200 мм</t>
        </is>
      </c>
      <c r="E81" s="170" t="inlineStr">
        <is>
          <t>шт</t>
        </is>
      </c>
      <c r="F81" s="229" t="n">
        <v>7</v>
      </c>
      <c r="G81" s="158" t="n">
        <v>44.3</v>
      </c>
      <c r="H81" s="158">
        <f>ROUND(F81*G81,2)</f>
        <v/>
      </c>
      <c r="K81" s="163" t="n"/>
    </row>
    <row r="82" ht="47.25" customFormat="1" customHeight="1" s="166">
      <c r="A82" s="229" t="n">
        <v>67</v>
      </c>
      <c r="B82" s="229" t="n"/>
      <c r="C82" s="230" t="inlineStr">
        <is>
          <t>23.8.01.03-0001</t>
        </is>
      </c>
      <c r="D82" s="230" t="inlineStr">
        <is>
          <t>Заглушка универсальная для труб из термостойкого полиэтилена с внутренней резьбой, размер 1"</t>
        </is>
      </c>
      <c r="E82" s="170" t="inlineStr">
        <is>
          <t>10 шт</t>
        </is>
      </c>
      <c r="F82" s="229" t="n">
        <v>1.6</v>
      </c>
      <c r="G82" s="158" t="n">
        <v>175.3</v>
      </c>
      <c r="H82" s="158">
        <f>ROUND(F82*G82,2)</f>
        <v/>
      </c>
      <c r="K82" s="163" t="n"/>
    </row>
    <row r="83" ht="47.25" customFormat="1" customHeight="1" s="166">
      <c r="A83" s="229" t="n">
        <v>68</v>
      </c>
      <c r="B83" s="229" t="n"/>
      <c r="C83" s="230" t="inlineStr">
        <is>
          <t>23.8.01.03-0006</t>
        </is>
      </c>
      <c r="D83" s="230" t="inlineStr">
        <is>
          <t>Заглушка универсальная для труб из термостойкого полиэтилена с наружной резьбой, размер 3/4"</t>
        </is>
      </c>
      <c r="E83" s="170" t="inlineStr">
        <is>
          <t>10 шт</t>
        </is>
      </c>
      <c r="F83" s="229" t="n">
        <v>2.2</v>
      </c>
      <c r="G83" s="158" t="n">
        <v>95.09999999999999</v>
      </c>
      <c r="H83" s="158">
        <f>ROUND(F83*G83,2)</f>
        <v/>
      </c>
      <c r="K83" s="163" t="n"/>
    </row>
    <row r="84">
      <c r="A84" s="228" t="inlineStr">
        <is>
          <t>Материалы</t>
        </is>
      </c>
      <c r="B84" s="305" t="n"/>
      <c r="C84" s="305" t="n"/>
      <c r="D84" s="305" t="n"/>
      <c r="E84" s="306" t="n"/>
      <c r="F84" s="228" t="n"/>
      <c r="G84" s="162" t="n"/>
      <c r="H84" s="162">
        <f>SUM(H85:H171)</f>
        <v/>
      </c>
    </row>
    <row r="85" ht="31.5" customHeight="1">
      <c r="A85" s="229" t="n">
        <v>69</v>
      </c>
      <c r="B85" s="229" t="inlineStr">
        <is>
          <t> </t>
        </is>
      </c>
      <c r="C85" s="230" t="inlineStr">
        <is>
          <t>25.1.01.04-0031</t>
        </is>
      </c>
      <c r="D85" s="230" t="inlineStr">
        <is>
          <t>Шпалы непропитанные для железных дорог, тип I</t>
        </is>
      </c>
      <c r="E85" s="170" t="inlineStr">
        <is>
          <t>шт</t>
        </is>
      </c>
      <c r="F85" s="229" t="n">
        <v>38</v>
      </c>
      <c r="G85" s="158" t="n">
        <v>266.67</v>
      </c>
      <c r="H85" s="158">
        <f>ROUND(F85*G85,2)</f>
        <v/>
      </c>
      <c r="J85" s="163" t="n"/>
    </row>
    <row r="86" ht="63" customHeight="1">
      <c r="A86" s="229" t="n">
        <v>70</v>
      </c>
      <c r="B86" s="229" t="inlineStr">
        <is>
          <t> </t>
        </is>
      </c>
      <c r="C86" s="230" t="inlineStr">
        <is>
          <t>23.8.04.12-0112</t>
        </is>
      </c>
      <c r="D86" s="230" t="inlineStr">
        <is>
          <t>Тройники равнопроходные, номинальное давление до 16 МПа, номинальный диаметр 40 мм, наружный диаметр и толщина стенки 45,0х2,5 мм</t>
        </is>
      </c>
      <c r="E86" s="170" t="inlineStr">
        <is>
          <t>шт</t>
        </is>
      </c>
      <c r="F86" s="229" t="n">
        <v>50</v>
      </c>
      <c r="G86" s="158" t="n">
        <v>101.46</v>
      </c>
      <c r="H86" s="158">
        <f>ROUND(F86*G86,2)</f>
        <v/>
      </c>
      <c r="J86" s="163" t="n"/>
    </row>
    <row r="87">
      <c r="A87" s="229" t="n">
        <v>71</v>
      </c>
      <c r="B87" s="229" t="inlineStr">
        <is>
          <t> </t>
        </is>
      </c>
      <c r="C87" s="230" t="inlineStr">
        <is>
          <t>07.2.07.13-0171</t>
        </is>
      </c>
      <c r="D87" s="230" t="inlineStr">
        <is>
          <t>Подкладки металлические</t>
        </is>
      </c>
      <c r="E87" s="170" t="inlineStr">
        <is>
          <t>кг</t>
        </is>
      </c>
      <c r="F87" s="229" t="n">
        <v>380</v>
      </c>
      <c r="G87" s="158" t="n">
        <v>12.6</v>
      </c>
      <c r="H87" s="158">
        <f>ROUND(F87*G87,2)</f>
        <v/>
      </c>
      <c r="J87" s="163" t="n"/>
    </row>
    <row r="88" ht="47.25" customHeight="1">
      <c r="A88" s="229" t="n">
        <v>72</v>
      </c>
      <c r="B88" s="229" t="inlineStr">
        <is>
          <t> </t>
        </is>
      </c>
      <c r="C88" s="230" t="inlineStr">
        <is>
          <t>23.8.04.08-0051</t>
        </is>
      </c>
      <c r="D88" s="230" t="inlineStr">
        <is>
          <t>Переходы концентрические, номинальное давление 16 МПа, наружный диаметр и толщина стенки 57х4-45х2,5 мм</t>
        </is>
      </c>
      <c r="E88" s="170" t="inlineStr">
        <is>
          <t>шт</t>
        </is>
      </c>
      <c r="F88" s="229" t="n">
        <v>99</v>
      </c>
      <c r="G88" s="158" t="n">
        <v>38.01</v>
      </c>
      <c r="H88" s="158">
        <f>ROUND(F88*G88,2)</f>
        <v/>
      </c>
      <c r="J88" s="163" t="n"/>
    </row>
    <row r="89" ht="31.5" customHeight="1">
      <c r="A89" s="229" t="n">
        <v>73</v>
      </c>
      <c r="B89" s="229" t="inlineStr">
        <is>
          <t> </t>
        </is>
      </c>
      <c r="C89" s="230" t="inlineStr">
        <is>
          <t>21.1.08.01-0313</t>
        </is>
      </c>
      <c r="D89" s="230" t="inlineStr">
        <is>
          <t>Кабель пожарной сигнализации КПСЭнг(A)-FRLS 1х2х1,5</t>
        </is>
      </c>
      <c r="E89" s="170" t="inlineStr">
        <is>
          <t>1000 м</t>
        </is>
      </c>
      <c r="F89" s="229" t="n">
        <v>0.545</v>
      </c>
      <c r="G89" s="158" t="n">
        <v>5545.45</v>
      </c>
      <c r="H89" s="158">
        <f>ROUND(F89*G89,2)</f>
        <v/>
      </c>
      <c r="J89" s="163" t="n"/>
    </row>
    <row r="90" ht="63" customHeight="1">
      <c r="A90" s="229" t="n">
        <v>74</v>
      </c>
      <c r="B90" s="229" t="inlineStr">
        <is>
          <t> </t>
        </is>
      </c>
      <c r="C90" s="230" t="inlineStr">
        <is>
          <t>23.7.01.03-0004</t>
        </is>
      </c>
      <c r="D90" s="230" t="inlineStr">
        <is>
          <t>Трубопроводы из стальных водогазопроводных неоцинкованных труб с гильзами и креплениями для газоснабжения, диаметр 32 мм</t>
        </is>
      </c>
      <c r="E90" s="170" t="inlineStr">
        <is>
          <t>м</t>
        </is>
      </c>
      <c r="F90" s="229" t="n">
        <v>88.47</v>
      </c>
      <c r="G90" s="158" t="n">
        <v>30.72</v>
      </c>
      <c r="H90" s="158">
        <f>ROUND(F90*G90,2)</f>
        <v/>
      </c>
      <c r="J90" s="163" t="n"/>
    </row>
    <row r="91" ht="31.5" customHeight="1">
      <c r="A91" s="229" t="n">
        <v>75</v>
      </c>
      <c r="B91" s="229" t="inlineStr">
        <is>
          <t> </t>
        </is>
      </c>
      <c r="C91" s="230" t="inlineStr">
        <is>
          <t>08.3.05.02-0058</t>
        </is>
      </c>
      <c r="D91" s="230" t="inlineStr">
        <is>
          <t>Прокат толстолистовой горячекатаный в листах, марка стали Ст3, толщина 6-8 мм</t>
        </is>
      </c>
      <c r="E91" s="170" t="inlineStr">
        <is>
          <t>т</t>
        </is>
      </c>
      <c r="F91" s="229" t="n">
        <v>0.4536</v>
      </c>
      <c r="G91" s="158" t="n">
        <v>5891.61</v>
      </c>
      <c r="H91" s="158">
        <f>ROUND(F91*G91,2)</f>
        <v/>
      </c>
      <c r="J91" s="163" t="n"/>
    </row>
    <row r="92" ht="63" customHeight="1">
      <c r="A92" s="229" t="n">
        <v>76</v>
      </c>
      <c r="B92" s="229" t="inlineStr">
        <is>
          <t> </t>
        </is>
      </c>
      <c r="C92" s="230" t="inlineStr">
        <is>
          <t>23.7.01.03-0005</t>
        </is>
      </c>
      <c r="D92" s="230" t="inlineStr">
        <is>
          <t>Трубопроводы из стальных водогазопроводных неоцинкованных труб с гильзами и креплениями для газоснабжения, диаметр 40 мм</t>
        </is>
      </c>
      <c r="E92" s="170" t="inlineStr">
        <is>
          <t>м</t>
        </is>
      </c>
      <c r="F92" s="229" t="n">
        <v>54.4</v>
      </c>
      <c r="G92" s="158" t="n">
        <v>35.84</v>
      </c>
      <c r="H92" s="158">
        <f>ROUND(F92*G92,2)</f>
        <v/>
      </c>
      <c r="J92" s="163" t="n"/>
    </row>
    <row r="93" ht="15.75" customHeight="1">
      <c r="A93" s="229" t="n">
        <v>77</v>
      </c>
      <c r="B93" s="229" t="inlineStr">
        <is>
          <t> </t>
        </is>
      </c>
      <c r="C93" s="230" t="inlineStr">
        <is>
          <t>23.7.01.03-0002</t>
        </is>
      </c>
      <c r="D93" s="230" t="inlineStr">
        <is>
          <t>Трубопроводы из стальных водогазопроводных неоцинкованных труб с гильзами и креплениями для газоснабжения, диаметр 20 мм</t>
        </is>
      </c>
      <c r="E93" s="170" t="inlineStr">
        <is>
          <t>м</t>
        </is>
      </c>
      <c r="F93" s="229" t="n">
        <v>63.02</v>
      </c>
      <c r="G93" s="158" t="n">
        <v>25.28</v>
      </c>
      <c r="H93" s="158">
        <f>ROUND(F93*G93,2)</f>
        <v/>
      </c>
      <c r="J93" s="163" t="n"/>
    </row>
    <row r="94" ht="47.25" customHeight="1">
      <c r="A94" s="229" t="n">
        <v>78</v>
      </c>
      <c r="B94" s="229" t="inlineStr">
        <is>
          <t> </t>
        </is>
      </c>
      <c r="C94" s="230" t="inlineStr">
        <is>
          <t>23.7.01.03-0003</t>
        </is>
      </c>
      <c r="D94" s="230" t="inlineStr">
        <is>
          <t>Трубопроводы из стальных водогазопроводных неоцинкованных труб с гильзами и креплениями для газоснабжения, диаметр 25 мм</t>
        </is>
      </c>
      <c r="E94" s="170" t="inlineStr">
        <is>
          <t>м</t>
        </is>
      </c>
      <c r="F94" s="229" t="n">
        <v>55.8</v>
      </c>
      <c r="G94" s="158" t="n">
        <v>27.2</v>
      </c>
      <c r="H94" s="158">
        <f>ROUND(F94*G94,2)</f>
        <v/>
      </c>
      <c r="J94" s="163" t="n"/>
    </row>
    <row r="95" ht="47.25" customHeight="1">
      <c r="A95" s="229" t="n">
        <v>79</v>
      </c>
      <c r="B95" s="229" t="inlineStr">
        <is>
          <t> </t>
        </is>
      </c>
      <c r="C95" s="230" t="inlineStr">
        <is>
          <t>23.7.01.03-0006</t>
        </is>
      </c>
      <c r="D95" s="230" t="inlineStr">
        <is>
          <t>Трубопроводы из стальных водогазопроводных неоцинкованных труб с гильзами и креплениями для газоснабжения, диаметр 50 мм</t>
        </is>
      </c>
      <c r="E95" s="170" t="inlineStr">
        <is>
          <t>м</t>
        </is>
      </c>
      <c r="F95" s="229" t="n">
        <v>32.58</v>
      </c>
      <c r="G95" s="158" t="n">
        <v>42.88</v>
      </c>
      <c r="H95" s="158">
        <f>ROUND(F95*G95,2)</f>
        <v/>
      </c>
      <c r="J95" s="163" t="n"/>
    </row>
    <row r="96" ht="63" customHeight="1">
      <c r="A96" s="229" t="n">
        <v>80</v>
      </c>
      <c r="B96" s="229" t="inlineStr">
        <is>
          <t> </t>
        </is>
      </c>
      <c r="C96" s="230" t="inlineStr">
        <is>
          <t>23.7.01.04-0004</t>
        </is>
      </c>
      <c r="D96" s="230" t="inlineStr">
        <is>
          <t>Трубопроводы из стальных электросварных труб с гильзами для отопления и водоснабжения, наружный диаметр 89 мм, толщина стенки 3,5 мм</t>
        </is>
      </c>
      <c r="E96" s="170" t="inlineStr">
        <is>
          <t>м</t>
        </is>
      </c>
      <c r="F96" s="229" t="n">
        <v>22.2</v>
      </c>
      <c r="G96" s="158" t="n">
        <v>61.76</v>
      </c>
      <c r="H96" s="158">
        <f>ROUND(F96*G96,2)</f>
        <v/>
      </c>
      <c r="J96" s="163" t="n"/>
    </row>
    <row r="97" ht="63" customHeight="1">
      <c r="A97" s="229" t="n">
        <v>81</v>
      </c>
      <c r="B97" s="229" t="inlineStr">
        <is>
          <t> </t>
        </is>
      </c>
      <c r="C97" s="230" t="inlineStr">
        <is>
          <t>23.7.01.04-0006</t>
        </is>
      </c>
      <c r="D97" s="230" t="inlineStr">
        <is>
          <t>Трубопроводы из стальных электросварных труб с гильзами для отопления и водоснабжения, наружный диаметр 133 мм, толщина стенки 4 мм</t>
        </is>
      </c>
      <c r="E97" s="170" t="inlineStr">
        <is>
          <t>м</t>
        </is>
      </c>
      <c r="F97" s="229" t="n">
        <v>13.075</v>
      </c>
      <c r="G97" s="158" t="n">
        <v>103.04</v>
      </c>
      <c r="H97" s="158">
        <f>ROUND(F97*G97,2)</f>
        <v/>
      </c>
      <c r="J97" s="163" t="n"/>
      <c r="K97" s="164" t="n"/>
    </row>
    <row r="98" ht="63" customHeight="1">
      <c r="A98" s="229" t="n">
        <v>82</v>
      </c>
      <c r="B98" s="229" t="inlineStr">
        <is>
          <t> </t>
        </is>
      </c>
      <c r="C98" s="230" t="inlineStr">
        <is>
          <t>23.7.01.04-0003</t>
        </is>
      </c>
      <c r="D98" s="2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98" s="170" t="inlineStr">
        <is>
          <t>м</t>
        </is>
      </c>
      <c r="F98" s="229" t="n">
        <v>23.145</v>
      </c>
      <c r="G98" s="158" t="n">
        <v>53.12</v>
      </c>
      <c r="H98" s="158">
        <f>ROUND(F98*G98,2)</f>
        <v/>
      </c>
      <c r="J98" s="163" t="n"/>
    </row>
    <row r="99" ht="31.5" customHeight="1">
      <c r="A99" s="229" t="n">
        <v>83</v>
      </c>
      <c r="B99" s="229" t="inlineStr">
        <is>
          <t> </t>
        </is>
      </c>
      <c r="C99" s="230" t="inlineStr">
        <is>
          <t>01.7.15.07-0012</t>
        </is>
      </c>
      <c r="D99" s="230" t="inlineStr">
        <is>
          <t>Дюбели пластмассовые с шурупами, размер 12х70 мм</t>
        </is>
      </c>
      <c r="E99" s="170" t="inlineStr">
        <is>
          <t>100 шт</t>
        </is>
      </c>
      <c r="F99" s="229" t="n">
        <v>14.375</v>
      </c>
      <c r="G99" s="158" t="n">
        <v>83</v>
      </c>
      <c r="H99" s="158">
        <f>ROUND(F99*G99,2)</f>
        <v/>
      </c>
      <c r="J99" s="163" t="n"/>
    </row>
    <row r="100">
      <c r="A100" s="229" t="n">
        <v>84</v>
      </c>
      <c r="B100" s="229" t="inlineStr">
        <is>
          <t> </t>
        </is>
      </c>
      <c r="C100" s="230" t="inlineStr">
        <is>
          <t>01.7.11.07-0040</t>
        </is>
      </c>
      <c r="D100" s="230" t="inlineStr">
        <is>
          <t>Электроды сварочные Э50А, диаметр 4 мм</t>
        </is>
      </c>
      <c r="E100" s="170" t="inlineStr">
        <is>
          <t>т</t>
        </is>
      </c>
      <c r="F100" s="229" t="n">
        <v>0.09</v>
      </c>
      <c r="G100" s="158" t="n">
        <v>11524</v>
      </c>
      <c r="H100" s="158">
        <f>ROUND(F100*G100,2)</f>
        <v/>
      </c>
      <c r="J100" s="163" t="n"/>
    </row>
    <row r="101" ht="63" customHeight="1">
      <c r="A101" s="229" t="n">
        <v>85</v>
      </c>
      <c r="B101" s="229" t="inlineStr">
        <is>
          <t> </t>
        </is>
      </c>
      <c r="C101" s="230" t="inlineStr">
        <is>
          <t>23.8.04.12-0113</t>
        </is>
      </c>
      <c r="D101" s="230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01" s="170" t="inlineStr">
        <is>
          <t>шт</t>
        </is>
      </c>
      <c r="F101" s="229" t="n">
        <v>9</v>
      </c>
      <c r="G101" s="158" t="n">
        <v>111.84</v>
      </c>
      <c r="H101" s="158">
        <f>ROUND(F101*G101,2)</f>
        <v/>
      </c>
      <c r="J101" s="163" t="n"/>
    </row>
    <row r="102" ht="31.5" customHeight="1">
      <c r="A102" s="229" t="n">
        <v>86</v>
      </c>
      <c r="B102" s="229" t="inlineStr">
        <is>
          <t> </t>
        </is>
      </c>
      <c r="C102" s="230" t="inlineStr">
        <is>
          <t>08.3.05.02-0052</t>
        </is>
      </c>
      <c r="D102" s="230" t="inlineStr">
        <is>
          <t>Прокат толстолистовой горячекатаный марка стали Ст3, толщина 2-6 мм</t>
        </is>
      </c>
      <c r="E102" s="170" t="inlineStr">
        <is>
          <t>т</t>
        </is>
      </c>
      <c r="F102" s="229" t="n">
        <v>0.1515</v>
      </c>
      <c r="G102" s="158" t="n">
        <v>5941.89</v>
      </c>
      <c r="H102" s="158">
        <f>ROUND(F102*G102,2)</f>
        <v/>
      </c>
      <c r="J102" s="163" t="n"/>
    </row>
    <row r="103" ht="47.25" customHeight="1">
      <c r="A103" s="229" t="n">
        <v>87</v>
      </c>
      <c r="B103" s="229" t="inlineStr">
        <is>
          <t> </t>
        </is>
      </c>
      <c r="C103" s="230" t="inlineStr">
        <is>
          <t>23.8.04.08-0053</t>
        </is>
      </c>
      <c r="D103" s="230" t="inlineStr">
        <is>
          <t>Переходы концентрические, номинальное давление 16 МПа, наружный диаметр и толщина стенки 76х3,5-38х2,5 мм</t>
        </is>
      </c>
      <c r="E103" s="170" t="inlineStr">
        <is>
          <t>шт</t>
        </is>
      </c>
      <c r="F103" s="229" t="n">
        <v>18</v>
      </c>
      <c r="G103" s="158" t="n">
        <v>48.28</v>
      </c>
      <c r="H103" s="158">
        <f>ROUND(F103*G103,2)</f>
        <v/>
      </c>
      <c r="J103" s="163" t="n"/>
    </row>
    <row r="104" ht="63" customHeight="1">
      <c r="A104" s="229" t="n">
        <v>88</v>
      </c>
      <c r="B104" s="229" t="inlineStr">
        <is>
          <t> </t>
        </is>
      </c>
      <c r="C104" s="230" t="inlineStr">
        <is>
          <t>23.8.04.12-0111</t>
        </is>
      </c>
      <c r="D104" s="230" t="inlineStr">
        <is>
          <t>Тройники равнопроходные, номинальное давление до 16 МПа, номинальный диаметр 40 мм, наружный диаметр и толщина стенки 48,3х3,6 мм</t>
        </is>
      </c>
      <c r="E104" s="170" t="inlineStr">
        <is>
          <t>шт</t>
        </is>
      </c>
      <c r="F104" s="229" t="n">
        <v>9</v>
      </c>
      <c r="G104" s="158" t="n">
        <v>94.64</v>
      </c>
      <c r="H104" s="158">
        <f>ROUND(F104*G104,2)</f>
        <v/>
      </c>
      <c r="J104" s="163" t="n"/>
    </row>
    <row r="105" ht="31.5" customHeight="1">
      <c r="A105" s="229" t="n">
        <v>89</v>
      </c>
      <c r="B105" s="229" t="inlineStr">
        <is>
          <t> </t>
        </is>
      </c>
      <c r="C105" s="230" t="inlineStr">
        <is>
          <t>08.3.08.02-0091</t>
        </is>
      </c>
      <c r="D105" s="230" t="inlineStr">
        <is>
          <t>Уголок перфорированный, марка стали Ст3, размер 35х35 мм</t>
        </is>
      </c>
      <c r="E105" s="170" t="inlineStr">
        <is>
          <t>м</t>
        </is>
      </c>
      <c r="F105" s="229" t="n">
        <v>44.544</v>
      </c>
      <c r="G105" s="158" t="n">
        <v>15.13</v>
      </c>
      <c r="H105" s="158">
        <f>ROUND(F105*G105,2)</f>
        <v/>
      </c>
      <c r="J105" s="163" t="n"/>
    </row>
    <row r="106">
      <c r="A106" s="229" t="n">
        <v>90</v>
      </c>
      <c r="B106" s="229" t="inlineStr">
        <is>
          <t> </t>
        </is>
      </c>
      <c r="C106" s="230" t="inlineStr">
        <is>
          <t>14.4.04.09-0017</t>
        </is>
      </c>
      <c r="D106" s="230" t="inlineStr">
        <is>
          <t>Эмаль ХВ-124, защитная, зеленая</t>
        </is>
      </c>
      <c r="E106" s="170" t="inlineStr">
        <is>
          <t>т</t>
        </is>
      </c>
      <c r="F106" s="229" t="n">
        <v>0.02286</v>
      </c>
      <c r="G106" s="158" t="n">
        <v>28300.4</v>
      </c>
      <c r="H106" s="158">
        <f>ROUND(F106*G106,2)</f>
        <v/>
      </c>
      <c r="J106" s="163" t="n"/>
    </row>
    <row r="107" ht="31.5" customHeight="1">
      <c r="A107" s="229" t="n">
        <v>91</v>
      </c>
      <c r="B107" s="229" t="inlineStr">
        <is>
          <t> </t>
        </is>
      </c>
      <c r="C107" s="230" t="inlineStr">
        <is>
          <t>999-9950</t>
        </is>
      </c>
      <c r="D107" s="230" t="inlineStr">
        <is>
          <t>Вспомогательные ненормируемые ресурсы (2% от Оплаты труда рабочих)</t>
        </is>
      </c>
      <c r="E107" s="170" t="inlineStr">
        <is>
          <t>руб</t>
        </is>
      </c>
      <c r="F107" s="229" t="n">
        <v>620.551407</v>
      </c>
      <c r="G107" s="158" t="n">
        <v>1</v>
      </c>
      <c r="H107" s="158">
        <f>ROUND(F107*G107,2)</f>
        <v/>
      </c>
      <c r="J107" s="163" t="n"/>
    </row>
    <row r="108" ht="63" customHeight="1">
      <c r="A108" s="229" t="n">
        <v>92</v>
      </c>
      <c r="B108" s="229" t="inlineStr">
        <is>
          <t> </t>
        </is>
      </c>
      <c r="C108" s="230" t="inlineStr">
        <is>
          <t>23.7.01.04-0005</t>
        </is>
      </c>
      <c r="D108" s="23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08" s="170" t="inlineStr">
        <is>
          <t>м</t>
        </is>
      </c>
      <c r="F108" s="229" t="n">
        <v>7.52</v>
      </c>
      <c r="G108" s="158" t="n">
        <v>79.36</v>
      </c>
      <c r="H108" s="158">
        <f>ROUND(F108*G108,2)</f>
        <v/>
      </c>
      <c r="J108" s="163" t="n"/>
    </row>
    <row r="109">
      <c r="A109" s="229" t="n">
        <v>93</v>
      </c>
      <c r="B109" s="229" t="inlineStr">
        <is>
          <t> </t>
        </is>
      </c>
      <c r="C109" s="230" t="inlineStr">
        <is>
          <t>01.7.11.07-0032</t>
        </is>
      </c>
      <c r="D109" s="230" t="inlineStr">
        <is>
          <t>Электроды сварочные Э42, диаметр 4 мм</t>
        </is>
      </c>
      <c r="E109" s="170" t="inlineStr">
        <is>
          <t>т</t>
        </is>
      </c>
      <c r="F109" s="229" t="n">
        <v>0.057804</v>
      </c>
      <c r="G109" s="158" t="n">
        <v>10315.01</v>
      </c>
      <c r="H109" s="158">
        <f>ROUND(F109*G109,2)</f>
        <v/>
      </c>
      <c r="J109" s="163" t="n"/>
    </row>
    <row r="110" ht="31.5" customHeight="1">
      <c r="A110" s="229" t="n">
        <v>94</v>
      </c>
      <c r="B110" s="229" t="inlineStr">
        <is>
          <t> </t>
        </is>
      </c>
      <c r="C110" s="230" t="inlineStr">
        <is>
          <t>08.1.02.11-0023</t>
        </is>
      </c>
      <c r="D110" s="230" t="inlineStr">
        <is>
          <t>Поковки простые строительные (скобы, закрепы, хомуты), масса до 1,6 кг</t>
        </is>
      </c>
      <c r="E110" s="170" t="inlineStr">
        <is>
          <t>кг</t>
        </is>
      </c>
      <c r="F110" s="229" t="n">
        <v>38</v>
      </c>
      <c r="G110" s="158" t="n">
        <v>15.14</v>
      </c>
      <c r="H110" s="158">
        <f>ROUND(F110*G110,2)</f>
        <v/>
      </c>
      <c r="J110" s="163" t="n"/>
    </row>
    <row r="111" ht="63" customHeight="1">
      <c r="A111" s="229" t="n">
        <v>95</v>
      </c>
      <c r="B111" s="229" t="inlineStr">
        <is>
          <t> </t>
        </is>
      </c>
      <c r="C111" s="230" t="inlineStr">
        <is>
          <t>23.7.01.04-0002</t>
        </is>
      </c>
      <c r="D111" s="2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11" s="170" t="inlineStr">
        <is>
          <t>м</t>
        </is>
      </c>
      <c r="F111" s="229" t="n">
        <v>13.385</v>
      </c>
      <c r="G111" s="158" t="n">
        <v>41.28</v>
      </c>
      <c r="H111" s="158">
        <f>ROUND(F111*G111,2)</f>
        <v/>
      </c>
      <c r="J111" s="163" t="n"/>
    </row>
    <row r="112" ht="47.25" customHeight="1">
      <c r="A112" s="229" t="n">
        <v>96</v>
      </c>
      <c r="B112" s="229" t="inlineStr">
        <is>
          <t> </t>
        </is>
      </c>
      <c r="C112" s="230" t="inlineStr">
        <is>
          <t>23.8.04.08-0059</t>
        </is>
      </c>
      <c r="D112" s="230" t="inlineStr">
        <is>
          <t>Переходы концентрические, номинальное давление 16 МПа, наружный диаметр и толщина стенки 89х3,5-45х2,5 мм</t>
        </is>
      </c>
      <c r="E112" s="170" t="inlineStr">
        <is>
          <t>шт</t>
        </is>
      </c>
      <c r="F112" s="229" t="n">
        <v>8</v>
      </c>
      <c r="G112" s="158" t="n">
        <v>58.12</v>
      </c>
      <c r="H112" s="158">
        <f>ROUND(F112*G112,2)</f>
        <v/>
      </c>
      <c r="J112" s="163" t="n"/>
    </row>
    <row r="113" ht="47.25" customHeight="1">
      <c r="A113" s="229" t="n">
        <v>97</v>
      </c>
      <c r="B113" s="229" t="inlineStr">
        <is>
          <t> </t>
        </is>
      </c>
      <c r="C113" s="230" t="inlineStr">
        <is>
          <t>23.8.04.08-0055</t>
        </is>
      </c>
      <c r="D113" s="230" t="inlineStr">
        <is>
          <t>Переходы концентрические, номинальное давление 16 МПа, наружный диаметр и толщина стенки 76х3,5-45х2,5 мм</t>
        </is>
      </c>
      <c r="E113" s="170" t="inlineStr">
        <is>
          <t>шт</t>
        </is>
      </c>
      <c r="F113" s="229" t="n">
        <v>9</v>
      </c>
      <c r="G113" s="158" t="n">
        <v>50.14</v>
      </c>
      <c r="H113" s="158">
        <f>ROUND(F113*G113,2)</f>
        <v/>
      </c>
      <c r="J113" s="163" t="n"/>
    </row>
    <row r="114" ht="63" customHeight="1">
      <c r="A114" s="229" t="n">
        <v>98</v>
      </c>
      <c r="B114" s="229" t="inlineStr">
        <is>
          <t> </t>
        </is>
      </c>
      <c r="C114" s="230" t="inlineStr">
        <is>
          <t>23.8.04.06-0309</t>
        </is>
      </c>
      <c r="D114" s="230" t="inlineStr">
        <is>
          <t>Отводы 90 °C радиусом кривизны R=1,5 Ду на давление до 16 МПа, номинальный диаметр 30 мм, наружный диаметр 33,7 мм, толщина стенки 2,3 мм</t>
        </is>
      </c>
      <c r="E114" s="170" t="inlineStr">
        <is>
          <t>шт</t>
        </is>
      </c>
      <c r="F114" s="229" t="n">
        <v>66</v>
      </c>
      <c r="G114" s="158" t="n">
        <v>6.65</v>
      </c>
      <c r="H114" s="158">
        <f>ROUND(F114*G114,2)</f>
        <v/>
      </c>
      <c r="J114" s="163" t="n"/>
    </row>
    <row r="115" ht="63" customHeight="1">
      <c r="A115" s="229" t="n">
        <v>99</v>
      </c>
      <c r="B115" s="229" t="inlineStr">
        <is>
          <t> </t>
        </is>
      </c>
      <c r="C115" s="230" t="inlineStr">
        <is>
          <t>23.8.04.12-0116</t>
        </is>
      </c>
      <c r="D115" s="230" t="inlineStr">
        <is>
          <t>Тройники равнопроходные, номинальное давление до 16 МПа, номинальный диаметр 65 мм, наружный диаметр и толщина стенки 76,1х5,0 мм</t>
        </is>
      </c>
      <c r="E115" s="170" t="inlineStr">
        <is>
          <t>шт</t>
        </is>
      </c>
      <c r="F115" s="229" t="n">
        <v>3</v>
      </c>
      <c r="G115" s="158" t="n">
        <v>141.68</v>
      </c>
      <c r="H115" s="158">
        <f>ROUND(F115*G115,2)</f>
        <v/>
      </c>
      <c r="J115" s="163" t="n"/>
    </row>
    <row r="116" ht="63" customHeight="1">
      <c r="A116" s="229" t="n">
        <v>100</v>
      </c>
      <c r="B116" s="229" t="inlineStr">
        <is>
          <t> </t>
        </is>
      </c>
      <c r="C116" s="230" t="inlineStr">
        <is>
          <t>23.8.04.06-0061</t>
        </is>
      </c>
      <c r="D116" s="230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2,5 мм</t>
        </is>
      </c>
      <c r="E116" s="170" t="inlineStr">
        <is>
          <t>шт</t>
        </is>
      </c>
      <c r="F116" s="229" t="n">
        <v>20</v>
      </c>
      <c r="G116" s="158" t="n">
        <v>21.15</v>
      </c>
      <c r="H116" s="158">
        <f>ROUND(F116*G116,2)</f>
        <v/>
      </c>
      <c r="J116" s="163" t="n"/>
      <c r="K116" s="164" t="n"/>
    </row>
    <row r="117" ht="31.5" customHeight="1">
      <c r="A117" s="229" t="n">
        <v>101</v>
      </c>
      <c r="B117" s="229" t="inlineStr">
        <is>
          <t> </t>
        </is>
      </c>
      <c r="C117" s="230" t="inlineStr">
        <is>
          <t>10.3.02.03-0012</t>
        </is>
      </c>
      <c r="D117" s="230" t="inlineStr">
        <is>
          <t>Припои оловянно-свинцовые бессурьмянистые, марка ПОС40</t>
        </is>
      </c>
      <c r="E117" s="170" t="inlineStr">
        <is>
          <t>т</t>
        </is>
      </c>
      <c r="F117" s="229" t="n">
        <v>0.006196</v>
      </c>
      <c r="G117" s="158" t="n">
        <v>65750</v>
      </c>
      <c r="H117" s="158">
        <f>ROUND(F117*G117,2)</f>
        <v/>
      </c>
      <c r="J117" s="163" t="n"/>
    </row>
    <row r="118" ht="63" customHeight="1">
      <c r="A118" s="229" t="n">
        <v>102</v>
      </c>
      <c r="B118" s="229" t="inlineStr">
        <is>
          <t> </t>
        </is>
      </c>
      <c r="C118" s="230" t="inlineStr">
        <is>
          <t>23.8.04.12-0125</t>
        </is>
      </c>
      <c r="D118" s="230" t="inlineStr">
        <is>
          <t>Тройники равнопроходные, номинальное давление до 16 МПа, номинальный диаметр 125 мм, наружный диаметр и толщина стенки 133х4,0 мм</t>
        </is>
      </c>
      <c r="E118" s="170" t="inlineStr">
        <is>
          <t>шт</t>
        </is>
      </c>
      <c r="F118" s="229" t="n">
        <v>2</v>
      </c>
      <c r="G118" s="158" t="n">
        <v>185.81</v>
      </c>
      <c r="H118" s="158">
        <f>ROUND(F118*G118,2)</f>
        <v/>
      </c>
      <c r="J118" s="163" t="n"/>
    </row>
    <row r="119">
      <c r="A119" s="229" t="n">
        <v>103</v>
      </c>
      <c r="B119" s="229" t="inlineStr">
        <is>
          <t> </t>
        </is>
      </c>
      <c r="C119" s="230" t="inlineStr">
        <is>
          <t>14.4.01.01-0003</t>
        </is>
      </c>
      <c r="D119" s="230" t="inlineStr">
        <is>
          <t>Грунтовка ГФ-021</t>
        </is>
      </c>
      <c r="E119" s="170" t="inlineStr">
        <is>
          <t>т</t>
        </is>
      </c>
      <c r="F119" s="229" t="n">
        <v>0.0228477</v>
      </c>
      <c r="G119" s="158" t="n">
        <v>15620</v>
      </c>
      <c r="H119" s="158">
        <f>ROUND(F119*G119,2)</f>
        <v/>
      </c>
      <c r="J119" s="163" t="n"/>
    </row>
    <row r="120" ht="63" customHeight="1">
      <c r="A120" s="229" t="n">
        <v>104</v>
      </c>
      <c r="B120" s="229" t="inlineStr">
        <is>
          <t> </t>
        </is>
      </c>
      <c r="C120" s="230" t="inlineStr">
        <is>
          <t>23.8.04.12-0103</t>
        </is>
      </c>
      <c r="D120" s="230" t="inlineStr">
        <is>
          <t>Тройники равнопроходные, номинальное давление до 16 МПа, номинальный диаметр 80 мм, наружный диаметр и толщина стенки 88,9х3,2 мм</t>
        </is>
      </c>
      <c r="E120" s="170" t="inlineStr">
        <is>
          <t>шт</t>
        </is>
      </c>
      <c r="F120" s="229" t="n">
        <v>4</v>
      </c>
      <c r="G120" s="158" t="n">
        <v>88.14</v>
      </c>
      <c r="H120" s="158">
        <f>ROUND(F120*G120,2)</f>
        <v/>
      </c>
      <c r="J120" s="163" t="n"/>
    </row>
    <row r="121">
      <c r="A121" s="229" t="n">
        <v>105</v>
      </c>
      <c r="B121" s="229" t="inlineStr">
        <is>
          <t> </t>
        </is>
      </c>
      <c r="C121" s="230" t="inlineStr">
        <is>
          <t>21.2.03.09-0105</t>
        </is>
      </c>
      <c r="D121" s="230" t="inlineStr">
        <is>
          <t>Провод силовой ПРТО 1х1,5-660</t>
        </is>
      </c>
      <c r="E121" s="170" t="inlineStr">
        <is>
          <t>1000 м</t>
        </is>
      </c>
      <c r="F121" s="229" t="n">
        <v>0.19</v>
      </c>
      <c r="G121" s="158" t="n">
        <v>1819.3</v>
      </c>
      <c r="H121" s="158">
        <f>ROUND(F121*G121,2)</f>
        <v/>
      </c>
      <c r="J121" s="163" t="n"/>
    </row>
    <row r="122" ht="63" customHeight="1">
      <c r="A122" s="229" t="n">
        <v>106</v>
      </c>
      <c r="B122" s="229" t="inlineStr">
        <is>
          <t> </t>
        </is>
      </c>
      <c r="C122" s="230" t="inlineStr">
        <is>
          <t>23.8.04.12-0115</t>
        </is>
      </c>
      <c r="D122" s="230" t="inlineStr">
        <is>
          <t>Тройники равнопроходные, номинальное давление до 16 МПа, номинальный диаметр 65 мм, наружный диаметр и толщина стенки 76,1х2,9 мм</t>
        </is>
      </c>
      <c r="E122" s="170" t="inlineStr">
        <is>
          <t>шт</t>
        </is>
      </c>
      <c r="F122" s="229" t="n">
        <v>3</v>
      </c>
      <c r="G122" s="158" t="n">
        <v>110.07</v>
      </c>
      <c r="H122" s="158">
        <f>ROUND(F122*G122,2)</f>
        <v/>
      </c>
      <c r="J122" s="163" t="n"/>
    </row>
    <row r="123" ht="63" customHeight="1">
      <c r="A123" s="229" t="n">
        <v>107</v>
      </c>
      <c r="B123" s="229" t="inlineStr">
        <is>
          <t> </t>
        </is>
      </c>
      <c r="C123" s="230" t="inlineStr">
        <is>
          <t>23.8.04.12-0104</t>
        </is>
      </c>
      <c r="D123" s="230" t="inlineStr">
        <is>
          <t>Тройники равнопроходные, номинальное давление до 16 МПа, номинальный диаметр 100 мм, наружный диаметр и толщина стенки 114,3х3,6 мм</t>
        </is>
      </c>
      <c r="E123" s="170" t="inlineStr">
        <is>
          <t>шт</t>
        </is>
      </c>
      <c r="F123" s="229" t="n">
        <v>2</v>
      </c>
      <c r="G123" s="158" t="n">
        <v>155.94</v>
      </c>
      <c r="H123" s="158">
        <f>ROUND(F123*G123,2)</f>
        <v/>
      </c>
      <c r="J123" s="163" t="n"/>
    </row>
    <row r="124" ht="63" customHeight="1">
      <c r="A124" s="229" t="n">
        <v>108</v>
      </c>
      <c r="B124" s="229" t="inlineStr">
        <is>
          <t> </t>
        </is>
      </c>
      <c r="C124" s="230" t="inlineStr">
        <is>
          <t>23.7.01.04-0001</t>
        </is>
      </c>
      <c r="D124" s="230" t="inlineStr">
        <is>
          <t>Трубопроводы из стальных электросварных труб с гильзами для отопления и водоснабжения, наружный диаметр 45 мм, толщина стенки 3,5 мм</t>
        </is>
      </c>
      <c r="E124" s="170" t="inlineStr">
        <is>
          <t>м</t>
        </is>
      </c>
      <c r="F124" s="229" t="n">
        <v>9.44</v>
      </c>
      <c r="G124" s="158" t="n">
        <v>31.75</v>
      </c>
      <c r="H124" s="158">
        <f>ROUND(F124*G124,2)</f>
        <v/>
      </c>
      <c r="J124" s="163" t="n"/>
    </row>
    <row r="125">
      <c r="A125" s="229" t="n">
        <v>109</v>
      </c>
      <c r="B125" s="229" t="inlineStr">
        <is>
          <t> </t>
        </is>
      </c>
      <c r="C125" s="230" t="inlineStr">
        <is>
          <t>01.3.02.08-0001</t>
        </is>
      </c>
      <c r="D125" s="230" t="inlineStr">
        <is>
          <t>Кислород газообразный технический</t>
        </is>
      </c>
      <c r="E125" s="170" t="inlineStr">
        <is>
          <t>м3</t>
        </is>
      </c>
      <c r="F125" s="229" t="n">
        <v>37.6231077</v>
      </c>
      <c r="G125" s="158" t="n">
        <v>6.22</v>
      </c>
      <c r="H125" s="158">
        <f>ROUND(F125*G125,2)</f>
        <v/>
      </c>
      <c r="J125" s="163" t="n"/>
    </row>
    <row r="126" ht="31.5" customHeight="1">
      <c r="A126" s="229" t="n">
        <v>110</v>
      </c>
      <c r="B126" s="229" t="inlineStr">
        <is>
          <t> </t>
        </is>
      </c>
      <c r="C126" s="230" t="inlineStr">
        <is>
          <t>08.3.11.01-0032</t>
        </is>
      </c>
      <c r="D126" s="230" t="inlineStr">
        <is>
          <t>Сталь швеллерная, перфорированная ШП, марка Ст3, размер 60х35 мм</t>
        </is>
      </c>
      <c r="E126" s="170" t="inlineStr">
        <is>
          <t>м</t>
        </is>
      </c>
      <c r="F126" s="229" t="n">
        <v>9.048</v>
      </c>
      <c r="G126" s="158" t="n">
        <v>23.79</v>
      </c>
      <c r="H126" s="158">
        <f>ROUND(F126*G126,2)</f>
        <v/>
      </c>
      <c r="J126" s="163" t="n"/>
    </row>
    <row r="127" ht="63" customHeight="1">
      <c r="A127" s="229" t="n">
        <v>111</v>
      </c>
      <c r="B127" s="229" t="inlineStr">
        <is>
          <t> </t>
        </is>
      </c>
      <c r="C127" s="230" t="inlineStr">
        <is>
          <t>23.8.04.06-0063</t>
        </is>
      </c>
      <c r="D127" s="23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3 мм</t>
        </is>
      </c>
      <c r="E127" s="170" t="inlineStr">
        <is>
          <t>шт</t>
        </is>
      </c>
      <c r="F127" s="229" t="n">
        <v>8</v>
      </c>
      <c r="G127" s="158" t="n">
        <v>25.06</v>
      </c>
      <c r="H127" s="158">
        <f>ROUND(F127*G127,2)</f>
        <v/>
      </c>
      <c r="J127" s="163" t="n"/>
    </row>
    <row r="128">
      <c r="A128" s="229" t="n">
        <v>112</v>
      </c>
      <c r="B128" s="229" t="inlineStr">
        <is>
          <t> </t>
        </is>
      </c>
      <c r="C128" s="230" t="inlineStr">
        <is>
          <t>01.7.11.07-0044</t>
        </is>
      </c>
      <c r="D128" s="230" t="inlineStr">
        <is>
          <t>Электроды сварочные Э42, диаметр 5 мм</t>
        </is>
      </c>
      <c r="E128" s="170" t="inlineStr">
        <is>
          <t>т</t>
        </is>
      </c>
      <c r="F128" s="229" t="n">
        <v>0.020443</v>
      </c>
      <c r="G128" s="158" t="n">
        <v>9765</v>
      </c>
      <c r="H128" s="158">
        <f>ROUND(F128*G128,2)</f>
        <v/>
      </c>
      <c r="J128" s="163" t="n"/>
    </row>
    <row r="129" ht="31.5" customHeight="1">
      <c r="A129" s="229" t="n">
        <v>113</v>
      </c>
      <c r="B129" s="229" t="inlineStr">
        <is>
          <t> </t>
        </is>
      </c>
      <c r="C129" s="230" t="inlineStr">
        <is>
          <t>10.3.02.03-0011</t>
        </is>
      </c>
      <c r="D129" s="230" t="inlineStr">
        <is>
          <t>Припои оловянно-свинцовые бессурьмянистые, марка ПОС30</t>
        </is>
      </c>
      <c r="E129" s="170" t="inlineStr">
        <is>
          <t>т</t>
        </is>
      </c>
      <c r="F129" s="229" t="n">
        <v>0.002825</v>
      </c>
      <c r="G129" s="158" t="n">
        <v>68050</v>
      </c>
      <c r="H129" s="158">
        <f>ROUND(F129*G129,2)</f>
        <v/>
      </c>
      <c r="J129" s="163" t="n"/>
    </row>
    <row r="130" ht="63" customHeight="1">
      <c r="A130" s="229" t="n">
        <v>114</v>
      </c>
      <c r="B130" s="229" t="inlineStr">
        <is>
          <t> </t>
        </is>
      </c>
      <c r="C130" s="230" t="inlineStr">
        <is>
          <t>23.3.03.02-0111</t>
        </is>
      </c>
      <c r="D130" s="230" t="inlineStr">
        <is>
          <t>Трубы стальные бесшовные горячедеформированные со снятой фаской из стали марок 15, 20, 35, наружный диаметр 133 мм, толщина стенки 4 мм</t>
        </is>
      </c>
      <c r="E130" s="170" t="inlineStr">
        <is>
          <t>м</t>
        </is>
      </c>
      <c r="F130" s="229" t="n">
        <v>1.98</v>
      </c>
      <c r="G130" s="158" t="n">
        <v>93.26000000000001</v>
      </c>
      <c r="H130" s="158">
        <f>ROUND(F130*G130,2)</f>
        <v/>
      </c>
      <c r="J130" s="163" t="n"/>
    </row>
    <row r="131" ht="47.25" customHeight="1">
      <c r="A131" s="229" t="n">
        <v>115</v>
      </c>
      <c r="B131" s="229" t="inlineStr">
        <is>
          <t> </t>
        </is>
      </c>
      <c r="C131" s="230" t="inlineStr">
        <is>
          <t>23.8.04.08-0165</t>
        </is>
      </c>
      <c r="D131" s="230" t="inlineStr">
        <is>
          <t>Переходы стальные концентрические бесшовные приварные, наружный диаметр и толщина стенки 133х4,0-108х4,0 мм</t>
        </is>
      </c>
      <c r="E131" s="170" t="inlineStr">
        <is>
          <t>шт</t>
        </is>
      </c>
      <c r="F131" s="229" t="n">
        <v>4</v>
      </c>
      <c r="G131" s="158" t="n">
        <v>45.75</v>
      </c>
      <c r="H131" s="158">
        <f>ROUND(F131*G131,2)</f>
        <v/>
      </c>
      <c r="J131" s="163" t="n"/>
    </row>
    <row r="132" ht="31.5" customHeight="1">
      <c r="A132" s="229" t="n">
        <v>116</v>
      </c>
      <c r="B132" s="229" t="inlineStr">
        <is>
          <t> </t>
        </is>
      </c>
      <c r="C132" s="230" t="inlineStr">
        <is>
          <t>23.8.04.08-0090</t>
        </is>
      </c>
      <c r="D132" s="230" t="inlineStr">
        <is>
          <t>Переходы концентрические, номинальное давление 16 МПа, наружный диаметр и толщина стенки 159х4,5-133х4 мм</t>
        </is>
      </c>
      <c r="E132" s="170" t="inlineStr">
        <is>
          <t>шт</t>
        </is>
      </c>
      <c r="F132" s="229" t="n">
        <v>2</v>
      </c>
      <c r="G132" s="158" t="n">
        <v>87.12</v>
      </c>
      <c r="H132" s="158">
        <f>ROUND(F132*G132,2)</f>
        <v/>
      </c>
      <c r="J132" s="163" t="n"/>
    </row>
    <row r="133" ht="47.25" customHeight="1">
      <c r="A133" s="229" t="n">
        <v>117</v>
      </c>
      <c r="B133" s="229" t="inlineStr">
        <is>
          <t> </t>
        </is>
      </c>
      <c r="C133" s="230" t="inlineStr">
        <is>
          <t>23.8.04.08-0052</t>
        </is>
      </c>
      <c r="D133" s="230" t="inlineStr">
        <is>
          <t>Переходы концентрические, номинальное давление 16 МПа, наружный диаметр и толщина стенки 57х5-45х4 мм</t>
        </is>
      </c>
      <c r="E133" s="170" t="inlineStr">
        <is>
          <t>шт</t>
        </is>
      </c>
      <c r="F133" s="229" t="n">
        <v>3</v>
      </c>
      <c r="G133" s="158" t="n">
        <v>44.49</v>
      </c>
      <c r="H133" s="158">
        <f>ROUND(F133*G133,2)</f>
        <v/>
      </c>
      <c r="J133" s="163" t="n"/>
    </row>
    <row r="134" ht="31.5" customHeight="1">
      <c r="A134" s="229" t="n">
        <v>118</v>
      </c>
      <c r="B134" s="229" t="inlineStr">
        <is>
          <t> </t>
        </is>
      </c>
      <c r="C134" s="230" t="inlineStr">
        <is>
          <t>21.1.08.01-0095</t>
        </is>
      </c>
      <c r="D134" s="230" t="inlineStr">
        <is>
          <t>Кабель пожарной сигнализации КПСВВнг-LS 2х2х0,75</t>
        </is>
      </c>
      <c r="E134" s="170" t="inlineStr">
        <is>
          <t>1000 м</t>
        </is>
      </c>
      <c r="F134" s="229" t="n">
        <v>0.02</v>
      </c>
      <c r="G134" s="158" t="n">
        <v>6663.65</v>
      </c>
      <c r="H134" s="158">
        <f>ROUND(F134*G134,2)</f>
        <v/>
      </c>
      <c r="J134" s="163" t="n"/>
    </row>
    <row r="135" ht="63" customHeight="1">
      <c r="A135" s="229" t="n">
        <v>119</v>
      </c>
      <c r="B135" s="229" t="inlineStr">
        <is>
          <t> </t>
        </is>
      </c>
      <c r="C135" s="230" t="inlineStr">
        <is>
          <t>23.8.04.06-0080</t>
        </is>
      </c>
      <c r="D135" s="230" t="inlineStr">
        <is>
          <t>Отвод крутоизогнутый, радиус кривизны 1,5 мм, номинальное давление до 16 МПа, номинальный диаметр 125 мм, наружный диаметр 133 мм, толщина стенки 6 мм</t>
        </is>
      </c>
      <c r="E135" s="170" t="inlineStr">
        <is>
          <t>шт</t>
        </is>
      </c>
      <c r="F135" s="229" t="n">
        <v>1</v>
      </c>
      <c r="G135" s="158" t="n">
        <v>116.94</v>
      </c>
      <c r="H135" s="158">
        <f>ROUND(F135*G135,2)</f>
        <v/>
      </c>
      <c r="J135" s="163" t="n"/>
    </row>
    <row r="136">
      <c r="A136" s="229" t="n">
        <v>120</v>
      </c>
      <c r="B136" s="229" t="inlineStr">
        <is>
          <t> </t>
        </is>
      </c>
      <c r="C136" s="230" t="inlineStr">
        <is>
          <t>14.5.09.07-0030</t>
        </is>
      </c>
      <c r="D136" s="230" t="inlineStr">
        <is>
          <t>Растворитель Р-4</t>
        </is>
      </c>
      <c r="E136" s="170" t="inlineStr">
        <is>
          <t>кг</t>
        </is>
      </c>
      <c r="F136" s="229" t="n">
        <v>10.128</v>
      </c>
      <c r="G136" s="158" t="n">
        <v>9.42</v>
      </c>
      <c r="H136" s="158">
        <f>ROUND(F136*G136,2)</f>
        <v/>
      </c>
      <c r="J136" s="163" t="n"/>
    </row>
    <row r="137" ht="47.25" customHeight="1">
      <c r="A137" s="229" t="n">
        <v>121</v>
      </c>
      <c r="B137" s="229" t="inlineStr">
        <is>
          <t> </t>
        </is>
      </c>
      <c r="C137" s="230" t="inlineStr">
        <is>
          <t>23.8.04.08-0084</t>
        </is>
      </c>
      <c r="D137" s="230" t="inlineStr">
        <is>
          <t>Переходы концентрические, номинальное давление 16 МПа, наружный диаметр и толщина стенки 159х4,5-76х3,5 мм</t>
        </is>
      </c>
      <c r="E137" s="170" t="inlineStr">
        <is>
          <t>шт</t>
        </is>
      </c>
      <c r="F137" s="229" t="n">
        <v>1</v>
      </c>
      <c r="G137" s="158" t="n">
        <v>91.41</v>
      </c>
      <c r="H137" s="158">
        <f>ROUND(F137*G137,2)</f>
        <v/>
      </c>
      <c r="J137" s="163" t="n"/>
    </row>
    <row r="138">
      <c r="A138" s="229" t="n">
        <v>122</v>
      </c>
      <c r="B138" s="229" t="inlineStr">
        <is>
          <t> </t>
        </is>
      </c>
      <c r="C138" s="230" t="inlineStr">
        <is>
          <t>01.7.03.01-0002</t>
        </is>
      </c>
      <c r="D138" s="230" t="inlineStr">
        <is>
          <t>Вода водопроводная</t>
        </is>
      </c>
      <c r="E138" s="170" t="inlineStr">
        <is>
          <t>м3</t>
        </is>
      </c>
      <c r="F138" s="229" t="n">
        <v>21.8187105</v>
      </c>
      <c r="G138" s="158" t="n">
        <v>3.15</v>
      </c>
      <c r="H138" s="158">
        <f>ROUND(F138*G138,2)</f>
        <v/>
      </c>
      <c r="J138" s="163" t="n"/>
    </row>
    <row r="139">
      <c r="A139" s="229" t="n">
        <v>123</v>
      </c>
      <c r="B139" s="229" t="inlineStr">
        <is>
          <t> </t>
        </is>
      </c>
      <c r="C139" s="230" t="inlineStr">
        <is>
          <t>22.2.02.23-0011</t>
        </is>
      </c>
      <c r="D139" s="230" t="inlineStr">
        <is>
          <t>Глухари</t>
        </is>
      </c>
      <c r="E139" s="170" t="inlineStr">
        <is>
          <t>100 шт</t>
        </is>
      </c>
      <c r="F139" s="229" t="n">
        <v>0.418</v>
      </c>
      <c r="G139" s="158" t="n">
        <v>164</v>
      </c>
      <c r="H139" s="158">
        <f>ROUND(F139*G139,2)</f>
        <v/>
      </c>
      <c r="J139" s="163" t="n"/>
    </row>
    <row r="140" ht="63" customHeight="1">
      <c r="A140" s="229" t="n">
        <v>124</v>
      </c>
      <c r="B140" s="229" t="inlineStr">
        <is>
          <t> </t>
        </is>
      </c>
      <c r="C140" s="230" t="inlineStr">
        <is>
          <t>23.8.04.06-0066</t>
        </is>
      </c>
      <c r="D140" s="230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3,5 мм</t>
        </is>
      </c>
      <c r="E140" s="170" t="inlineStr">
        <is>
          <t>шт</t>
        </is>
      </c>
      <c r="F140" s="229" t="n">
        <v>2</v>
      </c>
      <c r="G140" s="158" t="n">
        <v>33.76</v>
      </c>
      <c r="H140" s="158">
        <f>ROUND(F140*G140,2)</f>
        <v/>
      </c>
      <c r="J140" s="163" t="n"/>
    </row>
    <row r="141">
      <c r="A141" s="229" t="n">
        <v>125</v>
      </c>
      <c r="B141" s="229" t="inlineStr">
        <is>
          <t> </t>
        </is>
      </c>
      <c r="C141" s="230" t="inlineStr">
        <is>
          <t>14.4.04.08-0003</t>
        </is>
      </c>
      <c r="D141" s="230" t="inlineStr">
        <is>
          <t>Эмаль ПФ-115, серая</t>
        </is>
      </c>
      <c r="E141" s="170" t="inlineStr">
        <is>
          <t>т</t>
        </is>
      </c>
      <c r="F141" s="229" t="n">
        <v>0.0045215</v>
      </c>
      <c r="G141" s="158" t="n">
        <v>14312.87</v>
      </c>
      <c r="H141" s="158">
        <f>ROUND(F141*G141,2)</f>
        <v/>
      </c>
      <c r="J141" s="163" t="n"/>
    </row>
    <row r="142" ht="31.5" customHeight="1">
      <c r="A142" s="229" t="n">
        <v>126</v>
      </c>
      <c r="B142" s="229" t="inlineStr">
        <is>
          <t> </t>
        </is>
      </c>
      <c r="C142" s="230" t="inlineStr">
        <is>
          <t>01.7.15.03-0033</t>
        </is>
      </c>
      <c r="D142" s="230" t="inlineStr">
        <is>
          <t>Болты с гайками и шайбами оцинкованные, диаметр 10 мм</t>
        </is>
      </c>
      <c r="E142" s="170" t="inlineStr">
        <is>
          <t>кг</t>
        </is>
      </c>
      <c r="F142" s="229" t="n">
        <v>2.418</v>
      </c>
      <c r="G142" s="158" t="n">
        <v>26.32</v>
      </c>
      <c r="H142" s="158">
        <f>ROUND(F142*G142,2)</f>
        <v/>
      </c>
      <c r="J142" s="163" t="n"/>
    </row>
    <row r="143" ht="47.25" customHeight="1">
      <c r="A143" s="229" t="n">
        <v>127</v>
      </c>
      <c r="B143" s="229" t="inlineStr">
        <is>
          <t> </t>
        </is>
      </c>
      <c r="C143" s="230" t="inlineStr">
        <is>
          <t>01.7.06.05-0042</t>
        </is>
      </c>
      <c r="D143" s="230" t="inlineStr">
        <is>
          <t>Лента липкая изоляционная на поликасиновом компаунде, ширина 20-30 мм, толщина от 0,14 до 0,19 мм</t>
        </is>
      </c>
      <c r="E143" s="170" t="inlineStr">
        <is>
          <t>кг</t>
        </is>
      </c>
      <c r="F143" s="229" t="n">
        <v>0.57</v>
      </c>
      <c r="G143" s="158" t="n">
        <v>91.29000000000001</v>
      </c>
      <c r="H143" s="158">
        <f>ROUND(F143*G143,2)</f>
        <v/>
      </c>
      <c r="J143" s="163" t="n"/>
    </row>
    <row r="144" ht="31.5" customHeight="1">
      <c r="A144" s="229" t="n">
        <v>128</v>
      </c>
      <c r="B144" s="229" t="inlineStr">
        <is>
          <t> </t>
        </is>
      </c>
      <c r="C144" s="230" t="inlineStr">
        <is>
          <t>01.7.15.07-0062</t>
        </is>
      </c>
      <c r="D144" s="230" t="inlineStr">
        <is>
          <t>Дюбели с калиброванной головкой (россыпью), размер 3х58,5 мм</t>
        </is>
      </c>
      <c r="E144" s="170" t="inlineStr">
        <is>
          <t>т</t>
        </is>
      </c>
      <c r="F144" s="229" t="n">
        <v>0.0020348</v>
      </c>
      <c r="G144" s="158" t="n">
        <v>25425</v>
      </c>
      <c r="H144" s="158">
        <f>ROUND(F144*G144,2)</f>
        <v/>
      </c>
      <c r="J144" s="163" t="n"/>
    </row>
    <row r="145" ht="47.25" customHeight="1">
      <c r="A145" s="229" t="n">
        <v>129</v>
      </c>
      <c r="B145" s="229" t="inlineStr">
        <is>
          <t> </t>
        </is>
      </c>
      <c r="C145" s="230" t="inlineStr">
        <is>
          <t>23.8.04.08-0058</t>
        </is>
      </c>
      <c r="D145" s="230" t="inlineStr">
        <is>
          <t>Переходы концентрические, номинальное давление 16 МПа, наружный диаметр и толщина стенки 76х6-57х5 мм</t>
        </is>
      </c>
      <c r="E145" s="170" t="inlineStr">
        <is>
          <t>шт</t>
        </is>
      </c>
      <c r="F145" s="229" t="n">
        <v>1</v>
      </c>
      <c r="G145" s="158" t="n">
        <v>49.54</v>
      </c>
      <c r="H145" s="158">
        <f>ROUND(F145*G145,2)</f>
        <v/>
      </c>
      <c r="J145" s="163" t="n"/>
    </row>
    <row r="146" ht="31.5" customHeight="1">
      <c r="A146" s="229" t="n">
        <v>130</v>
      </c>
      <c r="B146" s="229" t="inlineStr">
        <is>
          <t> </t>
        </is>
      </c>
      <c r="C146" s="230" t="inlineStr">
        <is>
          <t>01.7.07.10-0001</t>
        </is>
      </c>
      <c r="D146" s="230" t="inlineStr">
        <is>
          <t>Патроны для строительно-монтажного пистолета</t>
        </is>
      </c>
      <c r="E146" s="170" t="inlineStr">
        <is>
          <t>1000 шт</t>
        </is>
      </c>
      <c r="F146" s="229" t="n">
        <v>0.1910038</v>
      </c>
      <c r="G146" s="158" t="n">
        <v>253.8</v>
      </c>
      <c r="H146" s="158">
        <f>ROUND(F146*G146,2)</f>
        <v/>
      </c>
      <c r="J146" s="163" t="n"/>
    </row>
    <row r="147">
      <c r="A147" s="229" t="n">
        <v>131</v>
      </c>
      <c r="B147" s="229" t="inlineStr">
        <is>
          <t> </t>
        </is>
      </c>
      <c r="C147" s="230" t="inlineStr">
        <is>
          <t>01.3.02.03-0001</t>
        </is>
      </c>
      <c r="D147" s="230" t="inlineStr">
        <is>
          <t>Ацетилен газообразный технический</t>
        </is>
      </c>
      <c r="E147" s="170" t="inlineStr">
        <is>
          <t>м3</t>
        </is>
      </c>
      <c r="F147" s="229" t="n">
        <v>1.0275397</v>
      </c>
      <c r="G147" s="158" t="n">
        <v>38.51</v>
      </c>
      <c r="H147" s="158">
        <f>ROUND(F147*G147,2)</f>
        <v/>
      </c>
      <c r="J147" s="163" t="n"/>
    </row>
    <row r="148" ht="63" customHeight="1">
      <c r="A148" s="229" t="n">
        <v>132</v>
      </c>
      <c r="B148" s="229" t="inlineStr">
        <is>
          <t> </t>
        </is>
      </c>
      <c r="C148" s="230" t="inlineStr">
        <is>
          <t>23.8.04.06-0067</t>
        </is>
      </c>
      <c r="D148" s="230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5 мм</t>
        </is>
      </c>
      <c r="E148" s="170" t="inlineStr">
        <is>
          <t>шт</t>
        </is>
      </c>
      <c r="F148" s="229" t="n">
        <v>1</v>
      </c>
      <c r="G148" s="158" t="n">
        <v>36.69</v>
      </c>
      <c r="H148" s="158">
        <f>ROUND(F148*G148,2)</f>
        <v/>
      </c>
      <c r="J148" s="163" t="n"/>
    </row>
    <row r="149">
      <c r="A149" s="229" t="n">
        <v>133</v>
      </c>
      <c r="B149" s="229" t="inlineStr">
        <is>
          <t> </t>
        </is>
      </c>
      <c r="C149" s="230" t="inlineStr">
        <is>
          <t>01.3.02.09-0022</t>
        </is>
      </c>
      <c r="D149" s="230" t="inlineStr">
        <is>
          <t>Пропан-бутан смесь техническая</t>
        </is>
      </c>
      <c r="E149" s="170" t="inlineStr">
        <is>
          <t>кг</t>
        </is>
      </c>
      <c r="F149" s="229" t="n">
        <v>6</v>
      </c>
      <c r="G149" s="158" t="n">
        <v>6.09</v>
      </c>
      <c r="H149" s="158">
        <f>ROUND(F149*G149,2)</f>
        <v/>
      </c>
      <c r="J149" s="163" t="n"/>
    </row>
    <row r="150">
      <c r="A150" s="229" t="n">
        <v>134</v>
      </c>
      <c r="B150" s="229" t="inlineStr">
        <is>
          <t> </t>
        </is>
      </c>
      <c r="C150" s="230" t="inlineStr">
        <is>
          <t>01.7.07.29-0101</t>
        </is>
      </c>
      <c r="D150" s="230" t="inlineStr">
        <is>
          <t>Очес льняной</t>
        </is>
      </c>
      <c r="E150" s="170" t="inlineStr">
        <is>
          <t>кг</t>
        </is>
      </c>
      <c r="F150" s="229" t="n">
        <v>0.9362</v>
      </c>
      <c r="G150" s="158" t="n">
        <v>37.29</v>
      </c>
      <c r="H150" s="158">
        <f>ROUND(F150*G150,2)</f>
        <v/>
      </c>
      <c r="J150" s="163" t="n"/>
    </row>
    <row r="151" ht="47.25" customHeight="1">
      <c r="A151" s="229" t="n">
        <v>135</v>
      </c>
      <c r="B151" s="229" t="inlineStr">
        <is>
          <t> </t>
        </is>
      </c>
      <c r="C151" s="230" t="inlineStr">
        <is>
          <t>23.8.04.12-0031</t>
        </is>
      </c>
      <c r="D151" s="230" t="inlineStr">
        <is>
          <t>Тройники переходные диаметром условного прохода: 50/40 мм, и наружным диаметром 67/45 мм</t>
        </is>
      </c>
      <c r="E151" s="170" t="inlineStr">
        <is>
          <t>шт</t>
        </is>
      </c>
      <c r="F151" s="229" t="n">
        <v>1</v>
      </c>
      <c r="G151" s="158" t="n">
        <v>29.95</v>
      </c>
      <c r="H151" s="158">
        <f>ROUND(F151*G151,2)</f>
        <v/>
      </c>
      <c r="J151" s="163" t="n"/>
    </row>
    <row r="152" ht="31.5" customHeight="1">
      <c r="A152" s="229" t="n">
        <v>136</v>
      </c>
      <c r="B152" s="229" t="inlineStr">
        <is>
          <t> </t>
        </is>
      </c>
      <c r="C152" s="230" t="inlineStr">
        <is>
          <t>14.4.02.04-0142</t>
        </is>
      </c>
      <c r="D152" s="230" t="inlineStr">
        <is>
          <t>Краска масляная земляная МА-0115, мумия, сурик железный</t>
        </is>
      </c>
      <c r="E152" s="170" t="inlineStr">
        <is>
          <t>кг</t>
        </is>
      </c>
      <c r="F152" s="229" t="n">
        <v>1.8724</v>
      </c>
      <c r="G152" s="158" t="n">
        <v>15.12</v>
      </c>
      <c r="H152" s="158">
        <f>ROUND(F152*G152,2)</f>
        <v/>
      </c>
      <c r="J152" s="163" t="n"/>
    </row>
    <row r="153" ht="31.5" customHeight="1">
      <c r="A153" s="229" t="n">
        <v>137</v>
      </c>
      <c r="B153" s="229" t="inlineStr">
        <is>
          <t> </t>
        </is>
      </c>
      <c r="C153" s="230" t="inlineStr">
        <is>
          <t>18.5.08.18-0061</t>
        </is>
      </c>
      <c r="D153" s="230" t="inlineStr">
        <is>
          <t>Колпачки изоляции места соединения однопроволочных жил</t>
        </is>
      </c>
      <c r="E153" s="170" t="inlineStr">
        <is>
          <t>1000 шт</t>
        </is>
      </c>
      <c r="F153" s="229" t="n">
        <v>0.1910038</v>
      </c>
      <c r="G153" s="158" t="n">
        <v>135.82</v>
      </c>
      <c r="H153" s="158">
        <f>ROUND(F153*G153,2)</f>
        <v/>
      </c>
      <c r="J153" s="163" t="n"/>
    </row>
    <row r="154" ht="63" customHeight="1">
      <c r="A154" s="229" t="n">
        <v>138</v>
      </c>
      <c r="B154" s="229" t="inlineStr">
        <is>
          <t> </t>
        </is>
      </c>
      <c r="C154" s="230" t="inlineStr">
        <is>
          <t>23.8.04.06-0062</t>
        </is>
      </c>
      <c r="D154" s="230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4 мм</t>
        </is>
      </c>
      <c r="E154" s="170" t="inlineStr">
        <is>
          <t>шт</t>
        </is>
      </c>
      <c r="F154" s="229" t="n">
        <v>1</v>
      </c>
      <c r="G154" s="158" t="n">
        <v>22.44</v>
      </c>
      <c r="H154" s="158">
        <f>ROUND(F154*G154,2)</f>
        <v/>
      </c>
      <c r="J154" s="163" t="n"/>
    </row>
    <row r="155" ht="31.5" customHeight="1">
      <c r="A155" s="229" t="n">
        <v>139</v>
      </c>
      <c r="B155" s="229" t="inlineStr">
        <is>
          <t> </t>
        </is>
      </c>
      <c r="C155" s="230" t="inlineStr">
        <is>
          <t>01.7.15.03-0031</t>
        </is>
      </c>
      <c r="D155" s="230" t="inlineStr">
        <is>
          <t>Болты с гайками и шайбами оцинкованные, диаметр 6 мм</t>
        </is>
      </c>
      <c r="E155" s="170" t="inlineStr">
        <is>
          <t>кг</t>
        </is>
      </c>
      <c r="F155" s="229" t="n">
        <v>0.708</v>
      </c>
      <c r="G155" s="158" t="n">
        <v>28.22</v>
      </c>
      <c r="H155" s="158">
        <f>ROUND(F155*G155,2)</f>
        <v/>
      </c>
      <c r="J155" s="163" t="n"/>
    </row>
    <row r="156" ht="31.5" customHeight="1">
      <c r="A156" s="229" t="n">
        <v>140</v>
      </c>
      <c r="B156" s="229" t="inlineStr">
        <is>
          <t> </t>
        </is>
      </c>
      <c r="C156" s="230" t="inlineStr">
        <is>
          <t>14.5.05.01-0011</t>
        </is>
      </c>
      <c r="D156" s="230" t="inlineStr">
        <is>
          <t>Олифа комбинированная для отделочных работ внутри помещений</t>
        </is>
      </c>
      <c r="E156" s="170" t="inlineStr">
        <is>
          <t>т</t>
        </is>
      </c>
      <c r="F156" s="229" t="n">
        <v>0.00092</v>
      </c>
      <c r="G156" s="158" t="n">
        <v>20775</v>
      </c>
      <c r="H156" s="158">
        <f>ROUND(F156*G156,2)</f>
        <v/>
      </c>
      <c r="J156" s="163" t="n"/>
    </row>
    <row r="157" ht="31.5" customHeight="1">
      <c r="A157" s="229" t="n">
        <v>141</v>
      </c>
      <c r="B157" s="229" t="inlineStr">
        <is>
          <t> </t>
        </is>
      </c>
      <c r="C157" s="230" t="inlineStr">
        <is>
          <t>01.7.15.03-0034</t>
        </is>
      </c>
      <c r="D157" s="230" t="inlineStr">
        <is>
          <t>Болты с гайками и шайбами оцинкованные, диаметр 12 мм</t>
        </is>
      </c>
      <c r="E157" s="170" t="inlineStr">
        <is>
          <t>кг</t>
        </is>
      </c>
      <c r="F157" s="229" t="n">
        <v>0.603</v>
      </c>
      <c r="G157" s="158" t="n">
        <v>25.76</v>
      </c>
      <c r="H157" s="158">
        <f>ROUND(F157*G157,2)</f>
        <v/>
      </c>
      <c r="J157" s="163" t="n"/>
    </row>
    <row r="158">
      <c r="A158" s="229" t="n">
        <v>142</v>
      </c>
      <c r="B158" s="229" t="inlineStr">
        <is>
          <t> </t>
        </is>
      </c>
      <c r="C158" s="230" t="inlineStr">
        <is>
          <t>01.7.15.03-0042</t>
        </is>
      </c>
      <c r="D158" s="230" t="inlineStr">
        <is>
          <t>Болты с гайками и шайбами строительные</t>
        </is>
      </c>
      <c r="E158" s="170" t="inlineStr">
        <is>
          <t>кг</t>
        </is>
      </c>
      <c r="F158" s="229" t="n">
        <v>1.44</v>
      </c>
      <c r="G158" s="158" t="n">
        <v>9.039999999999999</v>
      </c>
      <c r="H158" s="158">
        <f>ROUND(F158*G158,2)</f>
        <v/>
      </c>
      <c r="J158" s="163" t="n"/>
    </row>
    <row r="159">
      <c r="A159" s="229" t="n">
        <v>143</v>
      </c>
      <c r="B159" s="229" t="inlineStr">
        <is>
          <t> </t>
        </is>
      </c>
      <c r="C159" s="230" t="inlineStr">
        <is>
          <t>14.5.09.11-0102</t>
        </is>
      </c>
      <c r="D159" s="230" t="inlineStr">
        <is>
          <t>Уайт-спирит</t>
        </is>
      </c>
      <c r="E159" s="170" t="inlineStr">
        <is>
          <t>кг</t>
        </is>
      </c>
      <c r="F159" s="229" t="n">
        <v>1.711346</v>
      </c>
      <c r="G159" s="158" t="n">
        <v>6.67</v>
      </c>
      <c r="H159" s="158">
        <f>ROUND(F159*G159,2)</f>
        <v/>
      </c>
      <c r="J159" s="163" t="n"/>
    </row>
    <row r="160">
      <c r="A160" s="229" t="n">
        <v>144</v>
      </c>
      <c r="B160" s="229" t="inlineStr">
        <is>
          <t> </t>
        </is>
      </c>
      <c r="C160" s="230" t="inlineStr">
        <is>
          <t>01.3.05.17-0002</t>
        </is>
      </c>
      <c r="D160" s="230" t="inlineStr">
        <is>
          <t>Канифоль сосновая</t>
        </is>
      </c>
      <c r="E160" s="170" t="inlineStr">
        <is>
          <t>кг</t>
        </is>
      </c>
      <c r="F160" s="229" t="n">
        <v>0.3959</v>
      </c>
      <c r="G160" s="158" t="n">
        <v>27.74</v>
      </c>
      <c r="H160" s="158">
        <f>ROUND(F160*G160,2)</f>
        <v/>
      </c>
      <c r="J160" s="163" t="n"/>
    </row>
    <row r="161">
      <c r="A161" s="229" t="n">
        <v>145</v>
      </c>
      <c r="B161" s="229" t="inlineStr">
        <is>
          <t> </t>
        </is>
      </c>
      <c r="C161" s="230" t="inlineStr">
        <is>
          <t>01.7.11.04-0052</t>
        </is>
      </c>
      <c r="D161" s="230" t="inlineStr">
        <is>
          <t>Проволока сварочная СВ-08Г2С, диаметр 2 мм</t>
        </is>
      </c>
      <c r="E161" s="170" t="inlineStr">
        <is>
          <t>кг</t>
        </is>
      </c>
      <c r="F161" s="229" t="n">
        <v>0.604567</v>
      </c>
      <c r="G161" s="158" t="n">
        <v>17.92</v>
      </c>
      <c r="H161" s="158">
        <f>ROUND(F161*G161,2)</f>
        <v/>
      </c>
      <c r="J161" s="163" t="n"/>
    </row>
    <row r="162">
      <c r="A162" s="229" t="n">
        <v>146</v>
      </c>
      <c r="B162" s="229" t="inlineStr">
        <is>
          <t> </t>
        </is>
      </c>
      <c r="C162" s="230" t="inlineStr">
        <is>
          <t>14.5.09.02-0002</t>
        </is>
      </c>
      <c r="D162" s="230" t="inlineStr">
        <is>
          <t>Ксилол нефтяной, марка А</t>
        </is>
      </c>
      <c r="E162" s="170" t="inlineStr">
        <is>
          <t>т</t>
        </is>
      </c>
      <c r="F162" s="229" t="n">
        <v>0.0008961</v>
      </c>
      <c r="G162" s="158" t="n">
        <v>7640</v>
      </c>
      <c r="H162" s="158">
        <f>ROUND(F162*G162,2)</f>
        <v/>
      </c>
      <c r="J162" s="163" t="n"/>
    </row>
    <row r="163">
      <c r="A163" s="229" t="n">
        <v>147</v>
      </c>
      <c r="B163" s="229" t="inlineStr">
        <is>
          <t> </t>
        </is>
      </c>
      <c r="C163" s="230" t="inlineStr">
        <is>
          <t>01.7.15.07-0007</t>
        </is>
      </c>
      <c r="D163" s="230" t="inlineStr">
        <is>
          <t>Дюбели пластмассовые, диаметр 14 мм</t>
        </is>
      </c>
      <c r="E163" s="170" t="inlineStr">
        <is>
          <t>100 шт</t>
        </is>
      </c>
      <c r="F163" s="229" t="n">
        <v>0.24</v>
      </c>
      <c r="G163" s="158" t="n">
        <v>26.6</v>
      </c>
      <c r="H163" s="158">
        <f>ROUND(F163*G163,2)</f>
        <v/>
      </c>
      <c r="J163" s="163" t="n"/>
    </row>
    <row r="164">
      <c r="A164" s="229" t="n">
        <v>148</v>
      </c>
      <c r="B164" s="229" t="inlineStr">
        <is>
          <t> </t>
        </is>
      </c>
      <c r="C164" s="230" t="inlineStr">
        <is>
          <t>03.1.01.01-0002</t>
        </is>
      </c>
      <c r="D164" s="230" t="inlineStr">
        <is>
          <t>Гипс строительный Г-3</t>
        </is>
      </c>
      <c r="E164" s="170" t="inlineStr">
        <is>
          <t>т</t>
        </is>
      </c>
      <c r="F164" s="229" t="n">
        <v>0.00553</v>
      </c>
      <c r="G164" s="158" t="n">
        <v>729.98</v>
      </c>
      <c r="H164" s="158">
        <f>ROUND(F164*G164,2)</f>
        <v/>
      </c>
      <c r="J164" s="163" t="n"/>
    </row>
    <row r="165">
      <c r="A165" s="229" t="n">
        <v>149</v>
      </c>
      <c r="B165" s="229" t="inlineStr">
        <is>
          <t> </t>
        </is>
      </c>
      <c r="C165" s="230" t="inlineStr">
        <is>
          <t>01.7.06.07-0002</t>
        </is>
      </c>
      <c r="D165" s="230" t="inlineStr">
        <is>
          <t>Лента монтажная, тип ЛМ-5</t>
        </is>
      </c>
      <c r="E165" s="170" t="inlineStr">
        <is>
          <t>10 м</t>
        </is>
      </c>
      <c r="F165" s="229" t="n">
        <v>0.5424</v>
      </c>
      <c r="G165" s="158" t="n">
        <v>6.9</v>
      </c>
      <c r="H165" s="158">
        <f>ROUND(F165*G165,2)</f>
        <v/>
      </c>
      <c r="J165" s="163" t="n"/>
    </row>
    <row r="166" ht="31.5" customHeight="1">
      <c r="A166" s="229" t="n">
        <v>150</v>
      </c>
      <c r="B166" s="229" t="inlineStr">
        <is>
          <t> </t>
        </is>
      </c>
      <c r="C166" s="230" t="inlineStr">
        <is>
          <t>01.7.19.04-0031</t>
        </is>
      </c>
      <c r="D166" s="230" t="inlineStr">
        <is>
          <t>Прокладки резиновые (пластина техническая прессованная)</t>
        </is>
      </c>
      <c r="E166" s="170" t="inlineStr">
        <is>
          <t>кг</t>
        </is>
      </c>
      <c r="F166" s="229" t="n">
        <v>0.12</v>
      </c>
      <c r="G166" s="158" t="n">
        <v>23.09</v>
      </c>
      <c r="H166" s="158">
        <f>ROUND(F166*G166,2)</f>
        <v/>
      </c>
      <c r="J166" s="163" t="n"/>
    </row>
    <row r="167">
      <c r="A167" s="229" t="n">
        <v>151</v>
      </c>
      <c r="B167" s="229" t="inlineStr">
        <is>
          <t> </t>
        </is>
      </c>
      <c r="C167" s="230" t="inlineStr">
        <is>
          <t>14.4.03.03-0002</t>
        </is>
      </c>
      <c r="D167" s="230" t="inlineStr">
        <is>
          <t>Лак битумный БТ-123</t>
        </is>
      </c>
      <c r="E167" s="170" t="inlineStr">
        <is>
          <t>т</t>
        </is>
      </c>
      <c r="F167" s="229" t="n">
        <v>0.000339</v>
      </c>
      <c r="G167" s="158" t="n">
        <v>7826.9</v>
      </c>
      <c r="H167" s="158">
        <f>ROUND(F167*G167,2)</f>
        <v/>
      </c>
      <c r="J167" s="163" t="n"/>
    </row>
    <row r="168">
      <c r="A168" s="229" t="n">
        <v>152</v>
      </c>
      <c r="B168" s="229" t="inlineStr">
        <is>
          <t> </t>
        </is>
      </c>
      <c r="C168" s="230" t="inlineStr">
        <is>
          <t>14.5.05.02-0001</t>
        </is>
      </c>
      <c r="D168" s="230" t="inlineStr">
        <is>
          <t>Олифа натуральная</t>
        </is>
      </c>
      <c r="E168" s="170" t="inlineStr">
        <is>
          <t>кг</t>
        </is>
      </c>
      <c r="F168" s="229" t="n">
        <v>0.036</v>
      </c>
      <c r="G168" s="158" t="n">
        <v>32.6</v>
      </c>
      <c r="H168" s="158">
        <f>ROUND(F168*G168,2)</f>
        <v/>
      </c>
      <c r="J168" s="163" t="n"/>
    </row>
    <row r="169">
      <c r="A169" s="229" t="n">
        <v>153</v>
      </c>
      <c r="B169" s="229" t="inlineStr">
        <is>
          <t> </t>
        </is>
      </c>
      <c r="C169" s="230" t="inlineStr">
        <is>
          <t>14.1.04.02-0002</t>
        </is>
      </c>
      <c r="D169" s="230" t="inlineStr">
        <is>
          <t>Клей 88-СА</t>
        </is>
      </c>
      <c r="E169" s="170" t="inlineStr">
        <is>
          <t>кг</t>
        </is>
      </c>
      <c r="F169" s="229" t="n">
        <v>0.03</v>
      </c>
      <c r="G169" s="158" t="n">
        <v>28.93</v>
      </c>
      <c r="H169" s="158">
        <f>ROUND(F169*G169,2)</f>
        <v/>
      </c>
      <c r="J169" s="163" t="n"/>
    </row>
    <row r="170">
      <c r="A170" s="229" t="n">
        <v>154</v>
      </c>
      <c r="B170" s="229" t="inlineStr">
        <is>
          <t> </t>
        </is>
      </c>
      <c r="C170" s="230" t="inlineStr">
        <is>
          <t>01.1.02.08-0031</t>
        </is>
      </c>
      <c r="D170" s="230" t="inlineStr">
        <is>
          <t>Прокладки паронитовые</t>
        </is>
      </c>
      <c r="E170" s="170" t="inlineStr">
        <is>
          <t>кг</t>
        </is>
      </c>
      <c r="F170" s="229" t="n">
        <v>0.018</v>
      </c>
      <c r="G170" s="158" t="n">
        <v>26.44</v>
      </c>
      <c r="H170" s="158">
        <f>ROUND(F170*G170,2)</f>
        <v/>
      </c>
      <c r="J170" s="163" t="n"/>
    </row>
    <row r="171">
      <c r="A171" s="229" t="n">
        <v>155</v>
      </c>
      <c r="B171" s="229" t="inlineStr">
        <is>
          <t> </t>
        </is>
      </c>
      <c r="C171" s="230" t="inlineStr">
        <is>
          <t>01.7.07.08-0003</t>
        </is>
      </c>
      <c r="D171" s="230" t="inlineStr">
        <is>
          <t>Мыло хозяйственное твердое 72%</t>
        </is>
      </c>
      <c r="E171" s="170" t="inlineStr">
        <is>
          <t>шт</t>
        </is>
      </c>
      <c r="F171" s="229" t="n">
        <v>0.008999999999999999</v>
      </c>
      <c r="G171" s="158" t="n">
        <v>4.5</v>
      </c>
      <c r="H171" s="158">
        <f>ROUND(F171*G171,2)</f>
        <v/>
      </c>
      <c r="J171" s="163" t="n"/>
    </row>
    <row r="174">
      <c r="B174" s="114" t="inlineStr">
        <is>
          <t>Составил ______________________        Д.Ю. Нефедова</t>
        </is>
      </c>
    </row>
    <row r="175">
      <c r="B175" s="146" t="inlineStr">
        <is>
          <t xml:space="preserve">                         (подпись, инициалы, фамилия)</t>
        </is>
      </c>
    </row>
    <row r="177">
      <c r="B177" s="114" t="inlineStr">
        <is>
          <t>Проверил ______________________        А.В. Костянецкая</t>
        </is>
      </c>
    </row>
    <row r="178">
      <c r="B178" s="14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A24:E24"/>
    <mergeCell ref="A7:H7"/>
    <mergeCell ref="A9:A10"/>
    <mergeCell ref="F9:F10"/>
    <mergeCell ref="A46:E46"/>
    <mergeCell ref="A84:E84"/>
    <mergeCell ref="A5:H5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9.140625" customWidth="1" min="7" max="10"/>
    <col width="13.5703125" customWidth="1" min="11" max="11"/>
    <col width="9.1406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1" t="inlineStr">
        <is>
          <t>Ресурсная модель</t>
        </is>
      </c>
    </row>
    <row r="6">
      <c r="B6" s="145" t="n"/>
      <c r="C6" s="4" t="n"/>
      <c r="D6" s="4" t="n"/>
      <c r="E6" s="4" t="n"/>
    </row>
    <row r="7" ht="25.5" customHeight="1">
      <c r="B7" s="213" t="inlineStr">
        <is>
          <t>Наименование разрабатываемого показателя УНЦ —Система газового пожаротушения.</t>
        </is>
      </c>
    </row>
    <row r="8">
      <c r="B8" s="231" t="inlineStr">
        <is>
          <t>Единица измерения  — 1 ед</t>
        </is>
      </c>
    </row>
    <row r="9">
      <c r="B9" s="14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3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3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3">
        <f>'Прил.5 Расчет СМР и ОБ'!J44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3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3">
        <f>'Прил.5 Расчет СМР и ОБ'!J138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3">
        <f>'Прил.5 Расчет СМР и ОБ'!J188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4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ОБ'!D192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ОБ'!D191</f>
        <v/>
      </c>
      <c r="D23" s="27" t="n"/>
      <c r="E23" s="25" t="n"/>
    </row>
    <row r="24">
      <c r="B24" s="25" t="inlineStr">
        <is>
          <t>ВСЕГО СМР с НР и СП</t>
        </is>
      </c>
      <c r="C24" s="14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3">
        <f>'Прил.5 Расчет СМР и ОБ'!J89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3">
        <f>'Прил.5 Расчет СМР и ОБ'!J90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4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4" t="n"/>
    </row>
    <row r="31">
      <c r="B31" s="25" t="inlineStr">
        <is>
          <t>Пусконаладочные работы</t>
        </is>
      </c>
      <c r="C31" s="198" t="n">
        <v>346520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K36" s="14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K37" s="14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3">
        <f>C40/'Прил.5 Расчет СМР и ОБ'!E195</f>
        <v/>
      </c>
      <c r="D41" s="25" t="n"/>
      <c r="E41" s="25" t="n"/>
    </row>
    <row r="42">
      <c r="B42" s="147" t="n"/>
      <c r="C42" s="4" t="n"/>
      <c r="D42" s="4" t="n"/>
      <c r="E42" s="4" t="n"/>
    </row>
    <row r="43">
      <c r="B43" s="147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4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7" t="n"/>
      <c r="C45" s="4" t="n"/>
      <c r="D45" s="4" t="n"/>
      <c r="E45" s="4" t="n"/>
    </row>
    <row r="46">
      <c r="B46" s="14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R208"/>
  <sheetViews>
    <sheetView tabSelected="1" view="pageBreakPreview" workbookViewId="0">
      <selection activeCell="K18" sqref="K1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5" customWidth="1" style="12" min="11" max="11"/>
    <col width="9.140625" customWidth="1" style="12" min="12" max="12"/>
    <col width="25.7109375" customWidth="1" min="16" max="17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1" t="inlineStr">
        <is>
          <t>Расчет стоимости СМР и оборудования</t>
        </is>
      </c>
    </row>
    <row r="5" ht="12.75" customFormat="1" customHeight="1" s="4">
      <c r="A5" s="201" t="n"/>
      <c r="B5" s="201" t="n"/>
      <c r="C5" s="259" t="n"/>
      <c r="D5" s="201" t="n"/>
      <c r="E5" s="201" t="n"/>
      <c r="F5" s="201" t="n"/>
      <c r="G5" s="201" t="n"/>
      <c r="H5" s="201" t="n"/>
      <c r="I5" s="201" t="n"/>
      <c r="J5" s="201" t="n"/>
    </row>
    <row r="6" ht="12.75" customFormat="1" customHeight="1" s="4">
      <c r="A6" s="152" t="inlineStr">
        <is>
          <t>Наименование разрабатываемого показателя УНЦ</t>
        </is>
      </c>
      <c r="B6" s="153" t="n"/>
      <c r="C6" s="153" t="n"/>
      <c r="D6" s="251" t="inlineStr">
        <is>
          <t>Система газового пожаротушения.</t>
        </is>
      </c>
    </row>
    <row r="7" ht="12.75" customFormat="1" customHeight="1" s="4">
      <c r="A7" s="204" t="inlineStr">
        <is>
          <t>Единица измерения  — 1 ед</t>
        </is>
      </c>
      <c r="I7" s="213" t="n"/>
      <c r="J7" s="213" t="n"/>
    </row>
    <row r="8" ht="13.5" customFormat="1" customHeight="1" s="4">
      <c r="A8" s="204" t="n"/>
    </row>
    <row r="9" ht="27" customHeight="1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306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306" t="n"/>
      <c r="M9" s="12" t="n"/>
      <c r="N9" s="12" t="n"/>
    </row>
    <row r="10" ht="28.5" customHeight="1">
      <c r="A10" s="308" t="n"/>
      <c r="B10" s="308" t="n"/>
      <c r="C10" s="308" t="n"/>
      <c r="D10" s="308" t="n"/>
      <c r="E10" s="308" t="n"/>
      <c r="F10" s="239" t="inlineStr">
        <is>
          <t>на ед. изм.</t>
        </is>
      </c>
      <c r="G10" s="239" t="inlineStr">
        <is>
          <t>общая</t>
        </is>
      </c>
      <c r="H10" s="308" t="n"/>
      <c r="I10" s="239" t="inlineStr">
        <is>
          <t>на ед. изм.</t>
        </is>
      </c>
      <c r="J10" s="239" t="inlineStr">
        <is>
          <t>общая</t>
        </is>
      </c>
      <c r="M10" s="12" t="n"/>
      <c r="N10" s="12" t="n"/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3" t="n">
        <v>9</v>
      </c>
      <c r="J11" s="233" t="n">
        <v>10</v>
      </c>
      <c r="M11" s="12" t="n"/>
      <c r="N11" s="12" t="n"/>
    </row>
    <row r="12">
      <c r="A12" s="239" t="n"/>
      <c r="B12" s="237" t="inlineStr">
        <is>
          <t>Затраты труда рабочих-строителей</t>
        </is>
      </c>
      <c r="C12" s="305" t="n"/>
      <c r="D12" s="305" t="n"/>
      <c r="E12" s="305" t="n"/>
      <c r="F12" s="305" t="n"/>
      <c r="G12" s="305" t="n"/>
      <c r="H12" s="306" t="n"/>
      <c r="I12" s="130" t="n"/>
      <c r="J12" s="130" t="n"/>
    </row>
    <row r="13" ht="25.5" customHeight="1">
      <c r="A13" s="239" t="n">
        <v>1</v>
      </c>
      <c r="B13" s="171" t="inlineStr">
        <is>
          <t>1-4-0</t>
        </is>
      </c>
      <c r="C13" s="238" t="inlineStr">
        <is>
          <t>Затраты труда рабочих-строителей среднего разряда (4,0)</t>
        </is>
      </c>
      <c r="D13" s="239" t="inlineStr">
        <is>
          <t>чел.-ч.</t>
        </is>
      </c>
      <c r="E13" s="131" t="n">
        <v>3240.1736638</v>
      </c>
      <c r="F13" s="32" t="n">
        <v>9.619999999999999</v>
      </c>
      <c r="G13" s="32">
        <f>Прил.3!H12</f>
        <v/>
      </c>
      <c r="H13" s="133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2">
      <c r="A14" s="239" t="n"/>
      <c r="B14" s="239" t="n"/>
      <c r="C14" s="237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131">
        <f>SUM(E13:E13)</f>
        <v/>
      </c>
      <c r="F14" s="32" t="n"/>
      <c r="G14" s="32">
        <f>SUM(G13:G13)</f>
        <v/>
      </c>
      <c r="H14" s="242" t="n">
        <v>1</v>
      </c>
      <c r="I14" s="130" t="n"/>
      <c r="J14" s="32">
        <f>SUM(J13:J13)</f>
        <v/>
      </c>
    </row>
    <row r="15" ht="14.25" customFormat="1" customHeight="1" s="12">
      <c r="A15" s="239" t="n"/>
      <c r="B15" s="238" t="inlineStr">
        <is>
          <t>Затраты труда машинистов</t>
        </is>
      </c>
      <c r="C15" s="305" t="n"/>
      <c r="D15" s="305" t="n"/>
      <c r="E15" s="305" t="n"/>
      <c r="F15" s="305" t="n"/>
      <c r="G15" s="305" t="n"/>
      <c r="H15" s="306" t="n"/>
      <c r="I15" s="130" t="n"/>
      <c r="J15" s="130" t="n"/>
      <c r="Q15" s="181" t="n"/>
    </row>
    <row r="16" ht="14.25" customFormat="1" customHeight="1" s="12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131" t="n">
        <v>128.6302805</v>
      </c>
      <c r="F16" s="32">
        <f>G16/E16</f>
        <v/>
      </c>
      <c r="G16" s="32">
        <f>Прил.3!H22</f>
        <v/>
      </c>
      <c r="H16" s="242" t="n">
        <v>1</v>
      </c>
      <c r="I16" s="32">
        <f>ROUND(F16*Прил.10!D11,2)</f>
        <v/>
      </c>
      <c r="J16" s="32">
        <f>ROUND(I16*E16,2)</f>
        <v/>
      </c>
      <c r="Q16" s="181" t="n"/>
    </row>
    <row r="17" ht="14.25" customFormat="1" customHeight="1" s="12">
      <c r="A17" s="239" t="n"/>
      <c r="B17" s="237" t="inlineStr">
        <is>
          <t>Машины и механизмы</t>
        </is>
      </c>
      <c r="C17" s="305" t="n"/>
      <c r="D17" s="305" t="n"/>
      <c r="E17" s="305" t="n"/>
      <c r="F17" s="305" t="n"/>
      <c r="G17" s="305" t="n"/>
      <c r="H17" s="306" t="n"/>
      <c r="I17" s="130" t="n"/>
      <c r="J17" s="130" t="n"/>
      <c r="Q17" s="181" t="n"/>
    </row>
    <row r="18" ht="14.25" customFormat="1" customHeight="1" s="12">
      <c r="A18" s="239" t="n"/>
      <c r="B18" s="238" t="inlineStr">
        <is>
          <t>Основные 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30" t="n"/>
      <c r="J18" s="130" t="n"/>
      <c r="Q18" s="181" t="n"/>
    </row>
    <row r="19" ht="25.5" customFormat="1" customHeight="1" s="12">
      <c r="A19" s="239" t="n">
        <v>3</v>
      </c>
      <c r="B19" s="171" t="inlineStr">
        <is>
          <t>91.06.03-058</t>
        </is>
      </c>
      <c r="C19" s="238" t="inlineStr">
        <is>
          <t>Лебедки электрические тяговым усилием 156,96 кН (16 т)</t>
        </is>
      </c>
      <c r="D19" s="239" t="inlineStr">
        <is>
          <t>маш.час</t>
        </is>
      </c>
      <c r="E19" s="131" t="n">
        <v>73.22922</v>
      </c>
      <c r="F19" s="241" t="n">
        <v>131.44</v>
      </c>
      <c r="G19" s="32">
        <f>SUM(G20:G23)</f>
        <v/>
      </c>
      <c r="H19" s="133">
        <f>G19/$G$45</f>
        <v/>
      </c>
      <c r="I19" s="32">
        <f>ROUND(F19*Прил.10!$D$12,2)</f>
        <v/>
      </c>
      <c r="J19" s="32">
        <f>ROUND(I19*E19,2)</f>
        <v/>
      </c>
      <c r="Q19" s="181" t="n"/>
    </row>
    <row r="20" hidden="1" outlineLevel="1" ht="25.5" customFormat="1" customHeight="1" s="12">
      <c r="A20" s="239" t="n"/>
      <c r="B20" s="171" t="inlineStr">
        <is>
          <t>91.06.03-058</t>
        </is>
      </c>
      <c r="C20" s="238" t="inlineStr">
        <is>
          <t>Лебедки электрические тяговым усилием 156,96 кН (16 т)</t>
        </is>
      </c>
      <c r="D20" s="239" t="inlineStr">
        <is>
          <t>маш.час</t>
        </is>
      </c>
      <c r="E20" s="131" t="n">
        <v>72.5</v>
      </c>
      <c r="F20" s="241" t="n">
        <v>131.44</v>
      </c>
      <c r="G20" s="32">
        <f>ROUND(E20*F20,2)</f>
        <v/>
      </c>
      <c r="H20" s="133">
        <f>G20/$G$45</f>
        <v/>
      </c>
      <c r="I20" s="32">
        <f>ROUND(F20*Прил.10!$D$12,2)</f>
        <v/>
      </c>
      <c r="J20" s="32">
        <f>ROUND(I20*E20,2)</f>
        <v/>
      </c>
      <c r="Q20" s="181" t="n"/>
    </row>
    <row r="21" hidden="1" outlineLevel="1" ht="25.5" customFormat="1" customHeight="1" s="12">
      <c r="A21" s="239" t="n"/>
      <c r="B21" s="171" t="inlineStr">
        <is>
          <t>91.06.03-055</t>
        </is>
      </c>
      <c r="C21" s="238" t="inlineStr">
        <is>
          <t>Лебедки электрические тяговым усилием 19,62 кН (2 т)</t>
        </is>
      </c>
      <c r="D21" s="239" t="inlineStr">
        <is>
          <t>маш.час</t>
        </is>
      </c>
      <c r="E21" s="131" t="n">
        <v>7.4939292</v>
      </c>
      <c r="F21" s="241" t="n">
        <v>6.66</v>
      </c>
      <c r="G21" s="32">
        <f>ROUND(E21*F21,2)</f>
        <v/>
      </c>
      <c r="H21" s="133">
        <f>G21/$G$45</f>
        <v/>
      </c>
      <c r="I21" s="32">
        <f>ROUND(F21*Прил.10!$D$12,2)</f>
        <v/>
      </c>
      <c r="J21" s="32">
        <f>ROUND(I21*E21,2)</f>
        <v/>
      </c>
      <c r="Q21" s="181" t="n"/>
    </row>
    <row r="22" hidden="1" outlineLevel="1" ht="25.5" customFormat="1" customHeight="1" s="12">
      <c r="A22" s="239" t="n"/>
      <c r="B22" s="171" t="inlineStr">
        <is>
          <t>91.06.03-061</t>
        </is>
      </c>
      <c r="C22" s="238" t="inlineStr">
        <is>
          <t>Лебедки электрические тяговым усилием до 12,26 кН (1,25 т)</t>
        </is>
      </c>
      <c r="D22" s="239" t="inlineStr">
        <is>
          <t>маш.час</t>
        </is>
      </c>
      <c r="E22" s="131" t="n">
        <v>13.56</v>
      </c>
      <c r="F22" s="241" t="n">
        <v>3.28</v>
      </c>
      <c r="G22" s="32">
        <f>ROUND(E22*F22,2)</f>
        <v/>
      </c>
      <c r="H22" s="133">
        <f>G22/$G$45</f>
        <v/>
      </c>
      <c r="I22" s="32">
        <f>ROUND(F22*Прил.10!$D$12,2)</f>
        <v/>
      </c>
      <c r="J22" s="32">
        <f>ROUND(I22*E22,2)</f>
        <v/>
      </c>
      <c r="Q22" s="181" t="n"/>
    </row>
    <row r="23" hidden="1" outlineLevel="1" ht="25.5" customFormat="1" customHeight="1" s="12">
      <c r="A23" s="239" t="n"/>
      <c r="B23" s="171" t="inlineStr">
        <is>
          <t>91.06.03-060</t>
        </is>
      </c>
      <c r="C23" s="238" t="inlineStr">
        <is>
          <t>Лебедки электрические тяговым усилием до 5,79 кН (0,59 т)</t>
        </is>
      </c>
      <c r="D23" s="239" t="inlineStr">
        <is>
          <t>маш.час</t>
        </is>
      </c>
      <c r="E23" s="131" t="n">
        <v>0.8609969</v>
      </c>
      <c r="F23" s="241" t="n">
        <v>1.7</v>
      </c>
      <c r="G23" s="32">
        <f>ROUND(E23*F23,2)</f>
        <v/>
      </c>
      <c r="H23" s="133">
        <f>G23/$G$45</f>
        <v/>
      </c>
      <c r="I23" s="32">
        <f>ROUND(F23*Прил.10!$D$12,2)</f>
        <v/>
      </c>
      <c r="J23" s="32">
        <f>ROUND(I23*E23,2)</f>
        <v/>
      </c>
    </row>
    <row r="24" collapsed="1" ht="25.5" customFormat="1" customHeight="1" s="12">
      <c r="A24" s="239" t="n">
        <v>4</v>
      </c>
      <c r="B24" s="171" t="inlineStr">
        <is>
          <t>91.05.05-015</t>
        </is>
      </c>
      <c r="C24" s="238" t="inlineStr">
        <is>
          <t>Краны на автомобильном ходу, грузоподъемность 16 т</t>
        </is>
      </c>
      <c r="D24" s="239" t="inlineStr">
        <is>
          <t>маш.час</t>
        </is>
      </c>
      <c r="E24" s="131" t="n">
        <v>11.6417872</v>
      </c>
      <c r="F24" s="241" t="n">
        <v>115.4</v>
      </c>
      <c r="G24" s="32">
        <f>ROUND(E24*F24,2)</f>
        <v/>
      </c>
      <c r="H24" s="133">
        <f>G24/$G$45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39" t="n">
        <v>5</v>
      </c>
      <c r="B25" s="171" t="inlineStr">
        <is>
          <t>91.17.04-233</t>
        </is>
      </c>
      <c r="C25" s="238" t="inlineStr">
        <is>
          <t>Установки для сварки ручной дуговой (постоянного тока)</t>
        </is>
      </c>
      <c r="D25" s="239" t="inlineStr">
        <is>
          <t>маш.час</t>
        </is>
      </c>
      <c r="E25" s="131" t="n">
        <v>138.83045</v>
      </c>
      <c r="F25" s="241" t="n">
        <v>8.1</v>
      </c>
      <c r="G25" s="32">
        <f>SUM(G26:G27)</f>
        <v/>
      </c>
      <c r="H25" s="133">
        <f>G25/$G$45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39" t="n"/>
      <c r="B26" s="171" t="inlineStr">
        <is>
          <t>91.17.04-233</t>
        </is>
      </c>
      <c r="C26" s="238" t="inlineStr">
        <is>
          <t>Установки для сварки ручной дуговой (постоянного тока)</t>
        </is>
      </c>
      <c r="D26" s="239" t="inlineStr">
        <is>
          <t>маш.час</t>
        </is>
      </c>
      <c r="E26" s="131" t="n">
        <v>138.201031</v>
      </c>
      <c r="F26" s="241" t="n">
        <v>8.1</v>
      </c>
      <c r="G26" s="32">
        <f>ROUND(E26*F26,2)</f>
        <v/>
      </c>
      <c r="H26" s="133">
        <f>G26/$G$45</f>
        <v/>
      </c>
      <c r="I26" s="32">
        <f>ROUND(F26*Прил.10!$D$12,2)</f>
        <v/>
      </c>
      <c r="J26" s="32">
        <f>ROUND(I26*E26,2)</f>
        <v/>
      </c>
    </row>
    <row r="27" hidden="1" outlineLevel="1" ht="14.25" customFormat="1" customHeight="1" s="12">
      <c r="A27" s="239" t="n"/>
      <c r="B27" s="171" t="inlineStr">
        <is>
          <t>91.17.04-042</t>
        </is>
      </c>
      <c r="C27" s="238" t="inlineStr">
        <is>
          <t>Аппараты для газовой сварки и резки</t>
        </is>
      </c>
      <c r="D27" s="239" t="inlineStr">
        <is>
          <t>маш.час</t>
        </is>
      </c>
      <c r="E27" s="131" t="n">
        <v>4.25</v>
      </c>
      <c r="F27" s="241" t="n">
        <v>1.2</v>
      </c>
      <c r="G27" s="32">
        <f>ROUND(E27*F27,2)</f>
        <v/>
      </c>
      <c r="H27" s="133">
        <f>G27/$G$45</f>
        <v/>
      </c>
      <c r="I27" s="32">
        <f>ROUND(F27*Прил.10!$D$12,2)</f>
        <v/>
      </c>
      <c r="J27" s="32">
        <f>ROUND(I27*E27,2)</f>
        <v/>
      </c>
    </row>
    <row r="28" collapsed="1" ht="25.5" customFormat="1" customHeight="1" s="12">
      <c r="A28" s="239" t="n">
        <v>6</v>
      </c>
      <c r="B28" s="171" t="inlineStr">
        <is>
          <t>91.14.02-001</t>
        </is>
      </c>
      <c r="C28" s="238" t="inlineStr">
        <is>
          <t>Автомобили бортовые, грузоподъемность до 5 т</t>
        </is>
      </c>
      <c r="D28" s="239" t="inlineStr">
        <is>
          <t>маш.час</t>
        </is>
      </c>
      <c r="E28" s="131" t="n">
        <v>14.2007841</v>
      </c>
      <c r="F28" s="241" t="n">
        <v>65.70999999999999</v>
      </c>
      <c r="G28" s="32">
        <f>ROUND(E28*F28,2)</f>
        <v/>
      </c>
      <c r="H28" s="133">
        <f>G28/$G$45</f>
        <v/>
      </c>
      <c r="I28" s="32">
        <f>ROUND(F28*Прил.10!$D$12,2)</f>
        <v/>
      </c>
      <c r="J28" s="32">
        <f>ROUND(I28*E28,2)</f>
        <v/>
      </c>
    </row>
    <row r="29" ht="38.25" customFormat="1" customHeight="1" s="12">
      <c r="A29" s="239" t="n">
        <v>7</v>
      </c>
      <c r="B29" s="171" t="inlineStr">
        <is>
          <t>91.18.01-015</t>
        </is>
      </c>
      <c r="C29" s="238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D29" s="239" t="inlineStr">
        <is>
          <t>маш.час</t>
        </is>
      </c>
      <c r="E29" s="131" t="n">
        <v>7.90592</v>
      </c>
      <c r="F29" s="241" t="n">
        <v>100</v>
      </c>
      <c r="G29" s="32">
        <f>G30+G31</f>
        <v/>
      </c>
      <c r="H29" s="133">
        <f>G29/$G$45</f>
        <v/>
      </c>
      <c r="I29" s="32">
        <f>ROUND(F29*Прил.10!$D$12,2)</f>
        <v/>
      </c>
      <c r="J29" s="32">
        <f>ROUND(I29*E29,2)</f>
        <v/>
      </c>
    </row>
    <row r="30" hidden="1" outlineLevel="1" ht="38.25" customFormat="1" customHeight="1" s="12">
      <c r="A30" s="239" t="n"/>
      <c r="B30" s="171" t="inlineStr">
        <is>
          <t>91.18.01-015</t>
        </is>
      </c>
      <c r="C30" s="238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D30" s="239" t="inlineStr">
        <is>
          <t>маш.час</t>
        </is>
      </c>
      <c r="E30" s="131" t="n">
        <v>6.2741875</v>
      </c>
      <c r="F30" s="241" t="n">
        <v>100</v>
      </c>
      <c r="G30" s="32">
        <f>ROUND(E30*F30,2)</f>
        <v/>
      </c>
      <c r="H30" s="133">
        <f>G30/$G$45</f>
        <v/>
      </c>
      <c r="I30" s="32">
        <f>ROUND(F30*Прил.10!$D$12,2)</f>
        <v/>
      </c>
      <c r="J30" s="32">
        <f>ROUND(I30*E30,2)</f>
        <v/>
      </c>
    </row>
    <row r="31" hidden="1" outlineLevel="1" ht="38.25" customFormat="1" customHeight="1" s="12">
      <c r="A31" s="239" t="n"/>
      <c r="B31" s="171" t="inlineStr">
        <is>
          <t>91.18.01-011</t>
        </is>
      </c>
      <c r="C31" s="238" t="inlineStr">
        <is>
          <t>Компрессоры передвижные с электродвигателем давление 600 кПа (6 ат), производительность 0,5 м3/мин</t>
        </is>
      </c>
      <c r="D31" s="239" t="inlineStr">
        <is>
          <t>маш.час</t>
        </is>
      </c>
      <c r="E31" s="131" t="n">
        <v>44.1</v>
      </c>
      <c r="F31" s="241" t="n">
        <v>3.7</v>
      </c>
      <c r="G31" s="32">
        <f>ROUND(E31*F31,2)</f>
        <v/>
      </c>
      <c r="H31" s="133">
        <f>G31/$G$45</f>
        <v/>
      </c>
      <c r="I31" s="32">
        <f>ROUND(F31*Прил.10!$D$12,2)</f>
        <v/>
      </c>
      <c r="J31" s="32">
        <f>ROUND(I31*E31,2)</f>
        <v/>
      </c>
    </row>
    <row r="32" collapsed="1" ht="14.25" customFormat="1" customHeight="1" s="12">
      <c r="A32" s="239" t="n"/>
      <c r="B32" s="239" t="n"/>
      <c r="C32" s="238" t="inlineStr">
        <is>
          <t>Итого основные машины и механизмы</t>
        </is>
      </c>
      <c r="D32" s="239" t="n"/>
      <c r="E32" s="131" t="n"/>
      <c r="F32" s="32" t="n"/>
      <c r="G32" s="32">
        <f>G19+G24+G25+G28+G29</f>
        <v/>
      </c>
      <c r="H32" s="242">
        <f>G32/G45</f>
        <v/>
      </c>
      <c r="I32" s="132" t="n"/>
      <c r="J32" s="32">
        <f>J19+J24+J25+J28+J29</f>
        <v/>
      </c>
    </row>
    <row r="33" hidden="1" outlineLevel="1" ht="25.5" customFormat="1" customHeight="1" s="12">
      <c r="A33" s="239" t="n">
        <v>8</v>
      </c>
      <c r="B33" s="171" t="inlineStr">
        <is>
          <t>91.05.04-006</t>
        </is>
      </c>
      <c r="C33" s="238" t="inlineStr">
        <is>
          <t>Краны мостовые электрические, грузоподъемность 10 т</t>
        </is>
      </c>
      <c r="D33" s="239" t="inlineStr">
        <is>
          <t>маш.час</t>
        </is>
      </c>
      <c r="E33" s="131" t="n">
        <v>10.18</v>
      </c>
      <c r="F33" s="241" t="n">
        <v>73.12</v>
      </c>
      <c r="G33" s="32">
        <f>ROUND(E33*F33,2)</f>
        <v/>
      </c>
      <c r="H33" s="133">
        <f>G33/$G$45</f>
        <v/>
      </c>
      <c r="I33" s="32">
        <f>ROUND(F33*Прил.10!$D$12,2)</f>
        <v/>
      </c>
      <c r="J33" s="32">
        <f>ROUND(I33*E33,2)</f>
        <v/>
      </c>
    </row>
    <row r="34" hidden="1" outlineLevel="1" ht="14.25" customFormat="1" customHeight="1" s="12">
      <c r="A34" s="239" t="n">
        <v>9</v>
      </c>
      <c r="B34" s="171" t="inlineStr">
        <is>
          <t>91.19.08-007</t>
        </is>
      </c>
      <c r="C34" s="238" t="inlineStr">
        <is>
          <t>Насосы мощностью 7,2 м3/ч</t>
        </is>
      </c>
      <c r="D34" s="239" t="inlineStr">
        <is>
          <t>маш.час</t>
        </is>
      </c>
      <c r="E34" s="131" t="n">
        <v>25.09675</v>
      </c>
      <c r="F34" s="241" t="n">
        <v>18.68</v>
      </c>
      <c r="G34" s="32">
        <f>ROUND(E34*F34,2)</f>
        <v/>
      </c>
      <c r="H34" s="133">
        <f>G34/$G$45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39" t="n">
        <v>10</v>
      </c>
      <c r="B35" s="171" t="inlineStr">
        <is>
          <t>91.21.12-002</t>
        </is>
      </c>
      <c r="C35" s="238" t="inlineStr">
        <is>
          <t>Ножницы листовые кривошипные гильотинные</t>
        </is>
      </c>
      <c r="D35" s="239" t="inlineStr">
        <is>
          <t>маш.час</t>
        </is>
      </c>
      <c r="E35" s="131" t="n">
        <v>6.036</v>
      </c>
      <c r="F35" s="241" t="n">
        <v>70</v>
      </c>
      <c r="G35" s="32">
        <f>ROUND(E35*F35,2)</f>
        <v/>
      </c>
      <c r="H35" s="133">
        <f>G35/$G$45</f>
        <v/>
      </c>
      <c r="I35" s="32">
        <f>ROUND(F35*Прил.10!$D$12,2)</f>
        <v/>
      </c>
      <c r="J35" s="32">
        <f>ROUND(I35*E35,2)</f>
        <v/>
      </c>
    </row>
    <row r="36" hidden="1" outlineLevel="1" ht="25.5" customFormat="1" customHeight="1" s="12">
      <c r="A36" s="239" t="n">
        <v>11</v>
      </c>
      <c r="B36" s="171" t="inlineStr">
        <is>
          <t>91.21.16-014</t>
        </is>
      </c>
      <c r="C36" s="238" t="inlineStr">
        <is>
          <t>Прессы листогибочные кривошипные 1000 кН (100 тс)</t>
        </is>
      </c>
      <c r="D36" s="239" t="inlineStr">
        <is>
          <t>маш.час</t>
        </is>
      </c>
      <c r="E36" s="131" t="n">
        <v>6.036</v>
      </c>
      <c r="F36" s="241" t="n">
        <v>56.24</v>
      </c>
      <c r="G36" s="32">
        <f>ROUND(E36*F36,2)</f>
        <v/>
      </c>
      <c r="H36" s="133">
        <f>G36/$G$45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39" t="n">
        <v>12</v>
      </c>
      <c r="B37" s="171" t="inlineStr">
        <is>
          <t>91.21.16-013</t>
        </is>
      </c>
      <c r="C37" s="238" t="inlineStr">
        <is>
          <t>Прессы кривошипные простого действия 25 кН (2,5 тс)</t>
        </is>
      </c>
      <c r="D37" s="239" t="inlineStr">
        <is>
          <t>маш.час</t>
        </is>
      </c>
      <c r="E37" s="131" t="n">
        <v>6.036</v>
      </c>
      <c r="F37" s="241" t="n">
        <v>16.92</v>
      </c>
      <c r="G37" s="32">
        <f>ROUND(E37*F37,2)</f>
        <v/>
      </c>
      <c r="H37" s="133">
        <f>G37/$G$45</f>
        <v/>
      </c>
      <c r="I37" s="32">
        <f>ROUND(F37*Прил.10!$D$12,2)</f>
        <v/>
      </c>
      <c r="J37" s="32">
        <f>ROUND(I37*E37,2)</f>
        <v/>
      </c>
    </row>
    <row r="38" hidden="1" outlineLevel="1" ht="38.25" customFormat="1" customHeight="1" s="12">
      <c r="A38" s="239" t="n">
        <v>13</v>
      </c>
      <c r="B38" s="171" t="inlineStr">
        <is>
          <t>91.21.01-012</t>
        </is>
      </c>
      <c r="C38" s="238" t="inlineStr">
        <is>
          <t>Агрегаты окрасочные высокого давления для окраски поверхностей конструкций, мощность 1 кВт</t>
        </is>
      </c>
      <c r="D38" s="239" t="inlineStr">
        <is>
          <t>маш.час</t>
        </is>
      </c>
      <c r="E38" s="131" t="n">
        <v>7.1935295</v>
      </c>
      <c r="F38" s="241" t="n">
        <v>6.82</v>
      </c>
      <c r="G38" s="32">
        <f>ROUND(E38*F38,2)</f>
        <v/>
      </c>
      <c r="H38" s="133">
        <f>G38/$G$45</f>
        <v/>
      </c>
      <c r="I38" s="32">
        <f>ROUND(F38*Прил.10!$D$12,2)</f>
        <v/>
      </c>
      <c r="J38" s="32">
        <f>ROUND(I38*E38,2)</f>
        <v/>
      </c>
    </row>
    <row r="39" hidden="1" outlineLevel="1" ht="14.25" customFormat="1" customHeight="1" s="12">
      <c r="A39" s="239" t="n">
        <v>14</v>
      </c>
      <c r="B39" s="171" t="inlineStr">
        <is>
          <t>91.21.19-035</t>
        </is>
      </c>
      <c r="C39" s="238" t="inlineStr">
        <is>
          <t>Станки трубонарезные</t>
        </is>
      </c>
      <c r="D39" s="239" t="inlineStr">
        <is>
          <t>маш.час</t>
        </is>
      </c>
      <c r="E39" s="131" t="n">
        <v>1.22818</v>
      </c>
      <c r="F39" s="241" t="n">
        <v>30.46</v>
      </c>
      <c r="G39" s="32">
        <f>ROUND(E39*F39,2)</f>
        <v/>
      </c>
      <c r="H39" s="133">
        <f>G39/$G$45</f>
        <v/>
      </c>
      <c r="I39" s="32">
        <f>ROUND(F39*Прил.10!$D$12,2)</f>
        <v/>
      </c>
      <c r="J39" s="32">
        <f>ROUND(I39*E39,2)</f>
        <v/>
      </c>
    </row>
    <row r="40" hidden="1" outlineLevel="1" ht="14.25" customFormat="1" customHeight="1" s="12">
      <c r="A40" s="239" t="n">
        <v>15</v>
      </c>
      <c r="B40" s="171" t="inlineStr">
        <is>
          <t>91.21.19-031</t>
        </is>
      </c>
      <c r="C40" s="238" t="inlineStr">
        <is>
          <t>Станки сверлильные</t>
        </is>
      </c>
      <c r="D40" s="239" t="inlineStr">
        <is>
          <t>маш.час</t>
        </is>
      </c>
      <c r="E40" s="131" t="n">
        <v>6.036</v>
      </c>
      <c r="F40" s="241" t="n">
        <v>2.36</v>
      </c>
      <c r="G40" s="32">
        <f>ROUND(E40*F40,2)</f>
        <v/>
      </c>
      <c r="H40" s="133">
        <f>G40/$G$45</f>
        <v/>
      </c>
      <c r="I40" s="32">
        <f>ROUND(F40*Прил.10!$D$12,2)</f>
        <v/>
      </c>
      <c r="J40" s="32">
        <f>ROUND(I40*E40,2)</f>
        <v/>
      </c>
    </row>
    <row r="41" hidden="1" outlineLevel="1" ht="25.5" customFormat="1" customHeight="1" s="12">
      <c r="A41" s="239" t="n">
        <v>16</v>
      </c>
      <c r="B41" s="171" t="inlineStr">
        <is>
          <t>91.06.01-003</t>
        </is>
      </c>
      <c r="C41" s="238" t="inlineStr">
        <is>
          <t>Домкраты гидравлические, грузоподъемность 63-100 т</t>
        </is>
      </c>
      <c r="D41" s="239" t="inlineStr">
        <is>
          <t>маш.час</t>
        </is>
      </c>
      <c r="E41" s="131" t="n">
        <v>13.56</v>
      </c>
      <c r="F41" s="241" t="n">
        <v>0.9</v>
      </c>
      <c r="G41" s="32">
        <f>ROUND(E41*F41,2)</f>
        <v/>
      </c>
      <c r="H41" s="133">
        <f>G41/$G$45</f>
        <v/>
      </c>
      <c r="I41" s="32">
        <f>ROUND(F41*Прил.10!$D$12,2)</f>
        <v/>
      </c>
      <c r="J41" s="32">
        <f>ROUND(I41*E41,2)</f>
        <v/>
      </c>
    </row>
    <row r="42" hidden="1" outlineLevel="1" ht="14.25" customFormat="1" customHeight="1" s="12">
      <c r="A42" s="239" t="n">
        <v>17</v>
      </c>
      <c r="B42" s="171" t="inlineStr">
        <is>
          <t>91.21.19-033</t>
        </is>
      </c>
      <c r="C42" s="238" t="inlineStr">
        <is>
          <t>Станки токарно-винторезные</t>
        </is>
      </c>
      <c r="D42" s="239" t="inlineStr">
        <is>
          <t>маш.час</t>
        </is>
      </c>
      <c r="E42" s="131" t="n">
        <v>0.5223449999999999</v>
      </c>
      <c r="F42" s="241" t="n">
        <v>19.76</v>
      </c>
      <c r="G42" s="32">
        <f>ROUND(E42*F42,2)</f>
        <v/>
      </c>
      <c r="H42" s="133">
        <f>G42/$G$45</f>
        <v/>
      </c>
      <c r="I42" s="32">
        <f>ROUND(F42*Прил.10!$D$12,2)</f>
        <v/>
      </c>
      <c r="J42" s="32">
        <f>ROUND(I42*E42,2)</f>
        <v/>
      </c>
    </row>
    <row r="43" hidden="1" outlineLevel="1" ht="14.25" customFormat="1" customHeight="1" s="12">
      <c r="A43" s="239" t="n">
        <v>18</v>
      </c>
      <c r="B43" s="171" t="inlineStr">
        <is>
          <t>91.06.05-011</t>
        </is>
      </c>
      <c r="C43" s="238" t="inlineStr">
        <is>
          <t>Погрузчики, грузоподъемность 5 т</t>
        </is>
      </c>
      <c r="D43" s="239" t="inlineStr">
        <is>
          <t>маш.час</t>
        </is>
      </c>
      <c r="E43" s="131" t="n">
        <v>0.0109969</v>
      </c>
      <c r="F43" s="241" t="n">
        <v>89.98999999999999</v>
      </c>
      <c r="G43" s="32">
        <f>ROUND(E43*F43,2)</f>
        <v/>
      </c>
      <c r="H43" s="133">
        <f>G43/$G$45</f>
        <v/>
      </c>
      <c r="I43" s="32">
        <f>ROUND(F43*Прил.10!$D$12,2)</f>
        <v/>
      </c>
      <c r="J43" s="32">
        <f>ROUND(I43*E43,2)</f>
        <v/>
      </c>
    </row>
    <row r="44" collapsed="1" ht="14.25" customFormat="1" customHeight="1" s="12">
      <c r="A44" s="239" t="n"/>
      <c r="B44" s="239" t="n"/>
      <c r="C44" s="238" t="inlineStr">
        <is>
          <t>Итого прочие машины и механизмы</t>
        </is>
      </c>
      <c r="D44" s="239" t="n"/>
      <c r="E44" s="240" t="n"/>
      <c r="F44" s="32" t="n"/>
      <c r="G44" s="132">
        <f>SUM(G33:G43)</f>
        <v/>
      </c>
      <c r="H44" s="133">
        <f>G44/G45</f>
        <v/>
      </c>
      <c r="I44" s="32" t="n"/>
      <c r="J44" s="32">
        <f>SUM(J33:J43)</f>
        <v/>
      </c>
    </row>
    <row r="45" ht="25.5" customFormat="1" customHeight="1" s="12">
      <c r="A45" s="239" t="n"/>
      <c r="B45" s="239" t="n"/>
      <c r="C45" s="237" t="inlineStr">
        <is>
          <t>Итого по разделу «Машины и механизмы»</t>
        </is>
      </c>
      <c r="D45" s="239" t="n"/>
      <c r="E45" s="240" t="n"/>
      <c r="F45" s="32" t="n"/>
      <c r="G45" s="32">
        <f>G44+G32</f>
        <v/>
      </c>
      <c r="H45" s="134" t="n">
        <v>1</v>
      </c>
      <c r="I45" s="135" t="n"/>
      <c r="J45" s="136">
        <f>J44+J32</f>
        <v/>
      </c>
    </row>
    <row r="46" ht="14.25" customFormat="1" customHeight="1" s="12">
      <c r="A46" s="239" t="n"/>
      <c r="B46" s="237" t="inlineStr">
        <is>
          <t>Оборудование</t>
        </is>
      </c>
      <c r="C46" s="305" t="n"/>
      <c r="D46" s="305" t="n"/>
      <c r="E46" s="305" t="n"/>
      <c r="F46" s="305" t="n"/>
      <c r="G46" s="305" t="n"/>
      <c r="H46" s="306" t="n"/>
      <c r="I46" s="130" t="n"/>
      <c r="J46" s="130" t="n"/>
    </row>
    <row r="47">
      <c r="A47" s="239" t="n"/>
      <c r="B47" s="238" t="inlineStr">
        <is>
          <t>Основное оборудование</t>
        </is>
      </c>
      <c r="C47" s="305" t="n"/>
      <c r="D47" s="305" t="n"/>
      <c r="E47" s="305" t="n"/>
      <c r="F47" s="305" t="n"/>
      <c r="G47" s="305" t="n"/>
      <c r="H47" s="306" t="n"/>
      <c r="I47" s="130" t="n"/>
      <c r="J47" s="130" t="n"/>
    </row>
    <row r="48" ht="25.5" customFormat="1" customHeight="1" s="12">
      <c r="A48" s="239" t="n">
        <v>19</v>
      </c>
      <c r="B48" s="239" t="inlineStr">
        <is>
          <t>Прайс из СД ОП</t>
        </is>
      </c>
      <c r="C48" s="238" t="inlineStr">
        <is>
          <t>Модуль  К2-1 МП (60-160-50) ЭмР-ЭМП на раме в комплекте</t>
        </is>
      </c>
      <c r="D48" s="239" t="inlineStr">
        <is>
          <t>к-т</t>
        </is>
      </c>
      <c r="E48" s="137" t="n">
        <v>1</v>
      </c>
      <c r="F48" s="241" t="n">
        <v>259933.87</v>
      </c>
      <c r="G48" s="32">
        <f>ROUND(E48*F48,2)</f>
        <v/>
      </c>
      <c r="H48" s="133">
        <f>G48/$G$89</f>
        <v/>
      </c>
      <c r="I48" s="32">
        <f>ROUND(F48*Прил.10!$D$14,2)</f>
        <v/>
      </c>
      <c r="J48" s="32">
        <f>ROUND(I48*E48,2)</f>
        <v/>
      </c>
    </row>
    <row r="49" ht="14.25" customFormat="1" customHeight="1" s="12">
      <c r="A49" s="239" t="n">
        <v>20</v>
      </c>
      <c r="B49" s="239" t="inlineStr">
        <is>
          <t>01.3.02.11-0022</t>
        </is>
      </c>
      <c r="C49" s="238" t="inlineStr">
        <is>
          <t>Фреон</t>
        </is>
      </c>
      <c r="D49" s="239" t="inlineStr">
        <is>
          <t>т</t>
        </is>
      </c>
      <c r="E49" s="137" t="n">
        <v>3.7489890350877</v>
      </c>
      <c r="F49" s="241" t="n">
        <v>68400</v>
      </c>
      <c r="G49" s="32">
        <f>G50+G51</f>
        <v/>
      </c>
      <c r="H49" s="133">
        <f>G49/$G$89</f>
        <v/>
      </c>
      <c r="I49" s="32">
        <f>ROUND(F49*Прил.10!$D$14,2)</f>
        <v/>
      </c>
      <c r="J49" s="32">
        <f>ROUND(I49*E49,2)</f>
        <v/>
      </c>
    </row>
    <row r="50" hidden="1" outlineLevel="1" ht="14.25" customFormat="1" customHeight="1" s="12">
      <c r="A50" s="239" t="n"/>
      <c r="B50" s="239" t="inlineStr">
        <is>
          <t>01.3.02.11-0022</t>
        </is>
      </c>
      <c r="C50" s="238" t="inlineStr">
        <is>
          <t>Фреон</t>
        </is>
      </c>
      <c r="D50" s="239" t="inlineStr">
        <is>
          <t>т</t>
        </is>
      </c>
      <c r="E50" s="137" t="n">
        <v>3.74</v>
      </c>
      <c r="F50" s="241" t="n">
        <v>68400</v>
      </c>
      <c r="G50" s="32">
        <f>ROUND(E50*F50,2)</f>
        <v/>
      </c>
      <c r="H50" s="133">
        <f>G50/$G$89</f>
        <v/>
      </c>
      <c r="I50" s="32">
        <f>ROUND(F50*Прил.10!$D$14,2)</f>
        <v/>
      </c>
      <c r="J50" s="32">
        <f>ROUND(I50*E50,2)</f>
        <v/>
      </c>
    </row>
    <row r="51" hidden="1" outlineLevel="1" ht="14.25" customFormat="1" customHeight="1" s="12">
      <c r="A51" s="239" t="n"/>
      <c r="B51" s="239" t="inlineStr">
        <is>
          <t>01.3.02.11-0023</t>
        </is>
      </c>
      <c r="C51" s="238" t="inlineStr">
        <is>
          <t>Фреон R410A (разовый баллон 11,30 кг)</t>
        </is>
      </c>
      <c r="D51" s="239" t="inlineStr">
        <is>
          <t>шт</t>
        </is>
      </c>
      <c r="E51" s="137" t="n">
        <v>1</v>
      </c>
      <c r="F51" s="241" t="n">
        <v>614.85</v>
      </c>
      <c r="G51" s="32">
        <f>ROUND(E51*F51,2)</f>
        <v/>
      </c>
      <c r="H51" s="133">
        <f>G51/$G$89</f>
        <v/>
      </c>
      <c r="I51" s="32">
        <f>ROUND(F51*Прил.10!$D$14,2)</f>
        <v/>
      </c>
      <c r="J51" s="32">
        <f>ROUND(I51*E51,2)</f>
        <v/>
      </c>
    </row>
    <row r="52" collapsed="1" ht="14.25" customFormat="1" customHeight="1" s="12">
      <c r="A52" s="239" t="n">
        <v>21</v>
      </c>
      <c r="B52" s="239" t="inlineStr">
        <is>
          <t>Прайс из СД ОП</t>
        </is>
      </c>
      <c r="C52" s="238" t="inlineStr">
        <is>
          <t>Модуль  1 МП (60-160-50) запас</t>
        </is>
      </c>
      <c r="D52" s="239" t="inlineStr">
        <is>
          <t>к-т</t>
        </is>
      </c>
      <c r="E52" s="137" t="n">
        <v>8</v>
      </c>
      <c r="F52" s="241" t="n">
        <v>26987.96</v>
      </c>
      <c r="G52" s="32">
        <f>ROUND(E52*F52,2)</f>
        <v/>
      </c>
      <c r="H52" s="133">
        <f>G52/$G$89</f>
        <v/>
      </c>
      <c r="I52" s="32">
        <f>ROUND(F52*Прил.10!$D$14,2)</f>
        <v/>
      </c>
      <c r="J52" s="32">
        <f>ROUND(I52*E52,2)</f>
        <v/>
      </c>
    </row>
    <row r="53" ht="25.5" customFormat="1" customHeight="1" s="12">
      <c r="A53" s="239" t="n">
        <v>22</v>
      </c>
      <c r="B53" s="239" t="inlineStr">
        <is>
          <t>Прайс из СД ОП</t>
        </is>
      </c>
      <c r="C53" s="238" t="inlineStr">
        <is>
          <t>Модуль  К2-1 МП (60-100-50) ЭмР-ЭМП на раме в комплекте</t>
        </is>
      </c>
      <c r="D53" s="239" t="inlineStr">
        <is>
          <t>к-т</t>
        </is>
      </c>
      <c r="E53" s="137" t="n">
        <v>3</v>
      </c>
      <c r="F53" s="241" t="n">
        <v>51888.96</v>
      </c>
      <c r="G53" s="32">
        <f>ROUND(E53*F53,2)</f>
        <v/>
      </c>
      <c r="H53" s="133">
        <f>G53/$G$89</f>
        <v/>
      </c>
      <c r="I53" s="32">
        <f>ROUND(F53*Прил.10!$D$14,2)</f>
        <v/>
      </c>
      <c r="J53" s="32">
        <f>ROUND(I53*E53,2)</f>
        <v/>
      </c>
    </row>
    <row r="54" ht="14.25" customFormat="1" customHeight="1" s="12">
      <c r="A54" s="239" t="n">
        <v>23</v>
      </c>
      <c r="B54" s="239" t="inlineStr">
        <is>
          <t>Прайс из СД ОП</t>
        </is>
      </c>
      <c r="C54" s="238" t="inlineStr">
        <is>
          <t>Модуль  1 МП (60-100-50) запас</t>
        </is>
      </c>
      <c r="D54" s="239" t="inlineStr">
        <is>
          <t>к-т</t>
        </is>
      </c>
      <c r="E54" s="137" t="n">
        <v>6</v>
      </c>
      <c r="F54" s="241" t="n">
        <v>19543.01</v>
      </c>
      <c r="G54" s="32">
        <f>ROUND(E54*F54,2)</f>
        <v/>
      </c>
      <c r="H54" s="133">
        <f>G54/$G$89</f>
        <v/>
      </c>
      <c r="I54" s="32">
        <f>ROUND(F54*Прил.10!$D$14,2)</f>
        <v/>
      </c>
      <c r="J54" s="32">
        <f>ROUND(I54*E54,2)</f>
        <v/>
      </c>
    </row>
    <row r="55" ht="25.5" customFormat="1" customHeight="1" s="12">
      <c r="A55" s="239" t="n">
        <v>24</v>
      </c>
      <c r="B55" s="239" t="inlineStr">
        <is>
          <t>Прайс из СД ОП</t>
        </is>
      </c>
      <c r="C55" s="238" t="inlineStr">
        <is>
          <t>Модуль  К2-1 МП (60-60-50) ЭмР-ЭМП на раме в комплекте</t>
        </is>
      </c>
      <c r="D55" s="239" t="inlineStr">
        <is>
          <t>к-т</t>
        </is>
      </c>
      <c r="E55" s="137" t="n">
        <v>2</v>
      </c>
      <c r="F55" s="241" t="n">
        <v>42129.34</v>
      </c>
      <c r="G55" s="32">
        <f>ROUND(E55*F55,2)</f>
        <v/>
      </c>
      <c r="H55" s="133">
        <f>G55/$G$89</f>
        <v/>
      </c>
      <c r="I55" s="32">
        <f>ROUND(F55*Прил.10!$D$14,2)</f>
        <v/>
      </c>
      <c r="J55" s="32">
        <f>ROUND(I55*E55,2)</f>
        <v/>
      </c>
    </row>
    <row r="56" ht="38.25" customFormat="1" customHeight="1" s="12">
      <c r="A56" s="239" t="n">
        <v>25</v>
      </c>
      <c r="B56" s="239" t="inlineStr">
        <is>
          <t>61.2.02.01-1004</t>
        </is>
      </c>
      <c r="C56" s="238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D56" s="239" t="inlineStr">
        <is>
          <t>шт</t>
        </is>
      </c>
      <c r="E56" s="137" t="n">
        <v>635.36851</v>
      </c>
      <c r="F56" s="241" t="n">
        <v>116.52</v>
      </c>
      <c r="G56" s="32">
        <f>G57+G58</f>
        <v/>
      </c>
      <c r="H56" s="133">
        <f>G56/$G$89</f>
        <v/>
      </c>
      <c r="I56" s="32">
        <f>ROUND(F56*Прил.10!$D$14,2)</f>
        <v/>
      </c>
      <c r="J56" s="32">
        <f>ROUND(I56*E56,2)</f>
        <v/>
      </c>
    </row>
    <row r="57" hidden="1" outlineLevel="1" ht="38.25" customFormat="1" customHeight="1" s="12">
      <c r="A57" s="239" t="n"/>
      <c r="B57" s="239" t="inlineStr">
        <is>
          <t>61.2.02.01-1004</t>
        </is>
      </c>
      <c r="C57" s="238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D57" s="239" t="inlineStr">
        <is>
          <t>шт</t>
        </is>
      </c>
      <c r="E57" s="137" t="n">
        <v>457</v>
      </c>
      <c r="F57" s="241" t="n">
        <v>116.52</v>
      </c>
      <c r="G57" s="32">
        <f>ROUND(E57*F57,2)</f>
        <v/>
      </c>
      <c r="H57" s="133">
        <f>G57/$G$89</f>
        <v/>
      </c>
      <c r="I57" s="32">
        <f>ROUND(F57*Прил.10!$D$14,2)</f>
        <v/>
      </c>
      <c r="J57" s="32">
        <f>ROUND(I57*E57,2)</f>
        <v/>
      </c>
    </row>
    <row r="58" hidden="1" outlineLevel="1" ht="14.25" customFormat="1" customHeight="1" s="12">
      <c r="A58" s="239" t="n"/>
      <c r="B58" s="239" t="inlineStr">
        <is>
          <t>61.2.02.01-0095</t>
        </is>
      </c>
      <c r="C58" s="238" t="inlineStr">
        <is>
          <t>Извещатель пожарный дымовой: ИПДЛ</t>
        </is>
      </c>
      <c r="D58" s="239" t="inlineStr">
        <is>
          <t>10 шт</t>
        </is>
      </c>
      <c r="E58" s="137" t="n">
        <v>6</v>
      </c>
      <c r="F58" s="241" t="n">
        <v>3463.94</v>
      </c>
      <c r="G58" s="32">
        <f>ROUND(E58*F58,2)</f>
        <v/>
      </c>
      <c r="H58" s="133">
        <f>G58/$G$89</f>
        <v/>
      </c>
      <c r="I58" s="32">
        <f>ROUND(F58*Прил.10!$D$14,2)</f>
        <v/>
      </c>
      <c r="J58" s="32">
        <f>ROUND(I58*E58,2)</f>
        <v/>
      </c>
    </row>
    <row r="59" collapsed="1">
      <c r="A59" s="239" t="n"/>
      <c r="B59" s="239" t="n"/>
      <c r="C59" s="238" t="inlineStr">
        <is>
          <t>Итого основное оборудование</t>
        </is>
      </c>
      <c r="D59" s="239" t="n"/>
      <c r="E59" s="131" t="n"/>
      <c r="F59" s="241" t="n"/>
      <c r="G59" s="32">
        <f>G48+G52+G53+G54+G55+G56+G49</f>
        <v/>
      </c>
      <c r="H59" s="133">
        <f>G59/$G$89</f>
        <v/>
      </c>
      <c r="I59" s="132" t="n"/>
      <c r="J59" s="32">
        <f>J48+J52+J53+J54+J55+J56+J49</f>
        <v/>
      </c>
    </row>
    <row r="60" hidden="1" outlineLevel="1" ht="14.25" customFormat="1" customHeight="1" s="12">
      <c r="A60" s="239" t="n">
        <v>26</v>
      </c>
      <c r="B60" s="239" t="inlineStr">
        <is>
          <t>Прайс из СД ОП</t>
        </is>
      </c>
      <c r="C60" s="238" t="inlineStr">
        <is>
          <t>Модуль  1 МП (60-60-50) запас</t>
        </is>
      </c>
      <c r="D60" s="239" t="inlineStr">
        <is>
          <t>к-т</t>
        </is>
      </c>
      <c r="E60" s="137" t="n">
        <v>4</v>
      </c>
      <c r="F60" s="241" t="n">
        <v>17978.77</v>
      </c>
      <c r="G60" s="32">
        <f>ROUND(E60*F60,2)</f>
        <v/>
      </c>
      <c r="H60" s="133">
        <f>G60/$G$89</f>
        <v/>
      </c>
      <c r="I60" s="32">
        <f>ROUND(F60*Прил.10!$D$14,2)</f>
        <v/>
      </c>
      <c r="J60" s="32">
        <f>ROUND(I60*E60,2)</f>
        <v/>
      </c>
    </row>
    <row r="61" hidden="1" outlineLevel="1" ht="63.75" customFormat="1" customHeight="1" s="12">
      <c r="A61" s="239" t="n">
        <v>27</v>
      </c>
      <c r="B61" s="239" t="inlineStr">
        <is>
          <t>19.3.01.05-0033</t>
        </is>
      </c>
      <c r="C61" s="238" t="inlineStr">
        <is>
      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      </is>
      </c>
      <c r="D61" s="239" t="inlineStr">
        <is>
          <t>шт</t>
        </is>
      </c>
      <c r="E61" s="137" t="n">
        <v>6</v>
      </c>
      <c r="F61" s="241" t="n">
        <v>1958.38</v>
      </c>
      <c r="G61" s="32">
        <f>ROUND(E61*F61,2)</f>
        <v/>
      </c>
      <c r="H61" s="133">
        <f>G61/$G$89</f>
        <v/>
      </c>
      <c r="I61" s="32">
        <f>ROUND(F61*Прил.10!$D$14,2)</f>
        <v/>
      </c>
      <c r="J61" s="32">
        <f>ROUND(I61*E61,2)</f>
        <v/>
      </c>
    </row>
    <row r="62" hidden="1" outlineLevel="1" ht="25.5" customFormat="1" customHeight="1" s="12">
      <c r="A62" s="239" t="n">
        <v>28</v>
      </c>
      <c r="B62" s="239" t="inlineStr">
        <is>
          <t>61.2.02.03-0025</t>
        </is>
      </c>
      <c r="C62" s="238" t="inlineStr">
        <is>
          <t>Извещатель пожарный ручной: ИПР-513-3 исп. 02</t>
        </is>
      </c>
      <c r="D62" s="239" t="inlineStr">
        <is>
          <t>10 шт</t>
        </is>
      </c>
      <c r="E62" s="137" t="n">
        <v>24</v>
      </c>
      <c r="F62" s="241" t="n">
        <v>410.04</v>
      </c>
      <c r="G62" s="32">
        <f>ROUND(E62*F62,2)</f>
        <v/>
      </c>
      <c r="H62" s="133">
        <f>G62/$G$89</f>
        <v/>
      </c>
      <c r="I62" s="32">
        <f>ROUND(F62*Прил.10!$D$14,2)</f>
        <v/>
      </c>
      <c r="J62" s="32">
        <f>ROUND(I62*E62,2)</f>
        <v/>
      </c>
    </row>
    <row r="63" hidden="1" outlineLevel="1" ht="14.25" customFormat="1" customHeight="1" s="12">
      <c r="A63" s="239" t="n">
        <v>29</v>
      </c>
      <c r="B63" s="239" t="inlineStr">
        <is>
          <t>Прайс из СД ОП</t>
        </is>
      </c>
      <c r="C63" s="238" t="inlineStr">
        <is>
          <t>Коллектор на 8модуля 1МП (60-60-50)</t>
        </is>
      </c>
      <c r="D63" s="239" t="inlineStr">
        <is>
          <t>к-т</t>
        </is>
      </c>
      <c r="E63" s="137" t="n">
        <v>1</v>
      </c>
      <c r="F63" s="241" t="n">
        <v>9028.99</v>
      </c>
      <c r="G63" s="32">
        <f>ROUND(E63*F63,2)</f>
        <v/>
      </c>
      <c r="H63" s="133">
        <f>G63/$G$89</f>
        <v/>
      </c>
      <c r="I63" s="32">
        <f>ROUND(F63*Прил.10!$D$14,2)</f>
        <v/>
      </c>
      <c r="J63" s="32">
        <f>ROUND(I63*E63,2)</f>
        <v/>
      </c>
    </row>
    <row r="64" hidden="1" outlineLevel="1" ht="38.25" customFormat="1" customHeight="1" s="12">
      <c r="A64" s="239" t="n">
        <v>30</v>
      </c>
      <c r="B64" s="239" t="inlineStr">
        <is>
          <t>61.2.04.05-0018</t>
        </is>
      </c>
      <c r="C64" s="238" t="inlineStr">
        <is>
          <t>Оповещатель охранно-пожарный звуковой, тип СВИРЕЛЬ-2 исп.00 6-15В/600мА</t>
        </is>
      </c>
      <c r="D64" s="239" t="inlineStr">
        <is>
          <t>шт</t>
        </is>
      </c>
      <c r="E64" s="137" t="n">
        <v>38</v>
      </c>
      <c r="F64" s="241" t="n">
        <v>187</v>
      </c>
      <c r="G64" s="32">
        <f>ROUND(E64*F64,2)</f>
        <v/>
      </c>
      <c r="H64" s="133">
        <f>G64/$G$89</f>
        <v/>
      </c>
      <c r="I64" s="32">
        <f>ROUND(F64*Прил.10!$D$14,2)</f>
        <v/>
      </c>
      <c r="J64" s="32">
        <f>ROUND(I64*E64,2)</f>
        <v/>
      </c>
    </row>
    <row r="65" hidden="1" outlineLevel="1" ht="14.25" customFormat="1" customHeight="1" s="12">
      <c r="A65" s="239" t="n">
        <v>31</v>
      </c>
      <c r="B65" s="239" t="inlineStr">
        <is>
          <t>Прайс из СД ОП</t>
        </is>
      </c>
      <c r="C65" s="238" t="inlineStr">
        <is>
          <t>Насадок НГ-3.1-1/2 В латунный с муфтой</t>
        </is>
      </c>
      <c r="D65" s="239" t="inlineStr">
        <is>
          <t>к-т</t>
        </is>
      </c>
      <c r="E65" s="137" t="n">
        <v>28</v>
      </c>
      <c r="F65" s="241" t="n">
        <v>218.79</v>
      </c>
      <c r="G65" s="32">
        <f>ROUND(E65*F65,2)</f>
        <v/>
      </c>
      <c r="H65" s="133">
        <f>G65/$G$89</f>
        <v/>
      </c>
      <c r="I65" s="32">
        <f>ROUND(F65*Прил.10!$D$14,2)</f>
        <v/>
      </c>
      <c r="J65" s="32">
        <f>ROUND(I65*E65,2)</f>
        <v/>
      </c>
    </row>
    <row r="66" hidden="1" outlineLevel="1" ht="38.25" customFormat="1" customHeight="1" s="12">
      <c r="A66" s="239" t="n">
        <v>32</v>
      </c>
      <c r="B66" s="239" t="inlineStr">
        <is>
          <t>61.2.07.06-0006</t>
        </is>
      </c>
      <c r="C66" s="238" t="inlineStr">
        <is>
          <t>Расширитель адресный на восемь шлейфов с контролем на замыкание и обрыв</t>
        </is>
      </c>
      <c r="D66" s="239" t="inlineStr">
        <is>
          <t>шт</t>
        </is>
      </c>
      <c r="E66" s="137" t="n">
        <v>31</v>
      </c>
      <c r="F66" s="241" t="n">
        <v>182.89</v>
      </c>
      <c r="G66" s="32">
        <f>ROUND(E66*F66,2)</f>
        <v/>
      </c>
      <c r="H66" s="133">
        <f>G66/$G$89</f>
        <v/>
      </c>
      <c r="I66" s="32">
        <f>ROUND(F66*Прил.10!$D$14,2)</f>
        <v/>
      </c>
      <c r="J66" s="32">
        <f>ROUND(I66*E66,2)</f>
        <v/>
      </c>
    </row>
    <row r="67" hidden="1" outlineLevel="1" ht="14.25" customFormat="1" customHeight="1" s="12">
      <c r="A67" s="239" t="n">
        <v>33</v>
      </c>
      <c r="B67" s="239" t="inlineStr">
        <is>
          <t>Прайс из СД ОП</t>
        </is>
      </c>
      <c r="C67" s="238" t="inlineStr">
        <is>
          <t>Насадок НГ-2.1-1 В латунный с муфтой</t>
        </is>
      </c>
      <c r="D67" s="239" t="inlineStr">
        <is>
          <t>к-т</t>
        </is>
      </c>
      <c r="E67" s="137" t="n">
        <v>26</v>
      </c>
      <c r="F67" s="241" t="n">
        <v>213.84</v>
      </c>
      <c r="G67" s="32">
        <f>ROUND(E67*F67,2)</f>
        <v/>
      </c>
      <c r="H67" s="133">
        <f>G67/$G$89</f>
        <v/>
      </c>
      <c r="I67" s="32">
        <f>ROUND(F67*Прил.10!$D$14,2)</f>
        <v/>
      </c>
      <c r="J67" s="32">
        <f>ROUND(I67*E67,2)</f>
        <v/>
      </c>
    </row>
    <row r="68" hidden="1" outlineLevel="1" ht="38.25" customFormat="1" customHeight="1" s="12">
      <c r="A68" s="239" t="n">
        <v>34</v>
      </c>
      <c r="B68" s="239" t="inlineStr">
        <is>
          <t>18.4.01.01-0023</t>
        </is>
      </c>
      <c r="C68" s="238" t="inlineStr">
        <is>
          <t>Баллоны стальные для газов, рабочее давление до 19,6 МПа, (200 кг/см2), объем 40 л</t>
        </is>
      </c>
      <c r="D68" s="239" t="inlineStr">
        <is>
          <t>шт</t>
        </is>
      </c>
      <c r="E68" s="137" t="n">
        <v>6</v>
      </c>
      <c r="F68" s="241" t="n">
        <v>809.71</v>
      </c>
      <c r="G68" s="32">
        <f>ROUND(E68*F68,2)</f>
        <v/>
      </c>
      <c r="H68" s="133">
        <f>G68/$G$89</f>
        <v/>
      </c>
      <c r="I68" s="32">
        <f>ROUND(F68*Прил.10!$D$14,2)</f>
        <v/>
      </c>
      <c r="J68" s="32">
        <f>ROUND(I68*E68,2)</f>
        <v/>
      </c>
    </row>
    <row r="69" hidden="1" outlineLevel="1" ht="14.25" customFormat="1" customHeight="1" s="12">
      <c r="A69" s="239" t="n">
        <v>35</v>
      </c>
      <c r="B69" s="239" t="inlineStr">
        <is>
          <t>Прайс из СД ОП</t>
        </is>
      </c>
      <c r="C69" s="238" t="inlineStr">
        <is>
          <t>Устройство для взведения</t>
        </is>
      </c>
      <c r="D69" s="239" t="inlineStr">
        <is>
          <t>шт</t>
        </is>
      </c>
      <c r="E69" s="137" t="n">
        <v>6</v>
      </c>
      <c r="F69" s="241" t="n">
        <v>752.42</v>
      </c>
      <c r="G69" s="32">
        <f>ROUND(E69*F69,2)</f>
        <v/>
      </c>
      <c r="H69" s="133">
        <f>G69/$G$89</f>
        <v/>
      </c>
      <c r="I69" s="32">
        <f>ROUND(F69*Прил.10!$D$14,2)</f>
        <v/>
      </c>
      <c r="J69" s="32">
        <f>ROUND(I69*E69,2)</f>
        <v/>
      </c>
    </row>
    <row r="70" hidden="1" outlineLevel="1" ht="14.25" customFormat="1" customHeight="1" s="12">
      <c r="A70" s="239" t="n">
        <v>36</v>
      </c>
      <c r="B70" s="239" t="inlineStr">
        <is>
          <t>Прайс из СД ОП</t>
        </is>
      </c>
      <c r="C70" s="238" t="inlineStr">
        <is>
          <t>Коллектор на 2 модуля 1МП (60-100-50)</t>
        </is>
      </c>
      <c r="D70" s="239" t="inlineStr">
        <is>
          <t>к-т</t>
        </is>
      </c>
      <c r="E70" s="137" t="n">
        <v>2</v>
      </c>
      <c r="F70" s="241" t="n">
        <v>2110.72</v>
      </c>
      <c r="G70" s="32">
        <f>ROUND(E70*F70,2)</f>
        <v/>
      </c>
      <c r="H70" s="133">
        <f>G70/$G$89</f>
        <v/>
      </c>
      <c r="I70" s="32">
        <f>ROUND(F70*Прил.10!$D$14,2)</f>
        <v/>
      </c>
      <c r="J70" s="32">
        <f>ROUND(I70*E70,2)</f>
        <v/>
      </c>
    </row>
    <row r="71" hidden="1" outlineLevel="1" ht="63.75" customFormat="1" customHeight="1" s="12">
      <c r="A71" s="239" t="n">
        <v>37</v>
      </c>
      <c r="B71" s="239" t="inlineStr">
        <is>
          <t>61.2.07.02-0050</t>
        </is>
      </c>
      <c r="C71" s="238" t="inlineStr">
        <is>
      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      </is>
      </c>
      <c r="D71" s="239" t="inlineStr">
        <is>
          <t>10 шт</t>
        </is>
      </c>
      <c r="E71" s="137" t="n">
        <v>6</v>
      </c>
      <c r="F71" s="241" t="n">
        <v>688.2</v>
      </c>
      <c r="G71" s="32">
        <f>ROUND(E71*F71,2)</f>
        <v/>
      </c>
      <c r="H71" s="133">
        <f>G71/$G$89</f>
        <v/>
      </c>
      <c r="I71" s="32">
        <f>ROUND(F71*Прил.10!$D$14,2)</f>
        <v/>
      </c>
      <c r="J71" s="32">
        <f>ROUND(I71*E71,2)</f>
        <v/>
      </c>
    </row>
    <row r="72" hidden="1" outlineLevel="1" ht="14.25" customFormat="1" customHeight="1" s="12">
      <c r="A72" s="239" t="n">
        <v>38</v>
      </c>
      <c r="B72" s="239" t="inlineStr">
        <is>
          <t>Прайс из СД ОП</t>
        </is>
      </c>
      <c r="C72" s="238" t="inlineStr">
        <is>
          <t>Насадок НГ-3.1-3/4 В латунный с муфтой</t>
        </is>
      </c>
      <c r="D72" s="239" t="inlineStr">
        <is>
          <t>к-т</t>
        </is>
      </c>
      <c r="E72" s="137" t="n">
        <v>16</v>
      </c>
      <c r="F72" s="241" t="n">
        <v>249.49</v>
      </c>
      <c r="G72" s="32">
        <f>ROUND(E72*F72,2)</f>
        <v/>
      </c>
      <c r="H72" s="133">
        <f>G72/$G$89</f>
        <v/>
      </c>
      <c r="I72" s="32">
        <f>ROUND(F72*Прил.10!$D$14,2)</f>
        <v/>
      </c>
      <c r="J72" s="32">
        <f>ROUND(I72*E72,2)</f>
        <v/>
      </c>
    </row>
    <row r="73" hidden="1" outlineLevel="1" ht="14.25" customFormat="1" customHeight="1" s="12">
      <c r="A73" s="239" t="n">
        <v>39</v>
      </c>
      <c r="B73" s="239" t="inlineStr">
        <is>
          <t>Прайс из СД ОП</t>
        </is>
      </c>
      <c r="C73" s="238" t="inlineStr">
        <is>
          <t>Насадок НГ-3.1-1 В латунный с муфтой</t>
        </is>
      </c>
      <c r="D73" s="239" t="inlineStr">
        <is>
          <t>к-т</t>
        </is>
      </c>
      <c r="E73" s="137" t="n">
        <v>16</v>
      </c>
      <c r="F73" s="241" t="n">
        <v>218.79</v>
      </c>
      <c r="G73" s="32">
        <f>ROUND(E73*F73,2)</f>
        <v/>
      </c>
      <c r="H73" s="133">
        <f>G73/$G$89</f>
        <v/>
      </c>
      <c r="I73" s="32">
        <f>ROUND(F73*Прил.10!$D$14,2)</f>
        <v/>
      </c>
      <c r="J73" s="32">
        <f>ROUND(I73*E73,2)</f>
        <v/>
      </c>
    </row>
    <row r="74" hidden="1" outlineLevel="1" ht="14.25" customFormat="1" customHeight="1" s="12">
      <c r="A74" s="239" t="n">
        <v>40</v>
      </c>
      <c r="B74" s="239" t="inlineStr">
        <is>
          <t>Прайс из СД ОП</t>
        </is>
      </c>
      <c r="C74" s="238" t="inlineStr">
        <is>
          <t>Коллектор на 2 модуля 1МП (60-60-50)</t>
        </is>
      </c>
      <c r="D74" s="239" t="inlineStr">
        <is>
          <t>к-т</t>
        </is>
      </c>
      <c r="E74" s="137" t="n">
        <v>2</v>
      </c>
      <c r="F74" s="241" t="n">
        <v>1643.43</v>
      </c>
      <c r="G74" s="32">
        <f>ROUND(E74*F74,2)</f>
        <v/>
      </c>
      <c r="H74" s="133">
        <f>G74/$G$89</f>
        <v/>
      </c>
      <c r="I74" s="32">
        <f>ROUND(F74*Прил.10!$D$14,2)</f>
        <v/>
      </c>
      <c r="J74" s="32">
        <f>ROUND(I74*E74,2)</f>
        <v/>
      </c>
    </row>
    <row r="75" hidden="1" outlineLevel="1" ht="14.25" customFormat="1" customHeight="1" s="12">
      <c r="A75" s="239" t="n">
        <v>41</v>
      </c>
      <c r="B75" s="239" t="inlineStr">
        <is>
          <t>62.1.04.01-0003</t>
        </is>
      </c>
      <c r="C75" s="238" t="inlineStr">
        <is>
          <t>Датчик-реле давления ДРД-1, ДРД-6</t>
        </is>
      </c>
      <c r="D75" s="239" t="inlineStr">
        <is>
          <t>шт</t>
        </is>
      </c>
      <c r="E75" s="137" t="n">
        <v>7</v>
      </c>
      <c r="F75" s="241" t="n">
        <v>422.41</v>
      </c>
      <c r="G75" s="32">
        <f>ROUND(E75*F75,2)</f>
        <v/>
      </c>
      <c r="H75" s="133">
        <f>G75/$G$89</f>
        <v/>
      </c>
      <c r="I75" s="32">
        <f>ROUND(F75*Прил.10!$D$14,2)</f>
        <v/>
      </c>
      <c r="J75" s="32">
        <f>ROUND(I75*E75,2)</f>
        <v/>
      </c>
    </row>
    <row r="76" hidden="1" outlineLevel="1" ht="51" customFormat="1" customHeight="1" s="12">
      <c r="A76" s="239" t="n">
        <v>42</v>
      </c>
      <c r="B76" s="239" t="inlineStr">
        <is>
          <t>23.8.02.01-0005</t>
        </is>
      </c>
      <c r="C76" s="238" t="inlineStr">
        <is>
          <t>Заглушка трубопровода стальная изолированная пенополиуретаном в полиэтиленовой оболочке, наружный диаметр 76 мм, диаметр изоляции 160 мм</t>
        </is>
      </c>
      <c r="D76" s="239" t="inlineStr">
        <is>
          <t>шт</t>
        </is>
      </c>
      <c r="E76" s="137" t="n">
        <v>17</v>
      </c>
      <c r="F76" s="241" t="n">
        <v>168.8</v>
      </c>
      <c r="G76" s="32">
        <f>ROUND(E76*F76,2)</f>
        <v/>
      </c>
      <c r="H76" s="133">
        <f>G76/$G$89</f>
        <v/>
      </c>
      <c r="I76" s="32">
        <f>ROUND(F76*Прил.10!$D$14,2)</f>
        <v/>
      </c>
      <c r="J76" s="32">
        <f>ROUND(I76*E76,2)</f>
        <v/>
      </c>
    </row>
    <row r="77" hidden="1" outlineLevel="1" ht="25.5" customFormat="1" customHeight="1" s="12">
      <c r="A77" s="239" t="n">
        <v>43</v>
      </c>
      <c r="B77" s="239" t="inlineStr">
        <is>
          <t>Прайс из СД ОП</t>
        </is>
      </c>
      <c r="C77" s="238" t="inlineStr">
        <is>
          <t>Комплект деталей для принудительного пуска (В481-8/650)</t>
        </is>
      </c>
      <c r="D77" s="239" t="inlineStr">
        <is>
          <t>к-т</t>
        </is>
      </c>
      <c r="E77" s="137" t="n">
        <v>2</v>
      </c>
      <c r="F77" s="241" t="n">
        <v>1073.18</v>
      </c>
      <c r="G77" s="32">
        <f>ROUND(E77*F77,2)</f>
        <v/>
      </c>
      <c r="H77" s="133">
        <f>G77/$G$89</f>
        <v/>
      </c>
      <c r="I77" s="32">
        <f>ROUND(F77*Прил.10!$D$14,2)</f>
        <v/>
      </c>
      <c r="J77" s="32">
        <f>ROUND(I77*E77,2)</f>
        <v/>
      </c>
    </row>
    <row r="78" hidden="1" outlineLevel="1" ht="25.5" customFormat="1" customHeight="1" s="12">
      <c r="A78" s="239" t="n">
        <v>44</v>
      </c>
      <c r="B78" s="239" t="inlineStr">
        <is>
          <t>61.2.07.02-0034</t>
        </is>
      </c>
      <c r="C78" s="238" t="inlineStr">
        <is>
          <t>Блок контрольно-пусковой, марка "С2000-КПБ"</t>
        </is>
      </c>
      <c r="D78" s="239" t="inlineStr">
        <is>
          <t>шт</t>
        </is>
      </c>
      <c r="E78" s="137" t="n">
        <v>6</v>
      </c>
      <c r="F78" s="241" t="n">
        <v>243.85</v>
      </c>
      <c r="G78" s="32">
        <f>ROUND(E78*F78,2)</f>
        <v/>
      </c>
      <c r="H78" s="133">
        <f>G78/$G$89</f>
        <v/>
      </c>
      <c r="I78" s="32">
        <f>ROUND(F78*Прил.10!$D$14,2)</f>
        <v/>
      </c>
      <c r="J78" s="32">
        <f>ROUND(I78*E78,2)</f>
        <v/>
      </c>
    </row>
    <row r="79" hidden="1" outlineLevel="1" ht="14.25" customFormat="1" customHeight="1" s="12">
      <c r="A79" s="239" t="n">
        <v>45</v>
      </c>
      <c r="B79" s="239" t="inlineStr">
        <is>
          <t>61.2.04.07-0008</t>
        </is>
      </c>
      <c r="C79" s="238" t="inlineStr">
        <is>
          <t>Оповещатель световой МОЛНИЯ-12(24)</t>
        </is>
      </c>
      <c r="D79" s="239" t="inlineStr">
        <is>
          <t>шт</t>
        </is>
      </c>
      <c r="E79" s="137" t="n">
        <v>38</v>
      </c>
      <c r="F79" s="241" t="n">
        <v>38.38</v>
      </c>
      <c r="G79" s="32">
        <f>ROUND(E79*F79,2)</f>
        <v/>
      </c>
      <c r="H79" s="133">
        <f>G79/$G$89</f>
        <v/>
      </c>
      <c r="I79" s="32">
        <f>ROUND(F79*Прил.10!$D$14,2)</f>
        <v/>
      </c>
      <c r="J79" s="32">
        <f>ROUND(I79*E79,2)</f>
        <v/>
      </c>
    </row>
    <row r="80" hidden="1" outlineLevel="1" ht="14.25" customFormat="1" customHeight="1" s="12">
      <c r="A80" s="239" t="n">
        <v>46</v>
      </c>
      <c r="B80" s="239" t="inlineStr">
        <is>
          <t>Прайс из СД ОП</t>
        </is>
      </c>
      <c r="C80" s="238" t="inlineStr">
        <is>
          <t>Насадок НГ-2.1-3/4 В латунный с муфтой</t>
        </is>
      </c>
      <c r="D80" s="239" t="inlineStr">
        <is>
          <t>к-т</t>
        </is>
      </c>
      <c r="E80" s="137" t="n">
        <v>6</v>
      </c>
      <c r="F80" s="241" t="n">
        <v>213.84</v>
      </c>
      <c r="G80" s="32">
        <f>ROUND(E80*F80,2)</f>
        <v/>
      </c>
      <c r="H80" s="133">
        <f>G80/$G$89</f>
        <v/>
      </c>
      <c r="I80" s="32">
        <f>ROUND(F80*Прил.10!$D$14,2)</f>
        <v/>
      </c>
      <c r="J80" s="32">
        <f>ROUND(I80*E80,2)</f>
        <v/>
      </c>
    </row>
    <row r="81" hidden="1" outlineLevel="1" ht="51" customFormat="1" customHeight="1" s="12">
      <c r="A81" s="239" t="n">
        <v>47</v>
      </c>
      <c r="B81" s="239" t="inlineStr">
        <is>
          <t>61.2.07.02-0035</t>
        </is>
      </c>
      <c r="C81" s="238" t="inlineStr">
        <is>
          <t>Шкаф контрольно-пусковой для систем пожаротушения и дымоудаления, мощность управляемой нагрузки 10 кВт, номинальный коммутируемый ток 25 А</t>
        </is>
      </c>
      <c r="D81" s="239" t="inlineStr">
        <is>
          <t>шт</t>
        </is>
      </c>
      <c r="E81" s="137" t="n">
        <v>3</v>
      </c>
      <c r="F81" s="241" t="n">
        <v>396.74</v>
      </c>
      <c r="G81" s="32">
        <f>ROUND(E81*F81,2)</f>
        <v/>
      </c>
      <c r="H81" s="133">
        <f>G81/$G$89</f>
        <v/>
      </c>
      <c r="I81" s="32">
        <f>ROUND(F81*Прил.10!$D$14,2)</f>
        <v/>
      </c>
      <c r="J81" s="32">
        <f>ROUND(I81*E81,2)</f>
        <v/>
      </c>
    </row>
    <row r="82" hidden="1" outlineLevel="1" ht="25.5" customFormat="1" customHeight="1" s="12">
      <c r="A82" s="239" t="n">
        <v>48</v>
      </c>
      <c r="B82" s="239" t="inlineStr">
        <is>
          <t>Прайс из СД ОП</t>
        </is>
      </c>
      <c r="C82" s="238" t="inlineStr">
        <is>
          <t>Комплект деталей для принудительного пуска (В481-2/650)</t>
        </is>
      </c>
      <c r="D82" s="239" t="inlineStr">
        <is>
          <t>к-т</t>
        </is>
      </c>
      <c r="E82" s="137" t="n">
        <v>3</v>
      </c>
      <c r="F82" s="241" t="n">
        <v>279.19</v>
      </c>
      <c r="G82" s="32">
        <f>ROUND(E82*F82,2)</f>
        <v/>
      </c>
      <c r="H82" s="133">
        <f>G82/$G$89</f>
        <v/>
      </c>
      <c r="I82" s="32">
        <f>ROUND(F82*Прил.10!$D$14,2)</f>
        <v/>
      </c>
      <c r="J82" s="32">
        <f>ROUND(I82*E82,2)</f>
        <v/>
      </c>
    </row>
    <row r="83" hidden="1" outlineLevel="1" ht="38.25" customFormat="1" customHeight="1" s="12">
      <c r="A83" s="239" t="n">
        <v>49</v>
      </c>
      <c r="B83" s="239" t="inlineStr">
        <is>
          <t>61.2.04.10-0004</t>
        </is>
      </c>
      <c r="C83" s="238" t="inlineStr">
        <is>
          <t>Пульт контроля и управления охранно-пожарный с двухстрочным ЖК индикатором</t>
        </is>
      </c>
      <c r="D83" s="239" t="inlineStr">
        <is>
          <t>шт</t>
        </is>
      </c>
      <c r="E83" s="137" t="n">
        <v>1</v>
      </c>
      <c r="F83" s="241" t="n">
        <v>627.51</v>
      </c>
      <c r="G83" s="32">
        <f>ROUND(E83*F83,2)</f>
        <v/>
      </c>
      <c r="H83" s="133">
        <f>G83/$G$89</f>
        <v/>
      </c>
      <c r="I83" s="32">
        <f>ROUND(F83*Прил.10!$D$14,2)</f>
        <v/>
      </c>
      <c r="J83" s="32">
        <f>ROUND(I83*E83,2)</f>
        <v/>
      </c>
    </row>
    <row r="84" hidden="1" outlineLevel="1" ht="38.25" customFormat="1" customHeight="1" s="12">
      <c r="A84" s="239" t="n">
        <v>50</v>
      </c>
      <c r="B84" s="239" t="inlineStr">
        <is>
          <t>23.8.01.03-0002</t>
        </is>
      </c>
      <c r="C84" s="238" t="inlineStr">
        <is>
          <t>Заглушка универсальная для труб из термостойкого полиэтилена с внутренней резьбой, размер 1/2"</t>
        </is>
      </c>
      <c r="D84" s="239" t="inlineStr">
        <is>
          <t>10 шт</t>
        </is>
      </c>
      <c r="E84" s="137" t="n">
        <v>5.4</v>
      </c>
      <c r="F84" s="241" t="n">
        <v>62.4</v>
      </c>
      <c r="G84" s="32">
        <f>ROUND(E84*F84,2)</f>
        <v/>
      </c>
      <c r="H84" s="133">
        <f>G84/$G$89</f>
        <v/>
      </c>
      <c r="I84" s="32">
        <f>ROUND(F84*Прил.10!$D$14,2)</f>
        <v/>
      </c>
      <c r="J84" s="32">
        <f>ROUND(I84*E84,2)</f>
        <v/>
      </c>
    </row>
    <row r="85" hidden="1" outlineLevel="1" ht="14.25" customFormat="1" customHeight="1" s="12">
      <c r="A85" s="239" t="n">
        <v>51</v>
      </c>
      <c r="B85" s="239" t="inlineStr">
        <is>
          <t>24.3.05.18-0001</t>
        </is>
      </c>
      <c r="C85" s="238" t="inlineStr">
        <is>
          <t>Штуцеры, длина 200 мм</t>
        </is>
      </c>
      <c r="D85" s="239" t="inlineStr">
        <is>
          <t>шт</t>
        </is>
      </c>
      <c r="E85" s="137" t="n">
        <v>7</v>
      </c>
      <c r="F85" s="241" t="n">
        <v>44.3</v>
      </c>
      <c r="G85" s="32">
        <f>ROUND(E85*F85,2)</f>
        <v/>
      </c>
      <c r="H85" s="133">
        <f>G85/$G$89</f>
        <v/>
      </c>
      <c r="I85" s="32">
        <f>ROUND(F85*Прил.10!$D$14,2)</f>
        <v/>
      </c>
      <c r="J85" s="32">
        <f>ROUND(I85*E85,2)</f>
        <v/>
      </c>
    </row>
    <row r="86" hidden="1" outlineLevel="1" ht="38.25" customFormat="1" customHeight="1" s="12">
      <c r="A86" s="239" t="n">
        <v>52</v>
      </c>
      <c r="B86" s="239" t="inlineStr">
        <is>
          <t>23.8.01.03-0001</t>
        </is>
      </c>
      <c r="C86" s="238" t="inlineStr">
        <is>
          <t>Заглушка универсальная для труб из термостойкого полиэтилена с внутренней резьбой, размер 1"</t>
        </is>
      </c>
      <c r="D86" s="239" t="inlineStr">
        <is>
          <t>10 шт</t>
        </is>
      </c>
      <c r="E86" s="137" t="n">
        <v>1.6</v>
      </c>
      <c r="F86" s="241" t="n">
        <v>175.3</v>
      </c>
      <c r="G86" s="32">
        <f>ROUND(E86*F86,2)</f>
        <v/>
      </c>
      <c r="H86" s="133">
        <f>G86/$G$89</f>
        <v/>
      </c>
      <c r="I86" s="32">
        <f>ROUND(F86*Прил.10!$D$14,2)</f>
        <v/>
      </c>
      <c r="J86" s="32">
        <f>ROUND(I86*E86,2)</f>
        <v/>
      </c>
    </row>
    <row r="87" hidden="1" outlineLevel="1" ht="38.25" customFormat="1" customHeight="1" s="12">
      <c r="A87" s="239" t="n">
        <v>53</v>
      </c>
      <c r="B87" s="239" t="inlineStr">
        <is>
          <t>23.8.01.03-0006</t>
        </is>
      </c>
      <c r="C87" s="238" t="inlineStr">
        <is>
          <t>Заглушка универсальная для труб из термостойкого полиэтилена с наружной резьбой, размер 3/4"</t>
        </is>
      </c>
      <c r="D87" s="239" t="inlineStr">
        <is>
          <t>10 шт</t>
        </is>
      </c>
      <c r="E87" s="137" t="n">
        <v>2.2</v>
      </c>
      <c r="F87" s="241" t="n">
        <v>95.09999999999999</v>
      </c>
      <c r="G87" s="32">
        <f>ROUND(E87*F87,2)</f>
        <v/>
      </c>
      <c r="H87" s="133">
        <f>G87/$G$89</f>
        <v/>
      </c>
      <c r="I87" s="32">
        <f>ROUND(F87*Прил.10!$D$14,2)</f>
        <v/>
      </c>
      <c r="J87" s="32">
        <f>ROUND(I87*E87,2)</f>
        <v/>
      </c>
    </row>
    <row r="88" collapsed="1">
      <c r="A88" s="239" t="n"/>
      <c r="B88" s="239" t="n"/>
      <c r="C88" s="238" t="inlineStr">
        <is>
          <t>Итого прочее оборудование</t>
        </is>
      </c>
      <c r="D88" s="239" t="n"/>
      <c r="E88" s="131" t="n"/>
      <c r="F88" s="241" t="n"/>
      <c r="G88" s="32">
        <f>SUM(G60:G87)</f>
        <v/>
      </c>
      <c r="H88" s="133">
        <f>G88/$G$89</f>
        <v/>
      </c>
      <c r="I88" s="132" t="n"/>
      <c r="J88" s="32">
        <f>SUM(J60:J87)</f>
        <v/>
      </c>
    </row>
    <row r="89">
      <c r="A89" s="239" t="n"/>
      <c r="B89" s="239" t="n"/>
      <c r="C89" s="237" t="inlineStr">
        <is>
          <t>Итого по разделу «Оборудование»</t>
        </is>
      </c>
      <c r="D89" s="239" t="n"/>
      <c r="E89" s="240" t="n"/>
      <c r="F89" s="241" t="n"/>
      <c r="G89" s="32">
        <f>G59+G88</f>
        <v/>
      </c>
      <c r="H89" s="242" t="n">
        <v>1</v>
      </c>
      <c r="I89" s="132" t="n"/>
      <c r="J89" s="32">
        <f>J88+J59</f>
        <v/>
      </c>
    </row>
    <row r="90" ht="25.5" customHeight="1">
      <c r="A90" s="239" t="n"/>
      <c r="B90" s="239" t="n"/>
      <c r="C90" s="238" t="inlineStr">
        <is>
          <t>в том числе технологическое оборудование</t>
        </is>
      </c>
      <c r="D90" s="239" t="n"/>
      <c r="E90" s="137" t="n"/>
      <c r="F90" s="241" t="n"/>
      <c r="G90" s="32">
        <f>'Прил.6 Расчет ОБ'!G49</f>
        <v/>
      </c>
      <c r="H90" s="242" t="n"/>
      <c r="I90" s="132" t="n"/>
      <c r="J90" s="32">
        <f>J89</f>
        <v/>
      </c>
      <c r="K90" s="182" t="n"/>
    </row>
    <row r="91" ht="14.25" customFormat="1" customHeight="1" s="12">
      <c r="A91" s="239" t="n"/>
      <c r="B91" s="237" t="inlineStr">
        <is>
          <t>Материалы</t>
        </is>
      </c>
      <c r="C91" s="305" t="n"/>
      <c r="D91" s="305" t="n"/>
      <c r="E91" s="305" t="n"/>
      <c r="F91" s="305" t="n"/>
      <c r="G91" s="305" t="n"/>
      <c r="H91" s="306" t="n"/>
      <c r="I91" s="130" t="n"/>
      <c r="J91" s="130" t="n"/>
    </row>
    <row r="92" ht="14.25" customFormat="1" customHeight="1" s="12">
      <c r="A92" s="233" t="n"/>
      <c r="B92" s="232" t="inlineStr">
        <is>
          <t>Основные материалы</t>
        </is>
      </c>
      <c r="C92" s="310" t="n"/>
      <c r="D92" s="310" t="n"/>
      <c r="E92" s="310" t="n"/>
      <c r="F92" s="310" t="n"/>
      <c r="G92" s="310" t="n"/>
      <c r="H92" s="311" t="n"/>
      <c r="I92" s="140" t="n"/>
      <c r="J92" s="140" t="n"/>
    </row>
    <row r="93" ht="25.5" customFormat="1" customHeight="1" s="12">
      <c r="A93" s="239" t="n">
        <v>54</v>
      </c>
      <c r="B93" s="239" t="inlineStr">
        <is>
          <t>25.1.01.04-0031</t>
        </is>
      </c>
      <c r="C93" s="238" t="inlineStr">
        <is>
          <t>Шпалы непропитанные для железных дорог, тип I</t>
        </is>
      </c>
      <c r="D93" s="239" t="inlineStr">
        <is>
          <t>шт</t>
        </is>
      </c>
      <c r="E93" s="137" t="n">
        <v>38</v>
      </c>
      <c r="F93" s="241" t="n">
        <v>266.67</v>
      </c>
      <c r="G93" s="32">
        <f>ROUND(E93*F93,2)</f>
        <v/>
      </c>
      <c r="H93" s="133">
        <f>G93/$G$189</f>
        <v/>
      </c>
      <c r="I93" s="32">
        <f>ROUND(F93*Прил.10!$D$13,2)</f>
        <v/>
      </c>
      <c r="J93" s="32">
        <f>ROUND(I93*E93,2)</f>
        <v/>
      </c>
    </row>
    <row r="94" ht="51" customFormat="1" customHeight="1" s="12">
      <c r="A94" s="239" t="n">
        <v>55</v>
      </c>
      <c r="B94" s="171" t="inlineStr">
        <is>
          <t>23.7.01.03-0005</t>
        </is>
      </c>
      <c r="C94" s="238" t="inlineStr">
        <is>
          <t>Трубопроводы из стальных водогазопроводных неоцинкованных труб с гильзами и креплениями для газоснабжения, диаметр 40 мм</t>
        </is>
      </c>
      <c r="D94" s="239" t="inlineStr">
        <is>
          <t>м</t>
        </is>
      </c>
      <c r="E94" s="131">
        <f>G94/F94</f>
        <v/>
      </c>
      <c r="F94" s="241" t="n">
        <v>35.84</v>
      </c>
      <c r="G94" s="32">
        <f>SUM(G95:G99)</f>
        <v/>
      </c>
      <c r="H94" s="133">
        <f>G94/$G$189</f>
        <v/>
      </c>
      <c r="I94" s="32">
        <f>ROUND(F94*Прил.10!$D$13,2)</f>
        <v/>
      </c>
      <c r="J94" s="32">
        <f>ROUND(I94*E94,2)</f>
        <v/>
      </c>
    </row>
    <row r="95" hidden="1" outlineLevel="1" ht="51" customFormat="1" customHeight="1" s="12">
      <c r="A95" s="239" t="n"/>
      <c r="B95" s="171" t="inlineStr">
        <is>
          <t>23.7.01.03-0005</t>
        </is>
      </c>
      <c r="C95" s="238" t="inlineStr">
        <is>
          <t>Трубопроводы из стальных водогазопроводных неоцинкованных труб с гильзами и креплениями для газоснабжения, диаметр 40 мм</t>
        </is>
      </c>
      <c r="D95" s="239" t="inlineStr">
        <is>
          <t>м</t>
        </is>
      </c>
      <c r="E95" s="131" t="n">
        <v>54.4</v>
      </c>
      <c r="F95" s="241" t="n">
        <v>35.84</v>
      </c>
      <c r="G95" s="32">
        <f>ROUND(E95*F95,2)</f>
        <v/>
      </c>
      <c r="H95" s="133">
        <f>G95/$G$189</f>
        <v/>
      </c>
      <c r="I95" s="32">
        <f>ROUND(F95*Прил.10!$D$13,2)</f>
        <v/>
      </c>
      <c r="J95" s="32">
        <f>ROUND(I95*E95,2)</f>
        <v/>
      </c>
    </row>
    <row r="96" hidden="1" outlineLevel="1" ht="51" customFormat="1" customHeight="1" s="12">
      <c r="A96" s="239" t="n"/>
      <c r="B96" s="171" t="inlineStr">
        <is>
          <t>23.7.01.03-0002</t>
        </is>
      </c>
      <c r="C96" s="238" t="inlineStr">
        <is>
          <t>Трубопроводы из стальных водогазопроводных неоцинкованных труб с гильзами и креплениями для газоснабжения, диаметр 20 мм</t>
        </is>
      </c>
      <c r="D96" s="239" t="inlineStr">
        <is>
          <t>м</t>
        </is>
      </c>
      <c r="E96" s="131" t="n">
        <v>63.02</v>
      </c>
      <c r="F96" s="241" t="n">
        <v>25.28</v>
      </c>
      <c r="G96" s="32">
        <f>ROUND(E96*F96,2)</f>
        <v/>
      </c>
      <c r="H96" s="133">
        <f>G96/$G$189</f>
        <v/>
      </c>
      <c r="I96" s="32">
        <f>ROUND(F96*Прил.10!$D$13,2)</f>
        <v/>
      </c>
      <c r="J96" s="32">
        <f>ROUND(I96*E96,2)</f>
        <v/>
      </c>
    </row>
    <row r="97" hidden="1" outlineLevel="1" ht="51" customFormat="1" customHeight="1" s="12">
      <c r="A97" s="239" t="n"/>
      <c r="B97" s="171" t="inlineStr">
        <is>
          <t>23.7.01.03-0003</t>
        </is>
      </c>
      <c r="C97" s="238" t="inlineStr">
        <is>
          <t>Трубопроводы из стальных водогазопроводных неоцинкованных труб с гильзами и креплениями для газоснабжения, диаметр 25 мм</t>
        </is>
      </c>
      <c r="D97" s="239" t="inlineStr">
        <is>
          <t>м</t>
        </is>
      </c>
      <c r="E97" s="131" t="n">
        <v>55.8</v>
      </c>
      <c r="F97" s="241" t="n">
        <v>27.2</v>
      </c>
      <c r="G97" s="32">
        <f>ROUND(E97*F97,2)</f>
        <v/>
      </c>
      <c r="H97" s="133">
        <f>G97/$G$189</f>
        <v/>
      </c>
      <c r="I97" s="32">
        <f>ROUND(F97*Прил.10!$D$13,2)</f>
        <v/>
      </c>
      <c r="J97" s="32">
        <f>ROUND(I97*E97,2)</f>
        <v/>
      </c>
    </row>
    <row r="98" hidden="1" outlineLevel="1" ht="51" customFormat="1" customHeight="1" s="12">
      <c r="A98" s="239" t="n"/>
      <c r="B98" s="171" t="inlineStr">
        <is>
          <t>23.7.01.03-0006</t>
        </is>
      </c>
      <c r="C98" s="238" t="inlineStr">
        <is>
          <t>Трубопроводы из стальных водогазопроводных неоцинкованных труб с гильзами и креплениями для газоснабжения, диаметр 50 мм</t>
        </is>
      </c>
      <c r="D98" s="239" t="inlineStr">
        <is>
          <t>м</t>
        </is>
      </c>
      <c r="E98" s="131" t="n">
        <v>32.58</v>
      </c>
      <c r="F98" s="241" t="n">
        <v>42.88</v>
      </c>
      <c r="G98" s="32">
        <f>ROUND(E98*F98,2)</f>
        <v/>
      </c>
      <c r="H98" s="133">
        <f>G98/$G$189</f>
        <v/>
      </c>
      <c r="I98" s="32">
        <f>ROUND(F98*Прил.10!$D$13,2)</f>
        <v/>
      </c>
      <c r="J98" s="32">
        <f>ROUND(I98*E98,2)</f>
        <v/>
      </c>
    </row>
    <row r="99" hidden="1" outlineLevel="1" ht="51" customFormat="1" customHeight="1" s="12">
      <c r="A99" s="239" t="n"/>
      <c r="B99" s="171" t="inlineStr">
        <is>
          <t>23.7.01.03-0004</t>
        </is>
      </c>
      <c r="C99" s="238" t="inlineStr">
        <is>
          <t>Трубопроводы из стальных водогазопроводных неоцинкованных труб с гильзами и креплениями для газоснабжения, диаметр 32 мм</t>
        </is>
      </c>
      <c r="D99" s="239" t="inlineStr">
        <is>
          <t>м</t>
        </is>
      </c>
      <c r="E99" s="131" t="n">
        <v>88.47</v>
      </c>
      <c r="F99" s="241" t="n">
        <v>30.72</v>
      </c>
      <c r="G99" s="32">
        <f>ROUND(E99*F99,2)</f>
        <v/>
      </c>
      <c r="H99" s="133">
        <f>G99/$G$189</f>
        <v/>
      </c>
      <c r="I99" s="32">
        <f>ROUND(F99*Прил.10!$D$13,2)</f>
        <v/>
      </c>
      <c r="J99" s="32">
        <f>ROUND(I99*E99,2)</f>
        <v/>
      </c>
    </row>
    <row r="100" collapsed="1" ht="51" customFormat="1" customHeight="1" s="12">
      <c r="A100" s="239" t="n">
        <v>56</v>
      </c>
      <c r="B100" s="171" t="inlineStr">
        <is>
          <t>23.8.04.12-0112</t>
        </is>
      </c>
      <c r="C100" s="238" t="inlineStr">
        <is>
          <t>Тройники равнопроходные, номинальное давление до 16 МПа, номинальный диаметр 40 мм, наружный диаметр и толщина стенки 45,0х2,5 мм</t>
        </is>
      </c>
      <c r="D100" s="239" t="inlineStr">
        <is>
          <t>шт</t>
        </is>
      </c>
      <c r="E100" s="131">
        <f>G100/F100</f>
        <v/>
      </c>
      <c r="F100" s="241" t="n">
        <v>101.46</v>
      </c>
      <c r="G100" s="32">
        <f>SUM(G101:G109)</f>
        <v/>
      </c>
      <c r="H100" s="133">
        <f>G100/$G$189</f>
        <v/>
      </c>
      <c r="I100" s="32">
        <f>ROUND(F100*Прил.10!$D$13,2)</f>
        <v/>
      </c>
      <c r="J100" s="32">
        <f>ROUND(I100*E100,2)</f>
        <v/>
      </c>
    </row>
    <row r="101" hidden="1" outlineLevel="1" ht="51" customFormat="1" customHeight="1" s="12">
      <c r="A101" s="239" t="n"/>
      <c r="B101" s="171" t="inlineStr">
        <is>
          <t>23.8.04.12-0112</t>
        </is>
      </c>
      <c r="C101" s="238" t="inlineStr">
        <is>
          <t>Тройники равнопроходные, номинальное давление до 16 МПа, номинальный диаметр 40 мм, наружный диаметр и толщина стенки 45,0х2,5 мм</t>
        </is>
      </c>
      <c r="D101" s="239" t="inlineStr">
        <is>
          <t>шт</t>
        </is>
      </c>
      <c r="E101" s="131" t="n">
        <v>50</v>
      </c>
      <c r="F101" s="241" t="n">
        <v>101.46</v>
      </c>
      <c r="G101" s="32">
        <f>ROUND(E101*F101,2)</f>
        <v/>
      </c>
      <c r="H101" s="133">
        <f>G101/$G$189</f>
        <v/>
      </c>
      <c r="I101" s="32">
        <f>ROUND(F101*Прил.10!$D$13,2)</f>
        <v/>
      </c>
      <c r="J101" s="32">
        <f>ROUND(I101*E101,2)</f>
        <v/>
      </c>
    </row>
    <row r="102" hidden="1" outlineLevel="1" ht="51" customFormat="1" customHeight="1" s="12">
      <c r="A102" s="239" t="n"/>
      <c r="B102" s="171" t="inlineStr">
        <is>
          <t>23.8.04.12-0113</t>
        </is>
      </c>
      <c r="C102" s="238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02" s="131" t="inlineStr">
        <is>
          <t>шт</t>
        </is>
      </c>
      <c r="E102" s="131" t="n">
        <v>9</v>
      </c>
      <c r="F102" s="241" t="n">
        <v>111.84</v>
      </c>
      <c r="G102" s="32">
        <f>ROUND(E102*F102,2)</f>
        <v/>
      </c>
      <c r="H102" s="133">
        <f>G102/$G$189</f>
        <v/>
      </c>
      <c r="I102" s="32">
        <f>ROUND(F102*Прил.10!$D$13,2)</f>
        <v/>
      </c>
      <c r="J102" s="32">
        <f>ROUND(I102*E102,2)</f>
        <v/>
      </c>
    </row>
    <row r="103" hidden="1" outlineLevel="1" ht="51" customFormat="1" customHeight="1" s="12">
      <c r="A103" s="239" t="n"/>
      <c r="B103" s="171" t="inlineStr">
        <is>
          <t>23.8.04.12-0111</t>
        </is>
      </c>
      <c r="C103" s="238" t="inlineStr">
        <is>
          <t>Тройники равнопроходные, номинальное давление до 16 МПа, номинальный диаметр 40 мм, наружный диаметр и толщина стенки 48,3х3,6 мм</t>
        </is>
      </c>
      <c r="D103" s="131" t="inlineStr">
        <is>
          <t>шт</t>
        </is>
      </c>
      <c r="E103" s="131" t="n">
        <v>9</v>
      </c>
      <c r="F103" s="241" t="n">
        <v>94.64</v>
      </c>
      <c r="G103" s="32">
        <f>ROUND(E103*F103,2)</f>
        <v/>
      </c>
      <c r="H103" s="133">
        <f>G103/$G$189</f>
        <v/>
      </c>
      <c r="I103" s="32">
        <f>ROUND(F103*Прил.10!$D$13,2)</f>
        <v/>
      </c>
      <c r="J103" s="32">
        <f>ROUND(I103*E103,2)</f>
        <v/>
      </c>
    </row>
    <row r="104" hidden="1" outlineLevel="1" ht="51" customFormat="1" customHeight="1" s="12">
      <c r="A104" s="239" t="n"/>
      <c r="B104" s="171" t="inlineStr">
        <is>
          <t>23.8.04.12-0116</t>
        </is>
      </c>
      <c r="C104" s="238" t="inlineStr">
        <is>
          <t>Тройники равнопроходные, номинальное давление до 16 МПа, номинальный диаметр 65 мм, наружный диаметр и толщина стенки 76,1х5,0 мм</t>
        </is>
      </c>
      <c r="D104" s="131" t="inlineStr">
        <is>
          <t>шт</t>
        </is>
      </c>
      <c r="E104" s="131" t="n">
        <v>3</v>
      </c>
      <c r="F104" s="241" t="n">
        <v>141.68</v>
      </c>
      <c r="G104" s="32">
        <f>ROUND(E104*F104,2)</f>
        <v/>
      </c>
      <c r="H104" s="133">
        <f>G104/$G$189</f>
        <v/>
      </c>
      <c r="I104" s="32">
        <f>ROUND(F104*Прил.10!$D$13,2)</f>
        <v/>
      </c>
      <c r="J104" s="32">
        <f>ROUND(I104*E104,2)</f>
        <v/>
      </c>
    </row>
    <row r="105" hidden="1" outlineLevel="1" ht="51" customFormat="1" customHeight="1" s="12">
      <c r="A105" s="239" t="n"/>
      <c r="B105" s="171" t="inlineStr">
        <is>
          <t>23.8.04.12-0125</t>
        </is>
      </c>
      <c r="C105" s="238" t="inlineStr">
        <is>
          <t>Тройники равнопроходные, номинальное давление до 16 МПа, номинальный диаметр 125 мм, наружный диаметр и толщина стенки 133х4,0 мм</t>
        </is>
      </c>
      <c r="D105" s="131" t="inlineStr">
        <is>
          <t>шт</t>
        </is>
      </c>
      <c r="E105" s="131" t="n">
        <v>2</v>
      </c>
      <c r="F105" s="241" t="n">
        <v>185.81</v>
      </c>
      <c r="G105" s="32">
        <f>ROUND(E105*F105,2)</f>
        <v/>
      </c>
      <c r="H105" s="133">
        <f>G105/$G$189</f>
        <v/>
      </c>
      <c r="I105" s="32">
        <f>ROUND(F105*Прил.10!$D$13,2)</f>
        <v/>
      </c>
      <c r="J105" s="32">
        <f>ROUND(I105*E105,2)</f>
        <v/>
      </c>
    </row>
    <row r="106" hidden="1" outlineLevel="1" ht="51" customFormat="1" customHeight="1" s="12">
      <c r="A106" s="239" t="n"/>
      <c r="B106" s="171" t="inlineStr">
        <is>
          <t>23.8.04.12-0103</t>
        </is>
      </c>
      <c r="C106" s="238" t="inlineStr">
        <is>
          <t>Тройники равнопроходные, номинальное давление до 16 МПа, номинальный диаметр 80 мм, наружный диаметр и толщина стенки 88,9х3,2 мм</t>
        </is>
      </c>
      <c r="D106" s="131" t="inlineStr">
        <is>
          <t>шт</t>
        </is>
      </c>
      <c r="E106" s="131" t="n">
        <v>4</v>
      </c>
      <c r="F106" s="241" t="n">
        <v>88.14</v>
      </c>
      <c r="G106" s="32">
        <f>ROUND(E106*F106,2)</f>
        <v/>
      </c>
      <c r="H106" s="133">
        <f>G106/$G$189</f>
        <v/>
      </c>
      <c r="I106" s="32">
        <f>ROUND(F106*Прил.10!$D$13,2)</f>
        <v/>
      </c>
      <c r="J106" s="32">
        <f>ROUND(I106*E106,2)</f>
        <v/>
      </c>
    </row>
    <row r="107" hidden="1" outlineLevel="1" ht="51" customFormat="1" customHeight="1" s="12">
      <c r="A107" s="239" t="n"/>
      <c r="B107" s="171" t="inlineStr">
        <is>
          <t>23.8.04.12-0115</t>
        </is>
      </c>
      <c r="C107" s="238" t="inlineStr">
        <is>
          <t>Тройники равнопроходные, номинальное давление до 16 МПа, номинальный диаметр 65 мм, наружный диаметр и толщина стенки 76,1х2,9 мм</t>
        </is>
      </c>
      <c r="D107" s="131" t="inlineStr">
        <is>
          <t>шт</t>
        </is>
      </c>
      <c r="E107" s="131" t="n">
        <v>3</v>
      </c>
      <c r="F107" s="241" t="n">
        <v>110.07</v>
      </c>
      <c r="G107" s="32">
        <f>ROUND(E107*F107,2)</f>
        <v/>
      </c>
      <c r="H107" s="133">
        <f>G107/$G$189</f>
        <v/>
      </c>
      <c r="I107" s="32">
        <f>ROUND(F107*Прил.10!$D$13,2)</f>
        <v/>
      </c>
      <c r="J107" s="32">
        <f>ROUND(I107*E107,2)</f>
        <v/>
      </c>
    </row>
    <row r="108" hidden="1" outlineLevel="1" ht="51" customFormat="1" customHeight="1" s="12">
      <c r="A108" s="239" t="n"/>
      <c r="B108" s="171" t="inlineStr">
        <is>
          <t>23.8.04.12-0104</t>
        </is>
      </c>
      <c r="C108" s="238" t="inlineStr">
        <is>
          <t>Тройники равнопроходные, номинальное давление до 16 МПа, номинальный диаметр 100 мм, наружный диаметр и толщина стенки 114,3х3,6 мм</t>
        </is>
      </c>
      <c r="D108" s="131" t="inlineStr">
        <is>
          <t>шт</t>
        </is>
      </c>
      <c r="E108" s="131" t="n">
        <v>2</v>
      </c>
      <c r="F108" s="241" t="n">
        <v>155.94</v>
      </c>
      <c r="G108" s="32">
        <f>ROUND(E108*F108,2)</f>
        <v/>
      </c>
      <c r="H108" s="133">
        <f>G108/$G$189</f>
        <v/>
      </c>
      <c r="I108" s="32">
        <f>ROUND(F108*Прил.10!$D$13,2)</f>
        <v/>
      </c>
      <c r="J108" s="32">
        <f>ROUND(I108*E108,2)</f>
        <v/>
      </c>
    </row>
    <row r="109" hidden="1" outlineLevel="1" ht="38.25" customFormat="1" customHeight="1" s="12">
      <c r="A109" s="239" t="n"/>
      <c r="B109" s="171" t="inlineStr">
        <is>
          <t>23.8.04.12-0031</t>
        </is>
      </c>
      <c r="C109" s="238" t="inlineStr">
        <is>
          <t>Тройники переходные диаметром условного прохода: 50/40 мм, и наружным диаметром 67/45 мм</t>
        </is>
      </c>
      <c r="D109" s="131" t="inlineStr">
        <is>
          <t>шт</t>
        </is>
      </c>
      <c r="E109" s="131" t="n">
        <v>1</v>
      </c>
      <c r="F109" s="241" t="n">
        <v>29.95</v>
      </c>
      <c r="G109" s="32">
        <f>ROUND(E109*F109,2)</f>
        <v/>
      </c>
      <c r="H109" s="133">
        <f>G109/$G$189</f>
        <v/>
      </c>
      <c r="I109" s="32">
        <f>ROUND(F109*Прил.10!$D$13,2)</f>
        <v/>
      </c>
      <c r="J109" s="32">
        <f>ROUND(I109*E109,2)</f>
        <v/>
      </c>
    </row>
    <row r="110" collapsed="1" ht="38.25" customFormat="1" customHeight="1" s="12">
      <c r="A110" s="239" t="n">
        <v>57</v>
      </c>
      <c r="B110" s="239" t="inlineStr">
        <is>
          <t>23.8.04.08-0051</t>
        </is>
      </c>
      <c r="C110" s="238" t="inlineStr">
        <is>
          <t>Переходы концентрические, номинальное давление 16 МПа, наружный диаметр и толщина стенки 57х4-45х2,5 мм</t>
        </is>
      </c>
      <c r="D110" s="239" t="inlineStr">
        <is>
          <t>шт</t>
        </is>
      </c>
      <c r="E110" s="137">
        <f>G110/F110</f>
        <v/>
      </c>
      <c r="F110" s="241" t="n">
        <v>38.01</v>
      </c>
      <c r="G110" s="32">
        <f>SUM(G111:G119)</f>
        <v/>
      </c>
      <c r="H110" s="133">
        <f>G110/$G$189</f>
        <v/>
      </c>
      <c r="I110" s="32">
        <f>ROUND(F110*Прил.10!$D$13,2)</f>
        <v/>
      </c>
      <c r="J110" s="32">
        <f>ROUND(I110*E110,2)</f>
        <v/>
      </c>
    </row>
    <row r="111" hidden="1" outlineLevel="1" ht="38.25" customFormat="1" customHeight="1" s="12">
      <c r="A111" s="239" t="n"/>
      <c r="B111" s="239" t="inlineStr">
        <is>
          <t>23.8.04.08-0051</t>
        </is>
      </c>
      <c r="C111" s="238" t="inlineStr">
        <is>
          <t>Переходы концентрические, номинальное давление 16 МПа, наружный диаметр и толщина стенки 57х4-45х2,5 мм</t>
        </is>
      </c>
      <c r="D111" s="239" t="inlineStr">
        <is>
          <t>шт</t>
        </is>
      </c>
      <c r="E111" s="137" t="n">
        <v>99</v>
      </c>
      <c r="F111" s="241" t="n">
        <v>38.01</v>
      </c>
      <c r="G111" s="32">
        <f>ROUND(E111*F111,2)</f>
        <v/>
      </c>
      <c r="H111" s="133">
        <f>G111/$G$189</f>
        <v/>
      </c>
      <c r="I111" s="32">
        <f>ROUND(F111*Прил.10!$D$13,2)</f>
        <v/>
      </c>
      <c r="J111" s="32">
        <f>ROUND(I111*E111,2)</f>
        <v/>
      </c>
    </row>
    <row r="112" hidden="1" outlineLevel="1" ht="38.25" customFormat="1" customHeight="1" s="12">
      <c r="A112" s="239" t="n"/>
      <c r="B112" s="239" t="inlineStr">
        <is>
          <t>23.8.04.08-0053</t>
        </is>
      </c>
      <c r="C112" s="238" t="inlineStr">
        <is>
          <t>Переходы концентрические, номинальное давление 16 МПа, наружный диаметр и толщина стенки 76х3,5-38х2,5 мм</t>
        </is>
      </c>
      <c r="D112" s="239" t="inlineStr">
        <is>
          <t>шт</t>
        </is>
      </c>
      <c r="E112" s="137" t="n">
        <v>18</v>
      </c>
      <c r="F112" s="241" t="n">
        <v>48.28</v>
      </c>
      <c r="G112" s="32">
        <f>ROUND(E112*F112,2)</f>
        <v/>
      </c>
      <c r="H112" s="133">
        <f>G112/$G$189</f>
        <v/>
      </c>
      <c r="I112" s="32">
        <f>ROUND(F112*Прил.10!$D$13,2)</f>
        <v/>
      </c>
      <c r="J112" s="32">
        <f>ROUND(I112*E112,2)</f>
        <v/>
      </c>
    </row>
    <row r="113" hidden="1" outlineLevel="1" ht="38.25" customFormat="1" customHeight="1" s="12">
      <c r="A113" s="239" t="n"/>
      <c r="B113" s="239" t="inlineStr">
        <is>
          <t>23.8.04.08-0059</t>
        </is>
      </c>
      <c r="C113" s="238" t="inlineStr">
        <is>
          <t>Переходы концентрические, номинальное давление 16 МПа, наружный диаметр и толщина стенки 89х3,5-45х2,5 мм</t>
        </is>
      </c>
      <c r="D113" s="239" t="inlineStr">
        <is>
          <t>шт</t>
        </is>
      </c>
      <c r="E113" s="137" t="n">
        <v>8</v>
      </c>
      <c r="F113" s="241" t="n">
        <v>58.12</v>
      </c>
      <c r="G113" s="32">
        <f>ROUND(E113*F113,2)</f>
        <v/>
      </c>
      <c r="H113" s="133">
        <f>G113/$G$189</f>
        <v/>
      </c>
      <c r="I113" s="32">
        <f>ROUND(F113*Прил.10!$D$13,2)</f>
        <v/>
      </c>
      <c r="J113" s="32">
        <f>ROUND(I113*E113,2)</f>
        <v/>
      </c>
    </row>
    <row r="114" hidden="1" outlineLevel="1" ht="38.25" customFormat="1" customHeight="1" s="12">
      <c r="A114" s="239" t="n"/>
      <c r="B114" s="239" t="inlineStr">
        <is>
          <t>23.8.04.08-0055</t>
        </is>
      </c>
      <c r="C114" s="238" t="inlineStr">
        <is>
          <t>Переходы концентрические, номинальное давление 16 МПа, наружный диаметр и толщина стенки 76х3,5-45х2,5 мм</t>
        </is>
      </c>
      <c r="D114" s="239" t="inlineStr">
        <is>
          <t>шт</t>
        </is>
      </c>
      <c r="E114" s="137" t="n">
        <v>9</v>
      </c>
      <c r="F114" s="241" t="n">
        <v>50.14</v>
      </c>
      <c r="G114" s="32">
        <f>ROUND(E114*F114,2)</f>
        <v/>
      </c>
      <c r="H114" s="133">
        <f>G114/$G$189</f>
        <v/>
      </c>
      <c r="I114" s="32">
        <f>ROUND(F114*Прил.10!$D$13,2)</f>
        <v/>
      </c>
      <c r="J114" s="32">
        <f>ROUND(I114*E114,2)</f>
        <v/>
      </c>
    </row>
    <row r="115" hidden="1" outlineLevel="1" ht="51" customFormat="1" customHeight="1" s="12">
      <c r="A115" s="239" t="n"/>
      <c r="B115" s="239" t="inlineStr">
        <is>
          <t>23.8.04.08-0165</t>
        </is>
      </c>
      <c r="C115" s="238" t="inlineStr">
        <is>
          <t>Переходы стальные концентрические бесшовные приварные, наружный диаметр и толщина стенки 133х4,0-108х4,0 мм</t>
        </is>
      </c>
      <c r="D115" s="239" t="inlineStr">
        <is>
          <t>шт</t>
        </is>
      </c>
      <c r="E115" s="137" t="n">
        <v>4</v>
      </c>
      <c r="F115" s="241" t="n">
        <v>45.75</v>
      </c>
      <c r="G115" s="32">
        <f>ROUND(E115*F115,2)</f>
        <v/>
      </c>
      <c r="H115" s="133">
        <f>G115/$G$189</f>
        <v/>
      </c>
      <c r="I115" s="32">
        <f>ROUND(F115*Прил.10!$D$13,2)</f>
        <v/>
      </c>
      <c r="J115" s="32">
        <f>ROUND(I115*E115,2)</f>
        <v/>
      </c>
    </row>
    <row r="116" hidden="1" outlineLevel="1" ht="38.25" customFormat="1" customHeight="1" s="12">
      <c r="A116" s="239" t="n"/>
      <c r="B116" s="239" t="inlineStr">
        <is>
          <t>23.8.04.08-0090</t>
        </is>
      </c>
      <c r="C116" s="238" t="inlineStr">
        <is>
          <t>Переходы концентрические, номинальное давление 16 МПа, наружный диаметр и толщина стенки 159х4,5-133х4 мм</t>
        </is>
      </c>
      <c r="D116" s="239" t="inlineStr">
        <is>
          <t>шт</t>
        </is>
      </c>
      <c r="E116" s="137" t="n">
        <v>2</v>
      </c>
      <c r="F116" s="241" t="n">
        <v>87.12</v>
      </c>
      <c r="G116" s="32">
        <f>ROUND(E116*F116,2)</f>
        <v/>
      </c>
      <c r="H116" s="133">
        <f>G116/$G$189</f>
        <v/>
      </c>
      <c r="I116" s="32">
        <f>ROUND(F116*Прил.10!$D$13,2)</f>
        <v/>
      </c>
      <c r="J116" s="32">
        <f>ROUND(I116*E116,2)</f>
        <v/>
      </c>
    </row>
    <row r="117" hidden="1" outlineLevel="1" ht="38.25" customFormat="1" customHeight="1" s="12">
      <c r="A117" s="239" t="n"/>
      <c r="B117" s="239" t="inlineStr">
        <is>
          <t>23.8.04.08-0052</t>
        </is>
      </c>
      <c r="C117" s="238" t="inlineStr">
        <is>
          <t>Переходы концентрические, номинальное давление 16 МПа, наружный диаметр и толщина стенки 57х5-45х4 мм</t>
        </is>
      </c>
      <c r="D117" s="239" t="inlineStr">
        <is>
          <t>шт</t>
        </is>
      </c>
      <c r="E117" s="137" t="n">
        <v>3</v>
      </c>
      <c r="F117" s="241" t="n">
        <v>44.49</v>
      </c>
      <c r="G117" s="32">
        <f>ROUND(E117*F117,2)</f>
        <v/>
      </c>
      <c r="H117" s="133">
        <f>G117/$G$189</f>
        <v/>
      </c>
      <c r="I117" s="32">
        <f>ROUND(F117*Прил.10!$D$13,2)</f>
        <v/>
      </c>
      <c r="J117" s="32">
        <f>ROUND(I117*E117,2)</f>
        <v/>
      </c>
    </row>
    <row r="118" hidden="1" outlineLevel="1" ht="38.25" customFormat="1" customHeight="1" s="12">
      <c r="A118" s="239" t="n"/>
      <c r="B118" s="239" t="inlineStr">
        <is>
          <t>23.8.04.08-0084</t>
        </is>
      </c>
      <c r="C118" s="238" t="inlineStr">
        <is>
          <t>Переходы концентрические, номинальное давление 16 МПа, наружный диаметр и толщина стенки 159х4,5-76х3,5 мм</t>
        </is>
      </c>
      <c r="D118" s="239" t="inlineStr">
        <is>
          <t>шт</t>
        </is>
      </c>
      <c r="E118" s="137" t="n">
        <v>1</v>
      </c>
      <c r="F118" s="241" t="n">
        <v>91.41</v>
      </c>
      <c r="G118" s="32">
        <f>ROUND(E118*F118,2)</f>
        <v/>
      </c>
      <c r="H118" s="133">
        <f>G118/$G$189</f>
        <v/>
      </c>
      <c r="I118" s="32">
        <f>ROUND(F118*Прил.10!$D$13,2)</f>
        <v/>
      </c>
      <c r="J118" s="32">
        <f>ROUND(I118*E118,2)</f>
        <v/>
      </c>
    </row>
    <row r="119" hidden="1" outlineLevel="1" ht="38.25" customFormat="1" customHeight="1" s="12">
      <c r="A119" s="239" t="n"/>
      <c r="B119" s="239" t="inlineStr">
        <is>
          <t>23.8.04.08-0058</t>
        </is>
      </c>
      <c r="C119" s="238" t="inlineStr">
        <is>
          <t>Переходы концентрические, номинальное давление 16 МПа, наружный диаметр и толщина стенки 76х6-57х5 мм</t>
        </is>
      </c>
      <c r="D119" s="239" t="inlineStr">
        <is>
          <t>шт</t>
        </is>
      </c>
      <c r="E119" s="137" t="n">
        <v>1</v>
      </c>
      <c r="F119" s="241" t="n">
        <v>49.54</v>
      </c>
      <c r="G119" s="32">
        <f>ROUND(E119*F119,2)</f>
        <v/>
      </c>
      <c r="H119" s="133">
        <f>G119/$G$189</f>
        <v/>
      </c>
      <c r="I119" s="32">
        <f>ROUND(F119*Прил.10!$D$13,2)</f>
        <v/>
      </c>
      <c r="J119" s="32">
        <f>ROUND(I119*E119,2)</f>
        <v/>
      </c>
    </row>
    <row r="120" collapsed="1" ht="51" customFormat="1" customHeight="1" s="12">
      <c r="A120" s="239" t="n">
        <v>58</v>
      </c>
      <c r="B120" s="239" t="inlineStr">
        <is>
          <t>23.7.01.04-0004</t>
        </is>
      </c>
      <c r="C120" s="238" t="inlineStr">
        <is>
          <t>Трубопроводы из стальных электросварных труб с гильзами для отопления и водоснабжения, наружный диаметр 89 мм, толщина стенки 3,5 мм</t>
        </is>
      </c>
      <c r="D120" s="239" t="inlineStr">
        <is>
          <t>м</t>
        </is>
      </c>
      <c r="E120" s="137">
        <f>G120/F120</f>
        <v/>
      </c>
      <c r="F120" s="241" t="n">
        <v>61.76</v>
      </c>
      <c r="G120" s="32">
        <f>SUM(G121:G126)</f>
        <v/>
      </c>
      <c r="H120" s="133">
        <f>G120/$G$189</f>
        <v/>
      </c>
      <c r="I120" s="32">
        <f>ROUND(F120*Прил.10!$D$13,2)</f>
        <v/>
      </c>
      <c r="J120" s="32">
        <f>ROUND(I120*E120,2)</f>
        <v/>
      </c>
    </row>
    <row r="121" hidden="1" outlineLevel="1" ht="51" customFormat="1" customHeight="1" s="12">
      <c r="A121" s="239" t="n"/>
      <c r="B121" s="239" t="inlineStr">
        <is>
          <t>23.7.01.04-0004</t>
        </is>
      </c>
      <c r="C121" s="238" t="inlineStr">
        <is>
          <t>Трубопроводы из стальных электросварных труб с гильзами для отопления и водоснабжения, наружный диаметр 89 мм, толщина стенки 3,5 мм</t>
        </is>
      </c>
      <c r="D121" s="239" t="inlineStr">
        <is>
          <t>м</t>
        </is>
      </c>
      <c r="E121" s="137" t="n">
        <v>22.2</v>
      </c>
      <c r="F121" s="241" t="n">
        <v>61.76</v>
      </c>
      <c r="G121" s="32">
        <f>ROUND(E121*F121,2)</f>
        <v/>
      </c>
      <c r="H121" s="133">
        <f>G121/$G$189</f>
        <v/>
      </c>
      <c r="I121" s="32">
        <f>ROUND(F121*Прил.10!$D$13,2)</f>
        <v/>
      </c>
      <c r="J121" s="32">
        <f>ROUND(I121*E121,2)</f>
        <v/>
      </c>
    </row>
    <row r="122" hidden="1" outlineLevel="1" ht="51" customFormat="1" customHeight="1" s="12">
      <c r="A122" s="239" t="n"/>
      <c r="B122" s="239" t="inlineStr">
        <is>
          <t>23.7.01.04-0006</t>
        </is>
      </c>
      <c r="C122" s="238" t="inlineStr">
        <is>
          <t>Трубопроводы из стальных электросварных труб с гильзами для отопления и водоснабжения, наружный диаметр 133 мм, толщина стенки 4 мм</t>
        </is>
      </c>
      <c r="D122" s="239" t="inlineStr">
        <is>
          <t>м</t>
        </is>
      </c>
      <c r="E122" s="137" t="n">
        <v>13.075</v>
      </c>
      <c r="F122" s="241" t="n">
        <v>103.04</v>
      </c>
      <c r="G122" s="32">
        <f>ROUND(E122*F122,2)</f>
        <v/>
      </c>
      <c r="H122" s="133">
        <f>G122/$G$189</f>
        <v/>
      </c>
      <c r="I122" s="32">
        <f>ROUND(F122*Прил.10!$D$13,2)</f>
        <v/>
      </c>
      <c r="J122" s="32">
        <f>ROUND(I122*E122,2)</f>
        <v/>
      </c>
    </row>
    <row r="123" hidden="1" outlineLevel="1" ht="51" customFormat="1" customHeight="1" s="12">
      <c r="A123" s="239" t="n"/>
      <c r="B123" s="239" t="inlineStr">
        <is>
          <t>23.7.01.04-0003</t>
        </is>
      </c>
      <c r="C123" s="238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23" s="239" t="inlineStr">
        <is>
          <t>м</t>
        </is>
      </c>
      <c r="E123" s="137" t="n">
        <v>23.145</v>
      </c>
      <c r="F123" s="241" t="n">
        <v>53.12</v>
      </c>
      <c r="G123" s="32">
        <f>ROUND(E123*F123,2)</f>
        <v/>
      </c>
      <c r="H123" s="133">
        <f>G123/$G$189</f>
        <v/>
      </c>
      <c r="I123" s="32">
        <f>ROUND(F123*Прил.10!$D$13,2)</f>
        <v/>
      </c>
      <c r="J123" s="32">
        <f>ROUND(I123*E123,2)</f>
        <v/>
      </c>
    </row>
    <row r="124" hidden="1" outlineLevel="1" ht="51" customFormat="1" customHeight="1" s="12">
      <c r="A124" s="239" t="n"/>
      <c r="B124" s="239" t="inlineStr">
        <is>
          <t>23.7.01.04-0005</t>
        </is>
      </c>
      <c r="C124" s="238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4" s="239" t="inlineStr">
        <is>
          <t>м</t>
        </is>
      </c>
      <c r="E124" s="137" t="n">
        <v>7.52</v>
      </c>
      <c r="F124" s="241" t="n">
        <v>79.36</v>
      </c>
      <c r="G124" s="32">
        <f>ROUND(E124*F124,2)</f>
        <v/>
      </c>
      <c r="H124" s="133">
        <f>G124/$G$189</f>
        <v/>
      </c>
      <c r="I124" s="32">
        <f>ROUND(F124*Прил.10!$D$13,2)</f>
        <v/>
      </c>
      <c r="J124" s="32">
        <f>ROUND(I124*E124,2)</f>
        <v/>
      </c>
    </row>
    <row r="125" hidden="1" outlineLevel="1" ht="51" customFormat="1" customHeight="1" s="12">
      <c r="A125" s="239" t="n"/>
      <c r="B125" s="239" t="inlineStr">
        <is>
          <t>23.7.01.04-0002</t>
        </is>
      </c>
      <c r="C125" s="238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25" s="239" t="inlineStr">
        <is>
          <t>м</t>
        </is>
      </c>
      <c r="E125" s="137" t="n">
        <v>13.385</v>
      </c>
      <c r="F125" s="241" t="n">
        <v>41.28</v>
      </c>
      <c r="G125" s="32">
        <f>ROUND(E125*F125,2)</f>
        <v/>
      </c>
      <c r="H125" s="133">
        <f>G125/$G$189</f>
        <v/>
      </c>
      <c r="I125" s="32">
        <f>ROUND(F125*Прил.10!$D$13,2)</f>
        <v/>
      </c>
      <c r="J125" s="32">
        <f>ROUND(I125*E125,2)</f>
        <v/>
      </c>
    </row>
    <row r="126" hidden="1" outlineLevel="1" ht="51" customFormat="1" customHeight="1" s="12">
      <c r="A126" s="239" t="n"/>
      <c r="B126" s="239" t="inlineStr">
        <is>
          <t>23.7.01.04-0001</t>
        </is>
      </c>
      <c r="C126" s="238" t="inlineStr">
        <is>
          <t>Трубопроводы из стальных электросварных труб с гильзами для отопления и водоснабжения, наружный диаметр 45 мм, толщина стенки 3,5 мм</t>
        </is>
      </c>
      <c r="D126" s="239" t="inlineStr">
        <is>
          <t>м</t>
        </is>
      </c>
      <c r="E126" s="137" t="n">
        <v>9.44</v>
      </c>
      <c r="F126" s="241" t="n">
        <v>31.75</v>
      </c>
      <c r="G126" s="32">
        <f>ROUND(E126*F126,2)</f>
        <v/>
      </c>
      <c r="H126" s="133">
        <f>G126/$G$189</f>
        <v/>
      </c>
      <c r="I126" s="32">
        <f>ROUND(F126*Прил.10!$D$13,2)</f>
        <v/>
      </c>
      <c r="J126" s="32">
        <f>ROUND(I126*E126,2)</f>
        <v/>
      </c>
    </row>
    <row r="127" collapsed="1" ht="14.25" customFormat="1" customHeight="1" s="12">
      <c r="A127" s="239" t="n">
        <v>59</v>
      </c>
      <c r="B127" s="239" t="inlineStr">
        <is>
          <t>07.2.07.13-0171</t>
        </is>
      </c>
      <c r="C127" s="238" t="inlineStr">
        <is>
          <t>Подкладки металлические</t>
        </is>
      </c>
      <c r="D127" s="239" t="inlineStr">
        <is>
          <t>кг</t>
        </is>
      </c>
      <c r="E127" s="137" t="n">
        <v>380</v>
      </c>
      <c r="F127" s="241" t="n">
        <v>12.6</v>
      </c>
      <c r="G127" s="32">
        <f>ROUND(E127*F127,2)</f>
        <v/>
      </c>
      <c r="H127" s="133">
        <f>G127/$G$189</f>
        <v/>
      </c>
      <c r="I127" s="32">
        <f>ROUND(F127*Прил.10!$D$13,2)</f>
        <v/>
      </c>
      <c r="J127" s="32">
        <f>ROUND(I127*E127,2)</f>
        <v/>
      </c>
    </row>
    <row r="128" ht="25.5" customFormat="1" customHeight="1" s="12">
      <c r="A128" s="239" t="n">
        <v>60</v>
      </c>
      <c r="B128" s="239" t="inlineStr">
        <is>
          <t>08.3.05.02-0058</t>
        </is>
      </c>
      <c r="C128" s="238" t="inlineStr">
        <is>
          <t>Прокат толстолистовой горячекатаный в листах, марка стали Ст3, толщина 6-8 мм</t>
        </is>
      </c>
      <c r="D128" s="239" t="inlineStr">
        <is>
          <t>т</t>
        </is>
      </c>
      <c r="E128" s="137">
        <f>G128/F128</f>
        <v/>
      </c>
      <c r="F128" s="241" t="n">
        <v>5891.61</v>
      </c>
      <c r="G128" s="32">
        <f>SUM(G129:G130)</f>
        <v/>
      </c>
      <c r="H128" s="133">
        <f>G128/$G$189</f>
        <v/>
      </c>
      <c r="I128" s="32">
        <f>ROUND(F128*Прил.10!$D$13,2)</f>
        <v/>
      </c>
      <c r="J128" s="32">
        <f>ROUND(I128*E128,2)</f>
        <v/>
      </c>
    </row>
    <row r="129" hidden="1" outlineLevel="1" ht="25.5" customFormat="1" customHeight="1" s="12">
      <c r="A129" s="239" t="n"/>
      <c r="B129" s="239" t="inlineStr">
        <is>
          <t>08.3.05.02-0058</t>
        </is>
      </c>
      <c r="C129" s="238" t="inlineStr">
        <is>
          <t>Прокат толстолистовой горячекатаный в листах, марка стали Ст3, толщина 6-8 мм</t>
        </is>
      </c>
      <c r="D129" s="239" t="inlineStr">
        <is>
          <t>т</t>
        </is>
      </c>
      <c r="E129" s="137" t="n">
        <v>0.4536</v>
      </c>
      <c r="F129" s="241" t="n">
        <v>5891.61</v>
      </c>
      <c r="G129" s="32">
        <f>ROUND(E129*F129,2)</f>
        <v/>
      </c>
      <c r="H129" s="133">
        <f>G129/$G$189</f>
        <v/>
      </c>
      <c r="I129" s="32">
        <f>ROUND(F129*Прил.10!$D$13,2)</f>
        <v/>
      </c>
      <c r="J129" s="32">
        <f>ROUND(I129*E129,2)</f>
        <v/>
      </c>
    </row>
    <row r="130" hidden="1" outlineLevel="1" ht="25.5" customFormat="1" customHeight="1" s="12">
      <c r="A130" s="239" t="n"/>
      <c r="B130" s="239" t="inlineStr">
        <is>
          <t>08.3.05.02-0052</t>
        </is>
      </c>
      <c r="C130" s="238" t="inlineStr">
        <is>
          <t>Прокат толстолистовой горячекатаный марка стали Ст3, толщина 2-6 мм</t>
        </is>
      </c>
      <c r="D130" s="239" t="inlineStr">
        <is>
          <t>т</t>
        </is>
      </c>
      <c r="E130" s="137" t="n">
        <v>0.1515</v>
      </c>
      <c r="F130" s="241" t="n">
        <v>5941.89</v>
      </c>
      <c r="G130" s="32">
        <f>ROUND(E130*F130,2)</f>
        <v/>
      </c>
      <c r="H130" s="133">
        <f>G130/$G$189</f>
        <v/>
      </c>
      <c r="I130" s="32">
        <f>ROUND(F130*Прил.10!$D$13,2)</f>
        <v/>
      </c>
      <c r="J130" s="32">
        <f>ROUND(I130*E130,2)</f>
        <v/>
      </c>
    </row>
    <row r="131" collapsed="1" ht="25.5" customFormat="1" customHeight="1" s="12">
      <c r="A131" s="239" t="n">
        <v>61</v>
      </c>
      <c r="B131" s="239" t="inlineStr">
        <is>
          <t>21.1.08.01-0313</t>
        </is>
      </c>
      <c r="C131" s="238" t="inlineStr">
        <is>
          <t>Кабель пожарной сигнализации КПСЭнг(A)-FRLS 1х2х1,5</t>
        </is>
      </c>
      <c r="D131" s="239" t="inlineStr">
        <is>
          <t>1000 м</t>
        </is>
      </c>
      <c r="E131" s="137">
        <f>G131/F131</f>
        <v/>
      </c>
      <c r="F131" s="241" t="n">
        <v>5545.45</v>
      </c>
      <c r="G131" s="32">
        <f>SUM(G132:G133)</f>
        <v/>
      </c>
      <c r="H131" s="133">
        <f>G131/$G$189</f>
        <v/>
      </c>
      <c r="I131" s="32">
        <f>ROUND(F131*Прил.10!$D$13,2)</f>
        <v/>
      </c>
      <c r="J131" s="32">
        <f>ROUND(I131*E131,2)</f>
        <v/>
      </c>
    </row>
    <row r="132" hidden="1" outlineLevel="1" ht="25.5" customFormat="1" customHeight="1" s="12">
      <c r="A132" s="239" t="n"/>
      <c r="B132" s="239" t="inlineStr">
        <is>
          <t>21.1.08.01-0313</t>
        </is>
      </c>
      <c r="C132" s="238" t="inlineStr">
        <is>
          <t>Кабель пожарной сигнализации КПСЭнг(A)-FRLS 1х2х1,5</t>
        </is>
      </c>
      <c r="D132" s="239" t="inlineStr">
        <is>
          <t>1000 м</t>
        </is>
      </c>
      <c r="E132" s="137" t="n">
        <v>0.545</v>
      </c>
      <c r="F132" s="241" t="n">
        <v>5545.45</v>
      </c>
      <c r="G132" s="32">
        <f>ROUND(E132*F132,2)</f>
        <v/>
      </c>
      <c r="H132" s="133">
        <f>G132/$G$189</f>
        <v/>
      </c>
      <c r="I132" s="32">
        <f>ROUND(F132*Прил.10!$D$13,2)</f>
        <v/>
      </c>
      <c r="J132" s="32">
        <f>ROUND(I132*E132,2)</f>
        <v/>
      </c>
    </row>
    <row r="133" hidden="1" outlineLevel="1" ht="25.5" customFormat="1" customHeight="1" s="12">
      <c r="A133" s="239" t="n"/>
      <c r="B133" s="239" t="inlineStr">
        <is>
          <t>21.1.08.01-0095</t>
        </is>
      </c>
      <c r="C133" s="238" t="inlineStr">
        <is>
          <t>Кабель пожарной сигнализации КПСВВнг-LS 2х2х0,75</t>
        </is>
      </c>
      <c r="D133" s="239" t="inlineStr">
        <is>
          <t>1000 м</t>
        </is>
      </c>
      <c r="E133" s="137" t="n">
        <v>0.02</v>
      </c>
      <c r="F133" s="241" t="n">
        <v>6663.65</v>
      </c>
      <c r="G133" s="32">
        <f>ROUND(E133*F133,2)</f>
        <v/>
      </c>
      <c r="H133" s="133">
        <f>G133/$G$189</f>
        <v/>
      </c>
      <c r="I133" s="32">
        <f>ROUND(F133*Прил.10!$D$13,2)</f>
        <v/>
      </c>
      <c r="J133" s="32">
        <f>ROUND(I133*E133,2)</f>
        <v/>
      </c>
    </row>
    <row r="134" collapsed="1" ht="25.5" customFormat="1" customHeight="1" s="12">
      <c r="A134" s="239" t="n">
        <v>62</v>
      </c>
      <c r="B134" s="239" t="inlineStr">
        <is>
          <t>01.7.11.07-0040</t>
        </is>
      </c>
      <c r="C134" s="238" t="inlineStr">
        <is>
          <t>Электроды сварочные Э50А, диаметр 4 мм</t>
        </is>
      </c>
      <c r="D134" s="239" t="inlineStr">
        <is>
          <t>т</t>
        </is>
      </c>
      <c r="E134" s="137">
        <f>G134/F134</f>
        <v/>
      </c>
      <c r="F134" s="241" t="n">
        <v>11524</v>
      </c>
      <c r="G134" s="32">
        <f>SUM(G135:G137)</f>
        <v/>
      </c>
      <c r="H134" s="133">
        <f>G134/$G$189</f>
        <v/>
      </c>
      <c r="I134" s="32">
        <f>ROUND(F134*Прил.10!$D$13,2)</f>
        <v/>
      </c>
      <c r="J134" s="32">
        <f>ROUND(I134*E134,2)</f>
        <v/>
      </c>
    </row>
    <row r="135" hidden="1" outlineLevel="1" ht="25.5" customFormat="1" customHeight="1" s="12">
      <c r="A135" s="239" t="n"/>
      <c r="B135" s="239" t="inlineStr">
        <is>
          <t>01.7.11.07-0040</t>
        </is>
      </c>
      <c r="C135" s="238" t="inlineStr">
        <is>
          <t>Электроды сварочные Э50А, диаметр 4 мм</t>
        </is>
      </c>
      <c r="D135" s="239" t="inlineStr">
        <is>
          <t>т</t>
        </is>
      </c>
      <c r="E135" s="137" t="n">
        <v>0.09</v>
      </c>
      <c r="F135" s="241" t="n">
        <v>11524</v>
      </c>
      <c r="G135" s="32">
        <f>ROUND(E135*F135,2)</f>
        <v/>
      </c>
      <c r="H135" s="133">
        <f>G135/$G$189</f>
        <v/>
      </c>
      <c r="I135" s="32">
        <f>ROUND(F135*Прил.10!$D$13,2)</f>
        <v/>
      </c>
      <c r="J135" s="32">
        <f>ROUND(I135*E135,2)</f>
        <v/>
      </c>
    </row>
    <row r="136" hidden="1" outlineLevel="1" ht="14.25" customFormat="1" customHeight="1" s="12">
      <c r="A136" s="239" t="n"/>
      <c r="B136" s="239" t="inlineStr">
        <is>
          <t>01.7.11.07-0032</t>
        </is>
      </c>
      <c r="C136" s="238" t="inlineStr">
        <is>
          <t>Электроды сварочные Э42, диаметр 4 мм</t>
        </is>
      </c>
      <c r="D136" s="239" t="inlineStr">
        <is>
          <t>т</t>
        </is>
      </c>
      <c r="E136" s="137" t="n">
        <v>0.057804</v>
      </c>
      <c r="F136" s="241" t="n">
        <v>10315.01</v>
      </c>
      <c r="G136" s="32">
        <f>ROUND(E136*F136,2)</f>
        <v/>
      </c>
      <c r="H136" s="133">
        <f>G136/$G$189</f>
        <v/>
      </c>
      <c r="I136" s="32">
        <f>ROUND(F136*Прил.10!$D$13,2)</f>
        <v/>
      </c>
      <c r="J136" s="32">
        <f>ROUND(I136*E136,2)</f>
        <v/>
      </c>
    </row>
    <row r="137" hidden="1" outlineLevel="1" ht="14.25" customFormat="1" customHeight="1" s="12">
      <c r="A137" s="239" t="n"/>
      <c r="B137" s="239" t="inlineStr">
        <is>
          <t>01.7.11.07-0044</t>
        </is>
      </c>
      <c r="C137" s="238" t="inlineStr">
        <is>
          <t>Электроды сварочные Э42, диаметр 5 мм</t>
        </is>
      </c>
      <c r="D137" s="239" t="inlineStr">
        <is>
          <t>т</t>
        </is>
      </c>
      <c r="E137" s="137" t="n">
        <v>0.020443</v>
      </c>
      <c r="F137" s="241" t="n">
        <v>9765</v>
      </c>
      <c r="G137" s="32">
        <f>ROUND(E137*F137,2)</f>
        <v/>
      </c>
      <c r="H137" s="133">
        <f>G137/$G$189</f>
        <v/>
      </c>
      <c r="I137" s="32">
        <f>ROUND(F137*Прил.10!$D$13,2)</f>
        <v/>
      </c>
      <c r="J137" s="32">
        <f>ROUND(I137*E137,2)</f>
        <v/>
      </c>
    </row>
    <row r="138" collapsed="1" ht="14.25" customFormat="1" customHeight="1" s="12">
      <c r="A138" s="250" t="n"/>
      <c r="B138" s="177" t="n"/>
      <c r="C138" s="178" t="inlineStr">
        <is>
          <t>Итого основные материалы</t>
        </is>
      </c>
      <c r="D138" s="250" t="n"/>
      <c r="E138" s="179" t="n"/>
      <c r="F138" s="136" t="n"/>
      <c r="G138" s="136">
        <f>G93+G94+G100+G110+G120+G127+G128+G131+G134</f>
        <v/>
      </c>
      <c r="H138" s="133">
        <f>G138/$G$189</f>
        <v/>
      </c>
      <c r="I138" s="32" t="n"/>
      <c r="J138" s="136">
        <f>J93+J94+J100+J110+J120+J127+J128+J131+J134</f>
        <v/>
      </c>
    </row>
    <row r="139" hidden="1" outlineLevel="1" ht="25.5" customFormat="1" customHeight="1" s="12">
      <c r="A139" s="239" t="n">
        <v>63</v>
      </c>
      <c r="B139" s="239" t="inlineStr">
        <is>
          <t>01.7.15.07-0012</t>
        </is>
      </c>
      <c r="C139" s="238" t="inlineStr">
        <is>
          <t>Дюбели пластмассовые с шурупами, размер 12х70 мм</t>
        </is>
      </c>
      <c r="D139" s="239" t="inlineStr">
        <is>
          <t>100 шт</t>
        </is>
      </c>
      <c r="E139" s="137" t="n">
        <v>14.375</v>
      </c>
      <c r="F139" s="241" t="n">
        <v>83</v>
      </c>
      <c r="G139" s="32">
        <f>ROUND(E139*F139,2)</f>
        <v/>
      </c>
      <c r="H139" s="133">
        <f>G139/$G$189</f>
        <v/>
      </c>
      <c r="I139" s="32">
        <f>ROUND(F139*Прил.10!$D$13,2)</f>
        <v/>
      </c>
      <c r="J139" s="32">
        <f>ROUND(I139*E139,2)</f>
        <v/>
      </c>
    </row>
    <row r="140" hidden="1" outlineLevel="1" ht="25.5" customFormat="1" customHeight="1" s="12">
      <c r="A140" s="239" t="n">
        <v>64</v>
      </c>
      <c r="B140" s="239" t="inlineStr">
        <is>
          <t>08.3.08.02-0091</t>
        </is>
      </c>
      <c r="C140" s="238" t="inlineStr">
        <is>
          <t>Уголок перфорированный, марка стали Ст3, размер 35х35 мм</t>
        </is>
      </c>
      <c r="D140" s="239" t="inlineStr">
        <is>
          <t>м</t>
        </is>
      </c>
      <c r="E140" s="137" t="n">
        <v>44.544</v>
      </c>
      <c r="F140" s="241" t="n">
        <v>15.13</v>
      </c>
      <c r="G140" s="32">
        <f>ROUND(E140*F140,2)</f>
        <v/>
      </c>
      <c r="H140" s="133">
        <f>G140/$G$189</f>
        <v/>
      </c>
      <c r="I140" s="32">
        <f>ROUND(F140*Прил.10!$D$13,2)</f>
        <v/>
      </c>
      <c r="J140" s="32">
        <f>ROUND(I140*E140,2)</f>
        <v/>
      </c>
    </row>
    <row r="141" hidden="1" outlineLevel="1" ht="14.25" customFormat="1" customHeight="1" s="12">
      <c r="A141" s="239" t="n">
        <v>65</v>
      </c>
      <c r="B141" s="239" t="inlineStr">
        <is>
          <t>14.4.04.09-0017</t>
        </is>
      </c>
      <c r="C141" s="238" t="inlineStr">
        <is>
          <t>Эмаль ХВ-124, защитная, зеленая</t>
        </is>
      </c>
      <c r="D141" s="239" t="inlineStr">
        <is>
          <t>т</t>
        </is>
      </c>
      <c r="E141" s="137" t="n">
        <v>0.02286</v>
      </c>
      <c r="F141" s="241" t="n">
        <v>28300.4</v>
      </c>
      <c r="G141" s="32">
        <f>ROUND(E141*F141,2)</f>
        <v/>
      </c>
      <c r="H141" s="133">
        <f>G141/$G$189</f>
        <v/>
      </c>
      <c r="I141" s="32">
        <f>ROUND(F141*Прил.10!$D$13,2)</f>
        <v/>
      </c>
      <c r="J141" s="32">
        <f>ROUND(I141*E141,2)</f>
        <v/>
      </c>
    </row>
    <row r="142" hidden="1" outlineLevel="1" ht="25.5" customFormat="1" customHeight="1" s="12">
      <c r="A142" s="239" t="n">
        <v>66</v>
      </c>
      <c r="B142" s="239" t="inlineStr">
        <is>
          <t>999-9950</t>
        </is>
      </c>
      <c r="C142" s="238" t="inlineStr">
        <is>
          <t>Вспомогательные ненормируемые ресурсы (2% от Оплаты труда рабочих)</t>
        </is>
      </c>
      <c r="D142" s="239" t="inlineStr">
        <is>
          <t>руб</t>
        </is>
      </c>
      <c r="E142" s="137" t="n">
        <v>620.551407</v>
      </c>
      <c r="F142" s="241" t="n">
        <v>1</v>
      </c>
      <c r="G142" s="32">
        <f>ROUND(E142*F142,2)</f>
        <v/>
      </c>
      <c r="H142" s="133">
        <f>G142/$G$189</f>
        <v/>
      </c>
      <c r="I142" s="32">
        <f>ROUND(F142*Прил.10!$D$13,2)</f>
        <v/>
      </c>
      <c r="J142" s="32">
        <f>ROUND(I142*E142,2)</f>
        <v/>
      </c>
    </row>
    <row r="143" hidden="1" outlineLevel="1" ht="25.5" customFormat="1" customHeight="1" s="12">
      <c r="A143" s="239" t="n">
        <v>67</v>
      </c>
      <c r="B143" s="239" t="inlineStr">
        <is>
          <t>08.1.02.11-0023</t>
        </is>
      </c>
      <c r="C143" s="238" t="inlineStr">
        <is>
          <t>Поковки простые строительные (скобы, закрепы, хомуты), масса до 1,6 кг</t>
        </is>
      </c>
      <c r="D143" s="239" t="inlineStr">
        <is>
          <t>кг</t>
        </is>
      </c>
      <c r="E143" s="137" t="n">
        <v>38</v>
      </c>
      <c r="F143" s="241" t="n">
        <v>15.14</v>
      </c>
      <c r="G143" s="32">
        <f>ROUND(E143*F143,2)</f>
        <v/>
      </c>
      <c r="H143" s="133">
        <f>G143/$G$189</f>
        <v/>
      </c>
      <c r="I143" s="32">
        <f>ROUND(F143*Прил.10!$D$13,2)</f>
        <v/>
      </c>
      <c r="J143" s="32">
        <f>ROUND(I143*E143,2)</f>
        <v/>
      </c>
    </row>
    <row r="144" hidden="1" outlineLevel="1" ht="51" customFormat="1" customHeight="1" s="12">
      <c r="A144" s="239" t="n">
        <v>68</v>
      </c>
      <c r="B144" s="239" t="inlineStr">
        <is>
          <t>23.8.04.06-0309</t>
        </is>
      </c>
      <c r="C144" s="238" t="inlineStr">
        <is>
          <t>Отводы 90 °C радиусом кривизны R=1,5 Ду на давление до 16 МПа, номинальный диаметр 30 мм, наружный диаметр 33,7 мм, толщина стенки 2,3 мм</t>
        </is>
      </c>
      <c r="D144" s="239" t="inlineStr">
        <is>
          <t>шт</t>
        </is>
      </c>
      <c r="E144" s="137" t="n">
        <v>66</v>
      </c>
      <c r="F144" s="241" t="n">
        <v>6.65</v>
      </c>
      <c r="G144" s="32">
        <f>ROUND(E144*F144,2)</f>
        <v/>
      </c>
      <c r="H144" s="133">
        <f>G144/$G$189</f>
        <v/>
      </c>
      <c r="I144" s="32">
        <f>ROUND(F144*Прил.10!$D$13,2)</f>
        <v/>
      </c>
      <c r="J144" s="32">
        <f>ROUND(I144*E144,2)</f>
        <v/>
      </c>
    </row>
    <row r="145" hidden="1" outlineLevel="1" ht="63.75" customFormat="1" customHeight="1" s="12">
      <c r="A145" s="239" t="n">
        <v>69</v>
      </c>
      <c r="B145" s="239" t="inlineStr">
        <is>
          <t>23.8.04.06-0061</t>
        </is>
      </c>
      <c r="C145" s="238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2,5 мм</t>
        </is>
      </c>
      <c r="D145" s="239" t="inlineStr">
        <is>
          <t>шт</t>
        </is>
      </c>
      <c r="E145" s="137" t="n">
        <v>20</v>
      </c>
      <c r="F145" s="241" t="n">
        <v>21.15</v>
      </c>
      <c r="G145" s="32">
        <f>ROUND(E145*F145,2)</f>
        <v/>
      </c>
      <c r="H145" s="133">
        <f>G145/$G$189</f>
        <v/>
      </c>
      <c r="I145" s="32">
        <f>ROUND(F145*Прил.10!$D$13,2)</f>
        <v/>
      </c>
      <c r="J145" s="32">
        <f>ROUND(I145*E145,2)</f>
        <v/>
      </c>
    </row>
    <row r="146" hidden="1" outlineLevel="1" ht="25.5" customFormat="1" customHeight="1" s="12">
      <c r="A146" s="239" t="n">
        <v>70</v>
      </c>
      <c r="B146" s="239" t="inlineStr">
        <is>
          <t>10.3.02.03-0012</t>
        </is>
      </c>
      <c r="C146" s="238" t="inlineStr">
        <is>
          <t>Припои оловянно-свинцовые бессурьмянистые, марка ПОС40</t>
        </is>
      </c>
      <c r="D146" s="239" t="inlineStr">
        <is>
          <t>т</t>
        </is>
      </c>
      <c r="E146" s="137" t="n">
        <v>0.006196</v>
      </c>
      <c r="F146" s="241" t="n">
        <v>65750</v>
      </c>
      <c r="G146" s="32">
        <f>ROUND(E146*F146,2)</f>
        <v/>
      </c>
      <c r="H146" s="133">
        <f>G146/$G$189</f>
        <v/>
      </c>
      <c r="I146" s="32">
        <f>ROUND(F146*Прил.10!$D$13,2)</f>
        <v/>
      </c>
      <c r="J146" s="32">
        <f>ROUND(I146*E146,2)</f>
        <v/>
      </c>
    </row>
    <row r="147" hidden="1" outlineLevel="1" ht="14.25" customFormat="1" customHeight="1" s="12">
      <c r="A147" s="239" t="n">
        <v>71</v>
      </c>
      <c r="B147" s="239" t="inlineStr">
        <is>
          <t>14.4.01.01-0003</t>
        </is>
      </c>
      <c r="C147" s="238" t="inlineStr">
        <is>
          <t>Грунтовка ГФ-021</t>
        </is>
      </c>
      <c r="D147" s="239" t="inlineStr">
        <is>
          <t>т</t>
        </is>
      </c>
      <c r="E147" s="137" t="n">
        <v>0.0228477</v>
      </c>
      <c r="F147" s="241" t="n">
        <v>15620</v>
      </c>
      <c r="G147" s="32">
        <f>ROUND(E147*F147,2)</f>
        <v/>
      </c>
      <c r="H147" s="133">
        <f>G147/$G$189</f>
        <v/>
      </c>
      <c r="I147" s="32">
        <f>ROUND(F147*Прил.10!$D$13,2)</f>
        <v/>
      </c>
      <c r="J147" s="32">
        <f>ROUND(I147*E147,2)</f>
        <v/>
      </c>
    </row>
    <row r="148" hidden="1" outlineLevel="1" ht="14.25" customFormat="1" customHeight="1" s="12">
      <c r="A148" s="239" t="n">
        <v>72</v>
      </c>
      <c r="B148" s="239" t="inlineStr">
        <is>
          <t>21.2.03.09-0105</t>
        </is>
      </c>
      <c r="C148" s="238" t="inlineStr">
        <is>
          <t>Провод силовой ПРТО 1х1,5-660</t>
        </is>
      </c>
      <c r="D148" s="239" t="inlineStr">
        <is>
          <t>1000 м</t>
        </is>
      </c>
      <c r="E148" s="137" t="n">
        <v>0.19</v>
      </c>
      <c r="F148" s="241" t="n">
        <v>1819.3</v>
      </c>
      <c r="G148" s="32">
        <f>ROUND(E148*F148,2)</f>
        <v/>
      </c>
      <c r="H148" s="133">
        <f>G148/$G$189</f>
        <v/>
      </c>
      <c r="I148" s="32">
        <f>ROUND(F148*Прил.10!$D$13,2)</f>
        <v/>
      </c>
      <c r="J148" s="32">
        <f>ROUND(I148*E148,2)</f>
        <v/>
      </c>
    </row>
    <row r="149" hidden="1" outlineLevel="1" ht="14.25" customFormat="1" customHeight="1" s="12">
      <c r="A149" s="239" t="n">
        <v>73</v>
      </c>
      <c r="B149" s="239" t="inlineStr">
        <is>
          <t>01.3.02.08-0001</t>
        </is>
      </c>
      <c r="C149" s="238" t="inlineStr">
        <is>
          <t>Кислород газообразный технический</t>
        </is>
      </c>
      <c r="D149" s="239" t="inlineStr">
        <is>
          <t>м3</t>
        </is>
      </c>
      <c r="E149" s="137" t="n">
        <v>37.6231077</v>
      </c>
      <c r="F149" s="241" t="n">
        <v>6.22</v>
      </c>
      <c r="G149" s="32">
        <f>ROUND(E149*F149,2)</f>
        <v/>
      </c>
      <c r="H149" s="133">
        <f>G149/$G$189</f>
        <v/>
      </c>
      <c r="I149" s="32">
        <f>ROUND(F149*Прил.10!$D$13,2)</f>
        <v/>
      </c>
      <c r="J149" s="32">
        <f>ROUND(I149*E149,2)</f>
        <v/>
      </c>
    </row>
    <row r="150" hidden="1" outlineLevel="1" ht="25.5" customFormat="1" customHeight="1" s="12">
      <c r="A150" s="239" t="n">
        <v>74</v>
      </c>
      <c r="B150" s="239" t="inlineStr">
        <is>
          <t>08.3.11.01-0032</t>
        </is>
      </c>
      <c r="C150" s="238" t="inlineStr">
        <is>
          <t>Сталь швеллерная, перфорированная ШП, марка Ст3, размер 60х35 мм</t>
        </is>
      </c>
      <c r="D150" s="239" t="inlineStr">
        <is>
          <t>м</t>
        </is>
      </c>
      <c r="E150" s="137" t="n">
        <v>9.048</v>
      </c>
      <c r="F150" s="241" t="n">
        <v>23.79</v>
      </c>
      <c r="G150" s="32">
        <f>ROUND(E150*F150,2)</f>
        <v/>
      </c>
      <c r="H150" s="133">
        <f>G150/$G$189</f>
        <v/>
      </c>
      <c r="I150" s="32">
        <f>ROUND(F150*Прил.10!$D$13,2)</f>
        <v/>
      </c>
      <c r="J150" s="32">
        <f>ROUND(I150*E150,2)</f>
        <v/>
      </c>
    </row>
    <row r="151" hidden="1" outlineLevel="1" ht="63.75" customFormat="1" customHeight="1" s="12">
      <c r="A151" s="239" t="n">
        <v>75</v>
      </c>
      <c r="B151" s="239" t="inlineStr">
        <is>
          <t>23.8.04.06-0063</t>
        </is>
      </c>
      <c r="C151" s="238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3 мм</t>
        </is>
      </c>
      <c r="D151" s="239" t="inlineStr">
        <is>
          <t>шт</t>
        </is>
      </c>
      <c r="E151" s="137" t="n">
        <v>8</v>
      </c>
      <c r="F151" s="241" t="n">
        <v>25.06</v>
      </c>
      <c r="G151" s="32">
        <f>ROUND(E151*F151,2)</f>
        <v/>
      </c>
      <c r="H151" s="133">
        <f>G151/$G$189</f>
        <v/>
      </c>
      <c r="I151" s="32">
        <f>ROUND(F151*Прил.10!$D$13,2)</f>
        <v/>
      </c>
      <c r="J151" s="32">
        <f>ROUND(I151*E151,2)</f>
        <v/>
      </c>
    </row>
    <row r="152" hidden="1" outlineLevel="1" ht="25.5" customFormat="1" customHeight="1" s="12">
      <c r="A152" s="239" t="n">
        <v>76</v>
      </c>
      <c r="B152" s="239" t="inlineStr">
        <is>
          <t>10.3.02.03-0011</t>
        </is>
      </c>
      <c r="C152" s="238" t="inlineStr">
        <is>
          <t>Припои оловянно-свинцовые бессурьмянистые, марка ПОС30</t>
        </is>
      </c>
      <c r="D152" s="239" t="inlineStr">
        <is>
          <t>т</t>
        </is>
      </c>
      <c r="E152" s="137" t="n">
        <v>0.002825</v>
      </c>
      <c r="F152" s="241" t="n">
        <v>68050</v>
      </c>
      <c r="G152" s="32">
        <f>ROUND(E152*F152,2)</f>
        <v/>
      </c>
      <c r="H152" s="133">
        <f>G152/$G$189</f>
        <v/>
      </c>
      <c r="I152" s="32">
        <f>ROUND(F152*Прил.10!$D$13,2)</f>
        <v/>
      </c>
      <c r="J152" s="32">
        <f>ROUND(I152*E152,2)</f>
        <v/>
      </c>
    </row>
    <row r="153" hidden="1" outlineLevel="1" ht="63.75" customFormat="1" customHeight="1" s="12">
      <c r="A153" s="239" t="n">
        <v>77</v>
      </c>
      <c r="B153" s="239" t="inlineStr">
        <is>
          <t>23.3.03.02-0111</t>
        </is>
      </c>
      <c r="C153" s="238" t="inlineStr">
        <is>
          <t>Трубы стальные бесшовные горячедеформированные со снятой фаской из стали марок 15, 20, 35, наружный диаметр 133 мм, толщина стенки 4 мм</t>
        </is>
      </c>
      <c r="D153" s="239" t="inlineStr">
        <is>
          <t>м</t>
        </is>
      </c>
      <c r="E153" s="137" t="n">
        <v>1.98</v>
      </c>
      <c r="F153" s="241" t="n">
        <v>93.26000000000001</v>
      </c>
      <c r="G153" s="32">
        <f>ROUND(E153*F153,2)</f>
        <v/>
      </c>
      <c r="H153" s="133">
        <f>G153/$G$189</f>
        <v/>
      </c>
      <c r="I153" s="32">
        <f>ROUND(F153*Прил.10!$D$13,2)</f>
        <v/>
      </c>
      <c r="J153" s="32">
        <f>ROUND(I153*E153,2)</f>
        <v/>
      </c>
    </row>
    <row r="154" hidden="1" outlineLevel="1" ht="63.75" customFormat="1" customHeight="1" s="12">
      <c r="A154" s="239" t="n">
        <v>78</v>
      </c>
      <c r="B154" s="239" t="inlineStr">
        <is>
          <t>23.8.04.06-0080</t>
        </is>
      </c>
      <c r="C154" s="238" t="inlineStr">
        <is>
          <t>Отвод крутоизогнутый, радиус кривизны 1,5 мм, номинальное давление до 16 МПа, номинальный диаметр 125 мм, наружный диаметр 133 мм, толщина стенки 6 мм</t>
        </is>
      </c>
      <c r="D154" s="239" t="inlineStr">
        <is>
          <t>шт</t>
        </is>
      </c>
      <c r="E154" s="137" t="n">
        <v>1</v>
      </c>
      <c r="F154" s="241" t="n">
        <v>116.94</v>
      </c>
      <c r="G154" s="32">
        <f>ROUND(E154*F154,2)</f>
        <v/>
      </c>
      <c r="H154" s="133">
        <f>G154/$G$189</f>
        <v/>
      </c>
      <c r="I154" s="32">
        <f>ROUND(F154*Прил.10!$D$13,2)</f>
        <v/>
      </c>
      <c r="J154" s="32">
        <f>ROUND(I154*E154,2)</f>
        <v/>
      </c>
    </row>
    <row r="155" hidden="1" outlineLevel="1" ht="14.25" customFormat="1" customHeight="1" s="12">
      <c r="A155" s="239" t="n">
        <v>79</v>
      </c>
      <c r="B155" s="239" t="inlineStr">
        <is>
          <t>14.5.09.07-0030</t>
        </is>
      </c>
      <c r="C155" s="238" t="inlineStr">
        <is>
          <t>Растворитель Р-4</t>
        </is>
      </c>
      <c r="D155" s="239" t="inlineStr">
        <is>
          <t>кг</t>
        </is>
      </c>
      <c r="E155" s="137" t="n">
        <v>10.128</v>
      </c>
      <c r="F155" s="241" t="n">
        <v>9.42</v>
      </c>
      <c r="G155" s="32">
        <f>ROUND(E155*F155,2)</f>
        <v/>
      </c>
      <c r="H155" s="133">
        <f>G155/$G$189</f>
        <v/>
      </c>
      <c r="I155" s="32">
        <f>ROUND(F155*Прил.10!$D$13,2)</f>
        <v/>
      </c>
      <c r="J155" s="32">
        <f>ROUND(I155*E155,2)</f>
        <v/>
      </c>
    </row>
    <row r="156" hidden="1" outlineLevel="1" ht="14.25" customFormat="1" customHeight="1" s="12">
      <c r="A156" s="239" t="n">
        <v>80</v>
      </c>
      <c r="B156" s="239" t="inlineStr">
        <is>
          <t>01.7.03.01-0002</t>
        </is>
      </c>
      <c r="C156" s="238" t="inlineStr">
        <is>
          <t>Вода водопроводная</t>
        </is>
      </c>
      <c r="D156" s="239" t="inlineStr">
        <is>
          <t>м3</t>
        </is>
      </c>
      <c r="E156" s="137" t="n">
        <v>21.8187105</v>
      </c>
      <c r="F156" s="241" t="n">
        <v>3.15</v>
      </c>
      <c r="G156" s="32">
        <f>ROUND(E156*F156,2)</f>
        <v/>
      </c>
      <c r="H156" s="133">
        <f>G156/$G$189</f>
        <v/>
      </c>
      <c r="I156" s="32">
        <f>ROUND(F156*Прил.10!$D$13,2)</f>
        <v/>
      </c>
      <c r="J156" s="32">
        <f>ROUND(I156*E156,2)</f>
        <v/>
      </c>
    </row>
    <row r="157" hidden="1" outlineLevel="1" ht="14.25" customFormat="1" customHeight="1" s="12">
      <c r="A157" s="239" t="n">
        <v>81</v>
      </c>
      <c r="B157" s="239" t="inlineStr">
        <is>
          <t>22.2.02.23-0011</t>
        </is>
      </c>
      <c r="C157" s="238" t="inlineStr">
        <is>
          <t>Глухари</t>
        </is>
      </c>
      <c r="D157" s="239" t="inlineStr">
        <is>
          <t>100 шт</t>
        </is>
      </c>
      <c r="E157" s="137" t="n">
        <v>0.418</v>
      </c>
      <c r="F157" s="241" t="n">
        <v>164</v>
      </c>
      <c r="G157" s="32">
        <f>ROUND(E157*F157,2)</f>
        <v/>
      </c>
      <c r="H157" s="133">
        <f>G157/$G$189</f>
        <v/>
      </c>
      <c r="I157" s="32">
        <f>ROUND(F157*Прил.10!$D$13,2)</f>
        <v/>
      </c>
      <c r="J157" s="32">
        <f>ROUND(I157*E157,2)</f>
        <v/>
      </c>
    </row>
    <row r="158" hidden="1" outlineLevel="1" ht="63.75" customFormat="1" customHeight="1" s="12">
      <c r="A158" s="239" t="n">
        <v>82</v>
      </c>
      <c r="B158" s="239" t="inlineStr">
        <is>
          <t>23.8.04.06-0066</t>
        </is>
      </c>
      <c r="C158" s="238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3,5 мм</t>
        </is>
      </c>
      <c r="D158" s="239" t="inlineStr">
        <is>
          <t>шт</t>
        </is>
      </c>
      <c r="E158" s="137" t="n">
        <v>2</v>
      </c>
      <c r="F158" s="241" t="n">
        <v>33.76</v>
      </c>
      <c r="G158" s="32">
        <f>ROUND(E158*F158,2)</f>
        <v/>
      </c>
      <c r="H158" s="133">
        <f>G158/$G$189</f>
        <v/>
      </c>
      <c r="I158" s="32">
        <f>ROUND(F158*Прил.10!$D$13,2)</f>
        <v/>
      </c>
      <c r="J158" s="32">
        <f>ROUND(I158*E158,2)</f>
        <v/>
      </c>
    </row>
    <row r="159" hidden="1" outlineLevel="1" ht="14.25" customFormat="1" customHeight="1" s="12">
      <c r="A159" s="239" t="n">
        <v>83</v>
      </c>
      <c r="B159" s="239" t="inlineStr">
        <is>
          <t>14.4.04.08-0003</t>
        </is>
      </c>
      <c r="C159" s="238" t="inlineStr">
        <is>
          <t>Эмаль ПФ-115, серая</t>
        </is>
      </c>
      <c r="D159" s="239" t="inlineStr">
        <is>
          <t>т</t>
        </is>
      </c>
      <c r="E159" s="137" t="n">
        <v>0.0045215</v>
      </c>
      <c r="F159" s="241" t="n">
        <v>14312.87</v>
      </c>
      <c r="G159" s="32">
        <f>ROUND(E159*F159,2)</f>
        <v/>
      </c>
      <c r="H159" s="133">
        <f>G159/$G$189</f>
        <v/>
      </c>
      <c r="I159" s="32">
        <f>ROUND(F159*Прил.10!$D$13,2)</f>
        <v/>
      </c>
      <c r="J159" s="32">
        <f>ROUND(I159*E159,2)</f>
        <v/>
      </c>
    </row>
    <row r="160" hidden="1" outlineLevel="1" ht="25.5" customFormat="1" customHeight="1" s="12">
      <c r="A160" s="239" t="n">
        <v>84</v>
      </c>
      <c r="B160" s="239" t="inlineStr">
        <is>
          <t>01.7.15.03-0033</t>
        </is>
      </c>
      <c r="C160" s="238" t="inlineStr">
        <is>
          <t>Болты с гайками и шайбами оцинкованные, диаметр 10 мм</t>
        </is>
      </c>
      <c r="D160" s="239" t="inlineStr">
        <is>
          <t>кг</t>
        </is>
      </c>
      <c r="E160" s="137" t="n">
        <v>2.418</v>
      </c>
      <c r="F160" s="241" t="n">
        <v>26.32</v>
      </c>
      <c r="G160" s="32">
        <f>ROUND(E160*F160,2)</f>
        <v/>
      </c>
      <c r="H160" s="133">
        <f>G160/$G$189</f>
        <v/>
      </c>
      <c r="I160" s="32">
        <f>ROUND(F160*Прил.10!$D$13,2)</f>
        <v/>
      </c>
      <c r="J160" s="32">
        <f>ROUND(I160*E160,2)</f>
        <v/>
      </c>
    </row>
    <row r="161" hidden="1" outlineLevel="1" ht="38.25" customFormat="1" customHeight="1" s="12">
      <c r="A161" s="239" t="n">
        <v>85</v>
      </c>
      <c r="B161" s="239" t="inlineStr">
        <is>
          <t>01.7.06.05-0042</t>
        </is>
      </c>
      <c r="C161" s="238" t="inlineStr">
        <is>
          <t>Лента липкая изоляционная на поликасиновом компаунде, ширина 20-30 мм, толщина от 0,14 до 0,19 мм</t>
        </is>
      </c>
      <c r="D161" s="239" t="inlineStr">
        <is>
          <t>кг</t>
        </is>
      </c>
      <c r="E161" s="137" t="n">
        <v>0.57</v>
      </c>
      <c r="F161" s="241" t="n">
        <v>91.29000000000001</v>
      </c>
      <c r="G161" s="32">
        <f>ROUND(E161*F161,2)</f>
        <v/>
      </c>
      <c r="H161" s="133">
        <f>G161/$G$189</f>
        <v/>
      </c>
      <c r="I161" s="32">
        <f>ROUND(F161*Прил.10!$D$13,2)</f>
        <v/>
      </c>
      <c r="J161" s="32">
        <f>ROUND(I161*E161,2)</f>
        <v/>
      </c>
    </row>
    <row r="162" hidden="1" outlineLevel="1" ht="25.5" customFormat="1" customHeight="1" s="12">
      <c r="A162" s="239" t="n">
        <v>86</v>
      </c>
      <c r="B162" s="239" t="inlineStr">
        <is>
          <t>01.7.15.07-0062</t>
        </is>
      </c>
      <c r="C162" s="238" t="inlineStr">
        <is>
          <t>Дюбели с калиброванной головкой (россыпью), размер 3х58,5 мм</t>
        </is>
      </c>
      <c r="D162" s="239" t="inlineStr">
        <is>
          <t>т</t>
        </is>
      </c>
      <c r="E162" s="137" t="n">
        <v>0.0020348</v>
      </c>
      <c r="F162" s="241" t="n">
        <v>25425</v>
      </c>
      <c r="G162" s="32">
        <f>ROUND(E162*F162,2)</f>
        <v/>
      </c>
      <c r="H162" s="133">
        <f>G162/$G$189</f>
        <v/>
      </c>
      <c r="I162" s="32">
        <f>ROUND(F162*Прил.10!$D$13,2)</f>
        <v/>
      </c>
      <c r="J162" s="32">
        <f>ROUND(I162*E162,2)</f>
        <v/>
      </c>
    </row>
    <row r="163" hidden="1" outlineLevel="1" ht="25.5" customFormat="1" customHeight="1" s="12">
      <c r="A163" s="239" t="n">
        <v>87</v>
      </c>
      <c r="B163" s="239" t="inlineStr">
        <is>
          <t>01.7.07.10-0001</t>
        </is>
      </c>
      <c r="C163" s="238" t="inlineStr">
        <is>
          <t>Патроны для строительно-монтажного пистолета</t>
        </is>
      </c>
      <c r="D163" s="239" t="inlineStr">
        <is>
          <t>1000 шт</t>
        </is>
      </c>
      <c r="E163" s="137" t="n">
        <v>0.1910038</v>
      </c>
      <c r="F163" s="241" t="n">
        <v>253.8</v>
      </c>
      <c r="G163" s="32">
        <f>ROUND(E163*F163,2)</f>
        <v/>
      </c>
      <c r="H163" s="133">
        <f>G163/$G$189</f>
        <v/>
      </c>
      <c r="I163" s="32">
        <f>ROUND(F163*Прил.10!$D$13,2)</f>
        <v/>
      </c>
      <c r="J163" s="32">
        <f>ROUND(I163*E163,2)</f>
        <v/>
      </c>
    </row>
    <row r="164" hidden="1" outlineLevel="1" ht="14.25" customFormat="1" customHeight="1" s="12">
      <c r="A164" s="239" t="n">
        <v>88</v>
      </c>
      <c r="B164" s="239" t="inlineStr">
        <is>
          <t>01.3.02.03-0001</t>
        </is>
      </c>
      <c r="C164" s="238" t="inlineStr">
        <is>
          <t>Ацетилен газообразный технический</t>
        </is>
      </c>
      <c r="D164" s="239" t="inlineStr">
        <is>
          <t>м3</t>
        </is>
      </c>
      <c r="E164" s="137" t="n">
        <v>1.0275397</v>
      </c>
      <c r="F164" s="241" t="n">
        <v>38.51</v>
      </c>
      <c r="G164" s="32">
        <f>ROUND(E164*F164,2)</f>
        <v/>
      </c>
      <c r="H164" s="133">
        <f>G164/$G$189</f>
        <v/>
      </c>
      <c r="I164" s="32">
        <f>ROUND(F164*Прил.10!$D$13,2)</f>
        <v/>
      </c>
      <c r="J164" s="32">
        <f>ROUND(I164*E164,2)</f>
        <v/>
      </c>
    </row>
    <row r="165" hidden="1" outlineLevel="1" ht="63.75" customFormat="1" customHeight="1" s="12">
      <c r="A165" s="239" t="n">
        <v>89</v>
      </c>
      <c r="B165" s="239" t="inlineStr">
        <is>
          <t>23.8.04.06-0067</t>
        </is>
      </c>
      <c r="C165" s="238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5 мм</t>
        </is>
      </c>
      <c r="D165" s="239" t="inlineStr">
        <is>
          <t>шт</t>
        </is>
      </c>
      <c r="E165" s="137" t="n">
        <v>1</v>
      </c>
      <c r="F165" s="241" t="n">
        <v>36.69</v>
      </c>
      <c r="G165" s="32">
        <f>ROUND(E165*F165,2)</f>
        <v/>
      </c>
      <c r="H165" s="133">
        <f>G165/$G$189</f>
        <v/>
      </c>
      <c r="I165" s="32">
        <f>ROUND(F165*Прил.10!$D$13,2)</f>
        <v/>
      </c>
      <c r="J165" s="32">
        <f>ROUND(I165*E165,2)</f>
        <v/>
      </c>
    </row>
    <row r="166" hidden="1" outlineLevel="1" ht="14.25" customFormat="1" customHeight="1" s="12">
      <c r="A166" s="239" t="n">
        <v>90</v>
      </c>
      <c r="B166" s="239" t="inlineStr">
        <is>
          <t>01.3.02.09-0022</t>
        </is>
      </c>
      <c r="C166" s="238" t="inlineStr">
        <is>
          <t>Пропан-бутан смесь техническая</t>
        </is>
      </c>
      <c r="D166" s="239" t="inlineStr">
        <is>
          <t>кг</t>
        </is>
      </c>
      <c r="E166" s="137" t="n">
        <v>6</v>
      </c>
      <c r="F166" s="241" t="n">
        <v>6.09</v>
      </c>
      <c r="G166" s="32">
        <f>ROUND(E166*F166,2)</f>
        <v/>
      </c>
      <c r="H166" s="133">
        <f>G166/$G$189</f>
        <v/>
      </c>
      <c r="I166" s="32">
        <f>ROUND(F166*Прил.10!$D$13,2)</f>
        <v/>
      </c>
      <c r="J166" s="32">
        <f>ROUND(I166*E166,2)</f>
        <v/>
      </c>
    </row>
    <row r="167" hidden="1" outlineLevel="1" ht="14.25" customFormat="1" customHeight="1" s="12">
      <c r="A167" s="239" t="n">
        <v>91</v>
      </c>
      <c r="B167" s="239" t="inlineStr">
        <is>
          <t>01.7.07.29-0101</t>
        </is>
      </c>
      <c r="C167" s="238" t="inlineStr">
        <is>
          <t>Очес льняной</t>
        </is>
      </c>
      <c r="D167" s="239" t="inlineStr">
        <is>
          <t>кг</t>
        </is>
      </c>
      <c r="E167" s="137" t="n">
        <v>0.9362</v>
      </c>
      <c r="F167" s="241" t="n">
        <v>37.29</v>
      </c>
      <c r="G167" s="32">
        <f>ROUND(E167*F167,2)</f>
        <v/>
      </c>
      <c r="H167" s="133">
        <f>G167/$G$189</f>
        <v/>
      </c>
      <c r="I167" s="32">
        <f>ROUND(F167*Прил.10!$D$13,2)</f>
        <v/>
      </c>
      <c r="J167" s="32">
        <f>ROUND(I167*E167,2)</f>
        <v/>
      </c>
    </row>
    <row r="168" hidden="1" outlineLevel="1" ht="25.5" customFormat="1" customHeight="1" s="12">
      <c r="A168" s="239" t="n">
        <v>92</v>
      </c>
      <c r="B168" s="239" t="inlineStr">
        <is>
          <t>14.4.02.04-0142</t>
        </is>
      </c>
      <c r="C168" s="238" t="inlineStr">
        <is>
          <t>Краска масляная земляная МА-0115, мумия, сурик железный</t>
        </is>
      </c>
      <c r="D168" s="239" t="inlineStr">
        <is>
          <t>кг</t>
        </is>
      </c>
      <c r="E168" s="137" t="n">
        <v>1.8724</v>
      </c>
      <c r="F168" s="241" t="n">
        <v>15.12</v>
      </c>
      <c r="G168" s="32">
        <f>ROUND(E168*F168,2)</f>
        <v/>
      </c>
      <c r="H168" s="133">
        <f>G168/$G$189</f>
        <v/>
      </c>
      <c r="I168" s="32">
        <f>ROUND(F168*Прил.10!$D$13,2)</f>
        <v/>
      </c>
      <c r="J168" s="32">
        <f>ROUND(I168*E168,2)</f>
        <v/>
      </c>
    </row>
    <row r="169" hidden="1" outlineLevel="1" ht="25.5" customFormat="1" customHeight="1" s="12">
      <c r="A169" s="239" t="n">
        <v>93</v>
      </c>
      <c r="B169" s="239" t="inlineStr">
        <is>
          <t>18.5.08.18-0061</t>
        </is>
      </c>
      <c r="C169" s="238" t="inlineStr">
        <is>
          <t>Колпачки изоляции места соединения однопроволочных жил</t>
        </is>
      </c>
      <c r="D169" s="239" t="inlineStr">
        <is>
          <t>1000 шт</t>
        </is>
      </c>
      <c r="E169" s="137" t="n">
        <v>0.1910038</v>
      </c>
      <c r="F169" s="241" t="n">
        <v>135.82</v>
      </c>
      <c r="G169" s="32">
        <f>ROUND(E169*F169,2)</f>
        <v/>
      </c>
      <c r="H169" s="133">
        <f>G169/$G$189</f>
        <v/>
      </c>
      <c r="I169" s="32">
        <f>ROUND(F169*Прил.10!$D$13,2)</f>
        <v/>
      </c>
      <c r="J169" s="32">
        <f>ROUND(I169*E169,2)</f>
        <v/>
      </c>
    </row>
    <row r="170" hidden="1" outlineLevel="1" ht="63.75" customFormat="1" customHeight="1" s="12">
      <c r="A170" s="239" t="n">
        <v>94</v>
      </c>
      <c r="B170" s="239" t="inlineStr">
        <is>
          <t>23.8.04.06-0062</t>
        </is>
      </c>
      <c r="C170" s="238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4 мм</t>
        </is>
      </c>
      <c r="D170" s="239" t="inlineStr">
        <is>
          <t>шт</t>
        </is>
      </c>
      <c r="E170" s="137" t="n">
        <v>1</v>
      </c>
      <c r="F170" s="241" t="n">
        <v>22.44</v>
      </c>
      <c r="G170" s="32">
        <f>ROUND(E170*F170,2)</f>
        <v/>
      </c>
      <c r="H170" s="133">
        <f>G170/$G$189</f>
        <v/>
      </c>
      <c r="I170" s="32">
        <f>ROUND(F170*Прил.10!$D$13,2)</f>
        <v/>
      </c>
      <c r="J170" s="32">
        <f>ROUND(I170*E170,2)</f>
        <v/>
      </c>
    </row>
    <row r="171" hidden="1" outlineLevel="1" ht="25.5" customFormat="1" customHeight="1" s="12">
      <c r="A171" s="239" t="n">
        <v>95</v>
      </c>
      <c r="B171" s="239" t="inlineStr">
        <is>
          <t>01.7.15.03-0031</t>
        </is>
      </c>
      <c r="C171" s="238" t="inlineStr">
        <is>
          <t>Болты с гайками и шайбами оцинкованные, диаметр 6 мм</t>
        </is>
      </c>
      <c r="D171" s="239" t="inlineStr">
        <is>
          <t>кг</t>
        </is>
      </c>
      <c r="E171" s="137" t="n">
        <v>0.708</v>
      </c>
      <c r="F171" s="241" t="n">
        <v>28.22</v>
      </c>
      <c r="G171" s="32">
        <f>ROUND(E171*F171,2)</f>
        <v/>
      </c>
      <c r="H171" s="133">
        <f>G171/$G$189</f>
        <v/>
      </c>
      <c r="I171" s="32">
        <f>ROUND(F171*Прил.10!$D$13,2)</f>
        <v/>
      </c>
      <c r="J171" s="32">
        <f>ROUND(I171*E171,2)</f>
        <v/>
      </c>
    </row>
    <row r="172" hidden="1" outlineLevel="1" ht="25.5" customFormat="1" customHeight="1" s="12">
      <c r="A172" s="239" t="n">
        <v>96</v>
      </c>
      <c r="B172" s="239" t="inlineStr">
        <is>
          <t>14.5.05.01-0011</t>
        </is>
      </c>
      <c r="C172" s="238" t="inlineStr">
        <is>
          <t>Олифа комбинированная для отделочных работ внутри помещений</t>
        </is>
      </c>
      <c r="D172" s="239" t="inlineStr">
        <is>
          <t>т</t>
        </is>
      </c>
      <c r="E172" s="137" t="n">
        <v>0.00092</v>
      </c>
      <c r="F172" s="241" t="n">
        <v>20775</v>
      </c>
      <c r="G172" s="32">
        <f>ROUND(E172*F172,2)</f>
        <v/>
      </c>
      <c r="H172" s="133">
        <f>G172/$G$189</f>
        <v/>
      </c>
      <c r="I172" s="32">
        <f>ROUND(F172*Прил.10!$D$13,2)</f>
        <v/>
      </c>
      <c r="J172" s="32">
        <f>ROUND(I172*E172,2)</f>
        <v/>
      </c>
    </row>
    <row r="173" hidden="1" outlineLevel="1" ht="25.5" customFormat="1" customHeight="1" s="12">
      <c r="A173" s="239" t="n">
        <v>97</v>
      </c>
      <c r="B173" s="239" t="inlineStr">
        <is>
          <t>01.7.15.03-0034</t>
        </is>
      </c>
      <c r="C173" s="238" t="inlineStr">
        <is>
          <t>Болты с гайками и шайбами оцинкованные, диаметр 12 мм</t>
        </is>
      </c>
      <c r="D173" s="239" t="inlineStr">
        <is>
          <t>кг</t>
        </is>
      </c>
      <c r="E173" s="137" t="n">
        <v>0.603</v>
      </c>
      <c r="F173" s="241" t="n">
        <v>25.76</v>
      </c>
      <c r="G173" s="32">
        <f>ROUND(E173*F173,2)</f>
        <v/>
      </c>
      <c r="H173" s="133">
        <f>G173/$G$189</f>
        <v/>
      </c>
      <c r="I173" s="32">
        <f>ROUND(F173*Прил.10!$D$13,2)</f>
        <v/>
      </c>
      <c r="J173" s="32">
        <f>ROUND(I173*E173,2)</f>
        <v/>
      </c>
    </row>
    <row r="174" hidden="1" outlineLevel="1" ht="14.25" customFormat="1" customHeight="1" s="12">
      <c r="A174" s="239" t="n">
        <v>98</v>
      </c>
      <c r="B174" s="239" t="inlineStr">
        <is>
          <t>01.7.15.03-0042</t>
        </is>
      </c>
      <c r="C174" s="238" t="inlineStr">
        <is>
          <t>Болты с гайками и шайбами строительные</t>
        </is>
      </c>
      <c r="D174" s="239" t="inlineStr">
        <is>
          <t>кг</t>
        </is>
      </c>
      <c r="E174" s="137" t="n">
        <v>1.44</v>
      </c>
      <c r="F174" s="241" t="n">
        <v>9.039999999999999</v>
      </c>
      <c r="G174" s="32">
        <f>ROUND(E174*F174,2)</f>
        <v/>
      </c>
      <c r="H174" s="133">
        <f>G174/$G$189</f>
        <v/>
      </c>
      <c r="I174" s="32">
        <f>ROUND(F174*Прил.10!$D$13,2)</f>
        <v/>
      </c>
      <c r="J174" s="32">
        <f>ROUND(I174*E174,2)</f>
        <v/>
      </c>
    </row>
    <row r="175" hidden="1" outlineLevel="1" ht="14.25" customFormat="1" customHeight="1" s="12">
      <c r="A175" s="239" t="n">
        <v>99</v>
      </c>
      <c r="B175" s="239" t="inlineStr">
        <is>
          <t>14.5.09.11-0102</t>
        </is>
      </c>
      <c r="C175" s="238" t="inlineStr">
        <is>
          <t>Уайт-спирит</t>
        </is>
      </c>
      <c r="D175" s="239" t="inlineStr">
        <is>
          <t>кг</t>
        </is>
      </c>
      <c r="E175" s="137" t="n">
        <v>1.711346</v>
      </c>
      <c r="F175" s="241" t="n">
        <v>6.67</v>
      </c>
      <c r="G175" s="32">
        <f>ROUND(E175*F175,2)</f>
        <v/>
      </c>
      <c r="H175" s="133">
        <f>G175/$G$189</f>
        <v/>
      </c>
      <c r="I175" s="32">
        <f>ROUND(F175*Прил.10!$D$13,2)</f>
        <v/>
      </c>
      <c r="J175" s="32">
        <f>ROUND(I175*E175,2)</f>
        <v/>
      </c>
    </row>
    <row r="176" hidden="1" outlineLevel="1" ht="14.25" customFormat="1" customHeight="1" s="12">
      <c r="A176" s="239" t="n">
        <v>100</v>
      </c>
      <c r="B176" s="239" t="inlineStr">
        <is>
          <t>01.3.05.17-0002</t>
        </is>
      </c>
      <c r="C176" s="238" t="inlineStr">
        <is>
          <t>Канифоль сосновая</t>
        </is>
      </c>
      <c r="D176" s="239" t="inlineStr">
        <is>
          <t>кг</t>
        </is>
      </c>
      <c r="E176" s="137" t="n">
        <v>0.3959</v>
      </c>
      <c r="F176" s="241" t="n">
        <v>27.74</v>
      </c>
      <c r="G176" s="32">
        <f>ROUND(E176*F176,2)</f>
        <v/>
      </c>
      <c r="H176" s="133">
        <f>G176/$G$189</f>
        <v/>
      </c>
      <c r="I176" s="32">
        <f>ROUND(F176*Прил.10!$D$13,2)</f>
        <v/>
      </c>
      <c r="J176" s="32">
        <f>ROUND(I176*E176,2)</f>
        <v/>
      </c>
    </row>
    <row r="177" hidden="1" outlineLevel="1" ht="25.5" customFormat="1" customHeight="1" s="12">
      <c r="A177" s="239" t="n">
        <v>101</v>
      </c>
      <c r="B177" s="239" t="inlineStr">
        <is>
          <t>01.7.11.04-0052</t>
        </is>
      </c>
      <c r="C177" s="238" t="inlineStr">
        <is>
          <t>Проволока сварочная СВ-08Г2С, диаметр 2 мм</t>
        </is>
      </c>
      <c r="D177" s="239" t="inlineStr">
        <is>
          <t>кг</t>
        </is>
      </c>
      <c r="E177" s="137" t="n">
        <v>0.604567</v>
      </c>
      <c r="F177" s="241" t="n">
        <v>17.92</v>
      </c>
      <c r="G177" s="32">
        <f>ROUND(E177*F177,2)</f>
        <v/>
      </c>
      <c r="H177" s="133">
        <f>G177/$G$189</f>
        <v/>
      </c>
      <c r="I177" s="32">
        <f>ROUND(F177*Прил.10!$D$13,2)</f>
        <v/>
      </c>
      <c r="J177" s="32">
        <f>ROUND(I177*E177,2)</f>
        <v/>
      </c>
    </row>
    <row r="178" hidden="1" outlineLevel="1" ht="14.25" customFormat="1" customHeight="1" s="12">
      <c r="A178" s="239" t="n">
        <v>102</v>
      </c>
      <c r="B178" s="239" t="inlineStr">
        <is>
          <t>14.5.09.02-0002</t>
        </is>
      </c>
      <c r="C178" s="238" t="inlineStr">
        <is>
          <t>Ксилол нефтяной, марка А</t>
        </is>
      </c>
      <c r="D178" s="239" t="inlineStr">
        <is>
          <t>т</t>
        </is>
      </c>
      <c r="E178" s="137" t="n">
        <v>0.0008961</v>
      </c>
      <c r="F178" s="241" t="n">
        <v>7640</v>
      </c>
      <c r="G178" s="32">
        <f>ROUND(E178*F178,2)</f>
        <v/>
      </c>
      <c r="H178" s="133">
        <f>G178/$G$189</f>
        <v/>
      </c>
      <c r="I178" s="32">
        <f>ROUND(F178*Прил.10!$D$13,2)</f>
        <v/>
      </c>
      <c r="J178" s="32">
        <f>ROUND(I178*E178,2)</f>
        <v/>
      </c>
    </row>
    <row r="179" hidden="1" outlineLevel="1" ht="14.25" customFormat="1" customHeight="1" s="12">
      <c r="A179" s="239" t="n">
        <v>103</v>
      </c>
      <c r="B179" s="239" t="inlineStr">
        <is>
          <t>01.7.15.07-0007</t>
        </is>
      </c>
      <c r="C179" s="238" t="inlineStr">
        <is>
          <t>Дюбели пластмассовые, диаметр 14 мм</t>
        </is>
      </c>
      <c r="D179" s="239" t="inlineStr">
        <is>
          <t>100 шт</t>
        </is>
      </c>
      <c r="E179" s="137" t="n">
        <v>0.24</v>
      </c>
      <c r="F179" s="241" t="n">
        <v>26.6</v>
      </c>
      <c r="G179" s="32">
        <f>ROUND(E179*F179,2)</f>
        <v/>
      </c>
      <c r="H179" s="133">
        <f>G179/$G$189</f>
        <v/>
      </c>
      <c r="I179" s="32">
        <f>ROUND(F179*Прил.10!$D$13,2)</f>
        <v/>
      </c>
      <c r="J179" s="32">
        <f>ROUND(I179*E179,2)</f>
        <v/>
      </c>
    </row>
    <row r="180" hidden="1" outlineLevel="1" ht="14.25" customFormat="1" customHeight="1" s="12">
      <c r="A180" s="239" t="n">
        <v>104</v>
      </c>
      <c r="B180" s="239" t="inlineStr">
        <is>
          <t>03.1.01.01-0002</t>
        </is>
      </c>
      <c r="C180" s="238" t="inlineStr">
        <is>
          <t>Гипс строительный Г-3</t>
        </is>
      </c>
      <c r="D180" s="239" t="inlineStr">
        <is>
          <t>т</t>
        </is>
      </c>
      <c r="E180" s="137" t="n">
        <v>0.00553</v>
      </c>
      <c r="F180" s="241" t="n">
        <v>729.98</v>
      </c>
      <c r="G180" s="32">
        <f>ROUND(E180*F180,2)</f>
        <v/>
      </c>
      <c r="H180" s="133">
        <f>G180/$G$189</f>
        <v/>
      </c>
      <c r="I180" s="32">
        <f>ROUND(F180*Прил.10!$D$13,2)</f>
        <v/>
      </c>
      <c r="J180" s="32">
        <f>ROUND(I180*E180,2)</f>
        <v/>
      </c>
    </row>
    <row r="181" hidden="1" outlineLevel="1" ht="14.25" customFormat="1" customHeight="1" s="12">
      <c r="A181" s="239" t="n">
        <v>105</v>
      </c>
      <c r="B181" s="239" t="inlineStr">
        <is>
          <t>01.7.06.07-0002</t>
        </is>
      </c>
      <c r="C181" s="238" t="inlineStr">
        <is>
          <t>Лента монтажная, тип ЛМ-5</t>
        </is>
      </c>
      <c r="D181" s="239" t="inlineStr">
        <is>
          <t>10 м</t>
        </is>
      </c>
      <c r="E181" s="137" t="n">
        <v>0.5424</v>
      </c>
      <c r="F181" s="241" t="n">
        <v>6.9</v>
      </c>
      <c r="G181" s="32">
        <f>ROUND(E181*F181,2)</f>
        <v/>
      </c>
      <c r="H181" s="133">
        <f>G181/$G$189</f>
        <v/>
      </c>
      <c r="I181" s="32">
        <f>ROUND(F181*Прил.10!$D$13,2)</f>
        <v/>
      </c>
      <c r="J181" s="32">
        <f>ROUND(I181*E181,2)</f>
        <v/>
      </c>
    </row>
    <row r="182" hidden="1" outlineLevel="1" ht="25.5" customFormat="1" customHeight="1" s="12">
      <c r="A182" s="239" t="n">
        <v>106</v>
      </c>
      <c r="B182" s="239" t="inlineStr">
        <is>
          <t>01.7.19.04-0031</t>
        </is>
      </c>
      <c r="C182" s="238" t="inlineStr">
        <is>
          <t>Прокладки резиновые (пластина техническая прессованная)</t>
        </is>
      </c>
      <c r="D182" s="239" t="inlineStr">
        <is>
          <t>кг</t>
        </is>
      </c>
      <c r="E182" s="137" t="n">
        <v>0.12</v>
      </c>
      <c r="F182" s="241" t="n">
        <v>23.09</v>
      </c>
      <c r="G182" s="32">
        <f>ROUND(E182*F182,2)</f>
        <v/>
      </c>
      <c r="H182" s="133">
        <f>G182/$G$189</f>
        <v/>
      </c>
      <c r="I182" s="32">
        <f>ROUND(F182*Прил.10!$D$13,2)</f>
        <v/>
      </c>
      <c r="J182" s="32">
        <f>ROUND(I182*E182,2)</f>
        <v/>
      </c>
    </row>
    <row r="183" hidden="1" outlineLevel="1" ht="14.25" customFormat="1" customHeight="1" s="12">
      <c r="A183" s="239" t="n">
        <v>107</v>
      </c>
      <c r="B183" s="239" t="inlineStr">
        <is>
          <t>14.4.03.03-0002</t>
        </is>
      </c>
      <c r="C183" s="238" t="inlineStr">
        <is>
          <t>Лак битумный БТ-123</t>
        </is>
      </c>
      <c r="D183" s="239" t="inlineStr">
        <is>
          <t>т</t>
        </is>
      </c>
      <c r="E183" s="137" t="n">
        <v>0.000339</v>
      </c>
      <c r="F183" s="241" t="n">
        <v>7826.9</v>
      </c>
      <c r="G183" s="32">
        <f>ROUND(E183*F183,2)</f>
        <v/>
      </c>
      <c r="H183" s="133">
        <f>G183/$G$189</f>
        <v/>
      </c>
      <c r="I183" s="32">
        <f>ROUND(F183*Прил.10!$D$13,2)</f>
        <v/>
      </c>
      <c r="J183" s="32">
        <f>ROUND(I183*E183,2)</f>
        <v/>
      </c>
    </row>
    <row r="184" hidden="1" outlineLevel="1" ht="14.25" customFormat="1" customHeight="1" s="12">
      <c r="A184" s="239" t="n">
        <v>108</v>
      </c>
      <c r="B184" s="239" t="inlineStr">
        <is>
          <t>14.5.05.02-0001</t>
        </is>
      </c>
      <c r="C184" s="238" t="inlineStr">
        <is>
          <t>Олифа натуральная</t>
        </is>
      </c>
      <c r="D184" s="239" t="inlineStr">
        <is>
          <t>кг</t>
        </is>
      </c>
      <c r="E184" s="137" t="n">
        <v>0.036</v>
      </c>
      <c r="F184" s="241" t="n">
        <v>32.6</v>
      </c>
      <c r="G184" s="32">
        <f>ROUND(E184*F184,2)</f>
        <v/>
      </c>
      <c r="H184" s="133">
        <f>G184/$G$189</f>
        <v/>
      </c>
      <c r="I184" s="32">
        <f>ROUND(F184*Прил.10!$D$13,2)</f>
        <v/>
      </c>
      <c r="J184" s="32">
        <f>ROUND(I184*E184,2)</f>
        <v/>
      </c>
    </row>
    <row r="185" hidden="1" outlineLevel="1" ht="14.25" customFormat="1" customHeight="1" s="12">
      <c r="A185" s="239" t="n">
        <v>109</v>
      </c>
      <c r="B185" s="239" t="inlineStr">
        <is>
          <t>14.1.04.02-0002</t>
        </is>
      </c>
      <c r="C185" s="238" t="inlineStr">
        <is>
          <t>Клей 88-СА</t>
        </is>
      </c>
      <c r="D185" s="239" t="inlineStr">
        <is>
          <t>кг</t>
        </is>
      </c>
      <c r="E185" s="137" t="n">
        <v>0.03</v>
      </c>
      <c r="F185" s="241" t="n">
        <v>28.93</v>
      </c>
      <c r="G185" s="32">
        <f>ROUND(E185*F185,2)</f>
        <v/>
      </c>
      <c r="H185" s="133">
        <f>G185/$G$189</f>
        <v/>
      </c>
      <c r="I185" s="32">
        <f>ROUND(F185*Прил.10!$D$13,2)</f>
        <v/>
      </c>
      <c r="J185" s="32">
        <f>ROUND(I185*E185,2)</f>
        <v/>
      </c>
    </row>
    <row r="186" hidden="1" outlineLevel="1" ht="14.25" customFormat="1" customHeight="1" s="12">
      <c r="A186" s="239" t="n">
        <v>110</v>
      </c>
      <c r="B186" s="239" t="inlineStr">
        <is>
          <t>01.1.02.08-0031</t>
        </is>
      </c>
      <c r="C186" s="238" t="inlineStr">
        <is>
          <t>Прокладки паронитовые</t>
        </is>
      </c>
      <c r="D186" s="239" t="inlineStr">
        <is>
          <t>кг</t>
        </is>
      </c>
      <c r="E186" s="137" t="n">
        <v>0.018</v>
      </c>
      <c r="F186" s="241" t="n">
        <v>26.44</v>
      </c>
      <c r="G186" s="32">
        <f>ROUND(E186*F186,2)</f>
        <v/>
      </c>
      <c r="H186" s="133">
        <f>G186/$G$189</f>
        <v/>
      </c>
      <c r="I186" s="32">
        <f>ROUND(F186*Прил.10!$D$13,2)</f>
        <v/>
      </c>
      <c r="J186" s="32">
        <f>ROUND(I186*E186,2)</f>
        <v/>
      </c>
    </row>
    <row r="187" hidden="1" outlineLevel="1" ht="14.25" customFormat="1" customHeight="1" s="12">
      <c r="A187" s="239" t="n">
        <v>111</v>
      </c>
      <c r="B187" s="239" t="inlineStr">
        <is>
          <t>01.7.07.08-0003</t>
        </is>
      </c>
      <c r="C187" s="238" t="inlineStr">
        <is>
          <t>Мыло хозяйственное твердое 72%</t>
        </is>
      </c>
      <c r="D187" s="239" t="inlineStr">
        <is>
          <t>шт</t>
        </is>
      </c>
      <c r="E187" s="137" t="n">
        <v>0.008999999999999999</v>
      </c>
      <c r="F187" s="241" t="n">
        <v>4.5</v>
      </c>
      <c r="G187" s="32">
        <f>ROUND(E187*F187,2)</f>
        <v/>
      </c>
      <c r="H187" s="133">
        <f>G187/$G$189</f>
        <v/>
      </c>
      <c r="I187" s="32">
        <f>ROUND(F187*Прил.10!$D$13,2)</f>
        <v/>
      </c>
      <c r="J187" s="32">
        <f>ROUND(I187*E187,2)</f>
        <v/>
      </c>
    </row>
    <row r="188" collapsed="1" ht="14.25" customFormat="1" customHeight="1" s="12">
      <c r="A188" s="239" t="n"/>
      <c r="B188" s="239" t="n"/>
      <c r="C188" s="238" t="inlineStr">
        <is>
          <t>Итого прочие материалы</t>
        </is>
      </c>
      <c r="D188" s="239" t="n"/>
      <c r="E188" s="240" t="n"/>
      <c r="F188" s="241" t="n"/>
      <c r="G188" s="32">
        <f>SUM(G139:G187)</f>
        <v/>
      </c>
      <c r="H188" s="133">
        <f>G188/$G$189</f>
        <v/>
      </c>
      <c r="I188" s="32" t="n"/>
      <c r="J188" s="32">
        <f>SUM(J139:J187)</f>
        <v/>
      </c>
      <c r="Q188" s="181" t="n"/>
    </row>
    <row r="189" ht="14.25" customFormat="1" customHeight="1" s="12">
      <c r="A189" s="239" t="n"/>
      <c r="B189" s="239" t="n"/>
      <c r="C189" s="237" t="inlineStr">
        <is>
          <t>Итого по разделу «Материалы»</t>
        </is>
      </c>
      <c r="D189" s="239" t="n"/>
      <c r="E189" s="240" t="n"/>
      <c r="F189" s="241" t="n"/>
      <c r="G189" s="32">
        <f>G138+G188</f>
        <v/>
      </c>
      <c r="H189" s="242">
        <f>G189/$G$189</f>
        <v/>
      </c>
      <c r="I189" s="32" t="n"/>
      <c r="J189" s="32">
        <f>J138+J188</f>
        <v/>
      </c>
      <c r="Q189" s="181" t="n"/>
    </row>
    <row r="190" ht="14.25" customFormat="1" customHeight="1" s="12">
      <c r="A190" s="239" t="n"/>
      <c r="B190" s="239" t="n"/>
      <c r="C190" s="238" t="inlineStr">
        <is>
          <t>ИТОГО ПО РМ</t>
        </is>
      </c>
      <c r="D190" s="239" t="n"/>
      <c r="E190" s="240" t="n"/>
      <c r="F190" s="241" t="n"/>
      <c r="G190" s="32">
        <f>G14+G45+G189</f>
        <v/>
      </c>
      <c r="H190" s="242" t="n"/>
      <c r="I190" s="32" t="n"/>
      <c r="J190" s="32">
        <f>J14+J45+J189</f>
        <v/>
      </c>
      <c r="Q190" s="181" t="n"/>
    </row>
    <row r="191" ht="14.25" customFormat="1" customHeight="1" s="12">
      <c r="A191" s="239" t="n"/>
      <c r="B191" s="239" t="n"/>
      <c r="C191" s="238" t="inlineStr">
        <is>
          <t>Накладные расходы</t>
        </is>
      </c>
      <c r="D191" s="138">
        <f>ROUND(G191/(G$16+$G$14),2)</f>
        <v/>
      </c>
      <c r="E191" s="240" t="n"/>
      <c r="F191" s="241" t="n"/>
      <c r="G191" s="32" t="n">
        <v>29669.05</v>
      </c>
      <c r="H191" s="242" t="n"/>
      <c r="I191" s="32" t="n"/>
      <c r="J191" s="32">
        <f>ROUND(D191*(J14+J16),2)</f>
        <v/>
      </c>
      <c r="Q191" s="181" t="n"/>
    </row>
    <row r="192" ht="14.25" customFormat="1" customHeight="1" s="12">
      <c r="A192" s="239" t="n"/>
      <c r="B192" s="239" t="n"/>
      <c r="C192" s="238" t="inlineStr">
        <is>
          <t>Сметная прибыль</t>
        </is>
      </c>
      <c r="D192" s="138">
        <f>ROUND(G192/(G$14+G$16),2)</f>
        <v/>
      </c>
      <c r="E192" s="240" t="n"/>
      <c r="F192" s="241" t="n"/>
      <c r="G192" s="32" t="n">
        <v>15374.8</v>
      </c>
      <c r="H192" s="242" t="n"/>
      <c r="I192" s="32" t="n"/>
      <c r="J192" s="32">
        <f>ROUND(D192*(J14+J16),2)</f>
        <v/>
      </c>
      <c r="Q192" s="181" t="n"/>
    </row>
    <row r="193" ht="14.25" customFormat="1" customHeight="1" s="12">
      <c r="A193" s="239" t="n"/>
      <c r="B193" s="239" t="n"/>
      <c r="C193" s="238" t="inlineStr">
        <is>
          <t>Итого СМР (с НР и СП)</t>
        </is>
      </c>
      <c r="D193" s="239" t="n"/>
      <c r="E193" s="240" t="n"/>
      <c r="F193" s="241" t="n"/>
      <c r="G193" s="32">
        <f>G14+G45+G189+G191+G192</f>
        <v/>
      </c>
      <c r="H193" s="242" t="n"/>
      <c r="I193" s="32" t="n"/>
      <c r="J193" s="32">
        <f>J14+J45+J189+J191+J192</f>
        <v/>
      </c>
      <c r="Q193" s="181" t="n"/>
    </row>
    <row r="194" ht="14.25" customFormat="1" customHeight="1" s="12">
      <c r="A194" s="239" t="n"/>
      <c r="B194" s="239" t="n"/>
      <c r="C194" s="238" t="inlineStr">
        <is>
          <t>ВСЕГО СМР + ОБОРУДОВАНИЕ</t>
        </is>
      </c>
      <c r="D194" s="239" t="n"/>
      <c r="E194" s="240" t="n"/>
      <c r="F194" s="241" t="n"/>
      <c r="G194" s="32">
        <f>G193+G89</f>
        <v/>
      </c>
      <c r="H194" s="242" t="n"/>
      <c r="I194" s="32" t="n"/>
      <c r="J194" s="32">
        <f>J193+J89</f>
        <v/>
      </c>
      <c r="Q194" s="181" t="n"/>
    </row>
    <row r="195" ht="34.5" customFormat="1" customHeight="1" s="12">
      <c r="A195" s="239" t="n"/>
      <c r="B195" s="239" t="n"/>
      <c r="C195" s="238" t="inlineStr">
        <is>
          <t>ИТОГО ПОКАЗАТЕЛЬ НА ЕД. ИЗМ.</t>
        </is>
      </c>
      <c r="D195" s="239" t="inlineStr">
        <is>
          <t>ед</t>
        </is>
      </c>
      <c r="E195" s="172" t="n">
        <v>2</v>
      </c>
      <c r="F195" s="241" t="n"/>
      <c r="G195" s="32">
        <f>G194/E195</f>
        <v/>
      </c>
      <c r="H195" s="242" t="n"/>
      <c r="I195" s="32" t="n"/>
      <c r="J195" s="32">
        <f>J194/E195</f>
        <v/>
      </c>
    </row>
    <row r="196">
      <c r="P196" s="12" t="n"/>
      <c r="Q196" s="12" t="n"/>
      <c r="R196" s="12" t="n"/>
    </row>
    <row r="197" ht="14.25" customFormat="1" customHeight="1" s="12">
      <c r="A197" s="4" t="inlineStr">
        <is>
          <t>Составил ______________________    Д.Ю. Нефедова</t>
        </is>
      </c>
    </row>
    <row r="198" ht="14.25" customFormat="1" customHeight="1" s="12">
      <c r="A198" s="148" t="inlineStr">
        <is>
          <t xml:space="preserve">                         (подпись, инициалы, фамилия)</t>
        </is>
      </c>
    </row>
    <row r="199" ht="14.25" customFormat="1" customHeight="1" s="12">
      <c r="A199" s="4" t="n"/>
    </row>
    <row r="200" ht="14.25" customFormat="1" customHeight="1" s="12">
      <c r="A200" s="4" t="inlineStr">
        <is>
          <t>Проверил ______________________        А.В. Костянецкая</t>
        </is>
      </c>
    </row>
    <row r="201" ht="14.25" customFormat="1" customHeight="1" s="12">
      <c r="A201" s="148" t="inlineStr">
        <is>
          <t xml:space="preserve">                        (подпись, инициалы, фамилия)</t>
        </is>
      </c>
    </row>
    <row r="202">
      <c r="P202" s="12" t="n"/>
      <c r="Q202" s="12" t="n"/>
      <c r="R202" s="12" t="n"/>
    </row>
    <row r="203">
      <c r="P203" s="12" t="n"/>
      <c r="Q203" s="12" t="n"/>
      <c r="R203" s="12" t="n"/>
    </row>
    <row r="204">
      <c r="P204" s="12" t="n"/>
      <c r="Q204" s="12" t="n"/>
      <c r="R204" s="12" t="n"/>
    </row>
    <row r="205">
      <c r="P205" s="12" t="n"/>
      <c r="Q205" s="12" t="n"/>
      <c r="R205" s="12" t="n"/>
    </row>
    <row r="206">
      <c r="P206" s="12" t="n"/>
      <c r="Q206" s="12" t="n"/>
      <c r="R206" s="12" t="n"/>
    </row>
    <row r="207">
      <c r="P207" s="12" t="n"/>
      <c r="Q207" s="12" t="n"/>
      <c r="R207" s="12" t="n"/>
    </row>
    <row r="208">
      <c r="P208" s="12" t="n"/>
      <c r="Q208" s="12" t="n"/>
      <c r="R208" s="12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47:H47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56"/>
  <sheetViews>
    <sheetView view="pageBreakPreview" topLeftCell="A40" workbookViewId="0">
      <selection activeCell="E54" sqref="E54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2" t="inlineStr">
        <is>
          <t>Приложение №6</t>
        </is>
      </c>
    </row>
    <row r="2" ht="21.75" customHeight="1">
      <c r="A2" s="252" t="n"/>
      <c r="B2" s="252" t="n"/>
      <c r="C2" s="252" t="n"/>
      <c r="D2" s="252" t="n"/>
      <c r="E2" s="252" t="n"/>
      <c r="F2" s="252" t="n"/>
      <c r="G2" s="252" t="n"/>
    </row>
    <row r="3">
      <c r="A3" s="201" t="inlineStr">
        <is>
          <t>Расчет стоимости оборудования</t>
        </is>
      </c>
    </row>
    <row r="4" ht="25.5" customHeight="1">
      <c r="A4" s="204" t="inlineStr">
        <is>
          <t>Наименование разрабатываемого показателя УНЦ — Система газового пожаротушения.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38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39" t="n"/>
      <c r="B10" s="237" t="n"/>
      <c r="C10" s="238" t="inlineStr">
        <is>
          <t>ИТОГО ИНЖЕНЕРНОЕ ОБОРУДОВАНИЕ</t>
        </is>
      </c>
      <c r="D10" s="237" t="n"/>
      <c r="E10" s="180" t="n"/>
      <c r="F10" s="241" t="n"/>
      <c r="G10" s="32" t="n">
        <v>0</v>
      </c>
    </row>
    <row r="11">
      <c r="A11" s="239" t="n"/>
      <c r="B11" s="238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Format="1" customHeight="1" s="114">
      <c r="A12" s="239" t="n">
        <v>1</v>
      </c>
      <c r="B12" s="238" t="inlineStr">
        <is>
          <t>Прайс из СД ОП</t>
        </is>
      </c>
      <c r="C12" s="238" t="inlineStr">
        <is>
          <t>Модуль  К2-1 МП (60-160-50) ЭмР-ЭМП на раме в комплекте</t>
        </is>
      </c>
      <c r="D12" s="239" t="inlineStr">
        <is>
          <t>к-т</t>
        </is>
      </c>
      <c r="E12" s="137" t="n">
        <v>1</v>
      </c>
      <c r="F12" s="241" t="n">
        <v>259933.87</v>
      </c>
      <c r="G12" s="32">
        <f>ROUND(E12*F12,2)</f>
        <v/>
      </c>
    </row>
    <row r="13" ht="15.75" customFormat="1" customHeight="1" s="114">
      <c r="A13" s="239" t="n">
        <v>2</v>
      </c>
      <c r="B13" s="238" t="inlineStr">
        <is>
          <t>01.3.02.11-0022</t>
        </is>
      </c>
      <c r="C13" s="238" t="inlineStr">
        <is>
          <t>Фреон</t>
        </is>
      </c>
      <c r="D13" s="239" t="inlineStr">
        <is>
          <t>т</t>
        </is>
      </c>
      <c r="E13" s="137" t="n">
        <v>3.74</v>
      </c>
      <c r="F13" s="241" t="n">
        <v>68400</v>
      </c>
      <c r="G13" s="32">
        <f>ROUND(E13*F13,2)</f>
        <v/>
      </c>
    </row>
    <row r="14" ht="15.75" customFormat="1" customHeight="1" s="114">
      <c r="A14" s="239" t="n">
        <v>3</v>
      </c>
      <c r="B14" s="238" t="inlineStr">
        <is>
          <t>Прайс из СД ОП</t>
        </is>
      </c>
      <c r="C14" s="238" t="inlineStr">
        <is>
          <t>Модуль  1 МП (60-160-50) запас</t>
        </is>
      </c>
      <c r="D14" s="239" t="inlineStr">
        <is>
          <t>к-т</t>
        </is>
      </c>
      <c r="E14" s="137" t="n">
        <v>8</v>
      </c>
      <c r="F14" s="241" t="n">
        <v>26987.96</v>
      </c>
      <c r="G14" s="32">
        <f>ROUND(E14*F14,2)</f>
        <v/>
      </c>
    </row>
    <row r="15" ht="25.5" customFormat="1" customHeight="1" s="114">
      <c r="A15" s="239" t="n">
        <v>4</v>
      </c>
      <c r="B15" s="238" t="inlineStr">
        <is>
          <t>Прайс из СД ОП</t>
        </is>
      </c>
      <c r="C15" s="238" t="inlineStr">
        <is>
          <t>Модуль  К2-1 МП (60-100-50) ЭмР-ЭМП на раме в комплекте</t>
        </is>
      </c>
      <c r="D15" s="239" t="inlineStr">
        <is>
          <t>к-т</t>
        </is>
      </c>
      <c r="E15" s="137" t="n">
        <v>3</v>
      </c>
      <c r="F15" s="241" t="n">
        <v>51888.96</v>
      </c>
      <c r="G15" s="32">
        <f>ROUND(E15*F15,2)</f>
        <v/>
      </c>
    </row>
    <row r="16" ht="15.75" customFormat="1" customHeight="1" s="114">
      <c r="A16" s="239" t="n">
        <v>5</v>
      </c>
      <c r="B16" s="238" t="inlineStr">
        <is>
          <t>Прайс из СД ОП</t>
        </is>
      </c>
      <c r="C16" s="238" t="inlineStr">
        <is>
          <t>Модуль  1 МП (60-100-50) запас</t>
        </is>
      </c>
      <c r="D16" s="239" t="inlineStr">
        <is>
          <t>к-т</t>
        </is>
      </c>
      <c r="E16" s="137" t="n">
        <v>6</v>
      </c>
      <c r="F16" s="241" t="n">
        <v>19543.01</v>
      </c>
      <c r="G16" s="32">
        <f>ROUND(E16*F16,2)</f>
        <v/>
      </c>
    </row>
    <row r="17" ht="25.5" customFormat="1" customHeight="1" s="114">
      <c r="A17" s="239" t="n">
        <v>6</v>
      </c>
      <c r="B17" s="238" t="inlineStr">
        <is>
          <t>Прайс из СД ОП</t>
        </is>
      </c>
      <c r="C17" s="238" t="inlineStr">
        <is>
          <t>Модуль  К2-1 МП (60-60-50) ЭмР-ЭМП на раме в комплекте</t>
        </is>
      </c>
      <c r="D17" s="239" t="inlineStr">
        <is>
          <t>к-т</t>
        </is>
      </c>
      <c r="E17" s="137" t="n">
        <v>2</v>
      </c>
      <c r="F17" s="241" t="n">
        <v>42129.34</v>
      </c>
      <c r="G17" s="32">
        <f>ROUND(E17*F17,2)</f>
        <v/>
      </c>
    </row>
    <row r="18" ht="15.75" customFormat="1" customHeight="1" s="114">
      <c r="A18" s="239" t="n">
        <v>7</v>
      </c>
      <c r="B18" s="238" t="inlineStr">
        <is>
          <t>Прайс из СД ОП</t>
        </is>
      </c>
      <c r="C18" s="238" t="inlineStr">
        <is>
          <t>Модуль  1 МП (60-60-50) запас</t>
        </is>
      </c>
      <c r="D18" s="239" t="inlineStr">
        <is>
          <t>к-т</t>
        </is>
      </c>
      <c r="E18" s="137" t="n">
        <v>4</v>
      </c>
      <c r="F18" s="241" t="n">
        <v>17978.77</v>
      </c>
      <c r="G18" s="32">
        <f>ROUND(E18*F18,2)</f>
        <v/>
      </c>
    </row>
    <row r="19" ht="38.25" customFormat="1" customHeight="1" s="114">
      <c r="A19" s="239" t="n">
        <v>8</v>
      </c>
      <c r="B19" s="238" t="inlineStr">
        <is>
          <t>61.2.02.01-1004</t>
        </is>
      </c>
      <c r="C19" s="238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D19" s="239" t="inlineStr">
        <is>
          <t>шт</t>
        </is>
      </c>
      <c r="E19" s="137" t="n">
        <v>457</v>
      </c>
      <c r="F19" s="241" t="n">
        <v>116.52</v>
      </c>
      <c r="G19" s="32">
        <f>ROUND(E19*F19,2)</f>
        <v/>
      </c>
    </row>
    <row r="20" ht="15.75" customFormat="1" customHeight="1" s="114">
      <c r="A20" s="239" t="n">
        <v>9</v>
      </c>
      <c r="B20" s="238" t="inlineStr">
        <is>
          <t>61.2.02.01-0095</t>
        </is>
      </c>
      <c r="C20" s="238" t="inlineStr">
        <is>
          <t>Извещатель пожарный дымовой: ИПДЛ</t>
        </is>
      </c>
      <c r="D20" s="239" t="inlineStr">
        <is>
          <t>10 шт</t>
        </is>
      </c>
      <c r="E20" s="137" t="n">
        <v>6</v>
      </c>
      <c r="F20" s="241" t="n">
        <v>3463.94</v>
      </c>
      <c r="G20" s="32">
        <f>ROUND(E20*F20,2)</f>
        <v/>
      </c>
    </row>
    <row r="21" ht="63.75" customFormat="1" customHeight="1" s="114">
      <c r="A21" s="239" t="n">
        <v>10</v>
      </c>
      <c r="B21" s="238" t="inlineStr">
        <is>
          <t>19.3.01.05-0033</t>
        </is>
      </c>
      <c r="C21" s="238" t="inlineStr">
        <is>
      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      </is>
      </c>
      <c r="D21" s="239" t="inlineStr">
        <is>
          <t>шт</t>
        </is>
      </c>
      <c r="E21" s="137" t="n">
        <v>6</v>
      </c>
      <c r="F21" s="241" t="n">
        <v>1958.38</v>
      </c>
      <c r="G21" s="32">
        <f>ROUND(E21*F21,2)</f>
        <v/>
      </c>
    </row>
    <row r="22" ht="25.5" customFormat="1" customHeight="1" s="114">
      <c r="A22" s="239" t="n">
        <v>11</v>
      </c>
      <c r="B22" s="238" t="inlineStr">
        <is>
          <t>61.2.02.03-0025</t>
        </is>
      </c>
      <c r="C22" s="238" t="inlineStr">
        <is>
          <t>Извещатель пожарный ручной: ИПР-513-3 исп. 02</t>
        </is>
      </c>
      <c r="D22" s="239" t="inlineStr">
        <is>
          <t>10 шт</t>
        </is>
      </c>
      <c r="E22" s="137" t="n">
        <v>24</v>
      </c>
      <c r="F22" s="241" t="n">
        <v>410.04</v>
      </c>
      <c r="G22" s="32">
        <f>ROUND(E22*F22,2)</f>
        <v/>
      </c>
    </row>
    <row r="23" ht="15.75" customFormat="1" customHeight="1" s="114">
      <c r="A23" s="239" t="n">
        <v>12</v>
      </c>
      <c r="B23" s="238" t="inlineStr">
        <is>
          <t>Прайс из СД ОП</t>
        </is>
      </c>
      <c r="C23" s="238" t="inlineStr">
        <is>
          <t>Коллектор на 8модуля 1МП (60-60-50)</t>
        </is>
      </c>
      <c r="D23" s="239" t="inlineStr">
        <is>
          <t>к-т</t>
        </is>
      </c>
      <c r="E23" s="137" t="n">
        <v>1</v>
      </c>
      <c r="F23" s="241" t="n">
        <v>9028.99</v>
      </c>
      <c r="G23" s="32">
        <f>ROUND(E23*F23,2)</f>
        <v/>
      </c>
    </row>
    <row r="24" ht="38.25" customFormat="1" customHeight="1" s="114">
      <c r="A24" s="239" t="n">
        <v>13</v>
      </c>
      <c r="B24" s="238" t="inlineStr">
        <is>
          <t>61.2.04.05-0018</t>
        </is>
      </c>
      <c r="C24" s="238" t="inlineStr">
        <is>
          <t>Оповещатель охранно-пожарный звуковой, тип СВИРЕЛЬ-2 исп.00 6-15В/600мА</t>
        </is>
      </c>
      <c r="D24" s="239" t="inlineStr">
        <is>
          <t>шт</t>
        </is>
      </c>
      <c r="E24" s="137" t="n">
        <v>38</v>
      </c>
      <c r="F24" s="241" t="n">
        <v>187</v>
      </c>
      <c r="G24" s="32">
        <f>ROUND(E24*F24,2)</f>
        <v/>
      </c>
    </row>
    <row r="25" ht="15.75" customFormat="1" customHeight="1" s="114">
      <c r="A25" s="239" t="n">
        <v>14</v>
      </c>
      <c r="B25" s="238" t="inlineStr">
        <is>
          <t>Прайс из СД ОП</t>
        </is>
      </c>
      <c r="C25" s="238" t="inlineStr">
        <is>
          <t>Насадок НГ-3.1-1/2 В латунный с муфтой</t>
        </is>
      </c>
      <c r="D25" s="239" t="inlineStr">
        <is>
          <t>к-т</t>
        </is>
      </c>
      <c r="E25" s="137" t="n">
        <v>28</v>
      </c>
      <c r="F25" s="241" t="n">
        <v>218.79</v>
      </c>
      <c r="G25" s="32">
        <f>ROUND(E25*F25,2)</f>
        <v/>
      </c>
    </row>
    <row r="26" ht="38.25" customFormat="1" customHeight="1" s="114">
      <c r="A26" s="239" t="n">
        <v>15</v>
      </c>
      <c r="B26" s="238" t="inlineStr">
        <is>
          <t>61.2.07.06-0006</t>
        </is>
      </c>
      <c r="C26" s="238" t="inlineStr">
        <is>
          <t>Расширитель адресный на восемь шлейфов с контролем на замыкание и обрыв</t>
        </is>
      </c>
      <c r="D26" s="239" t="inlineStr">
        <is>
          <t>шт</t>
        </is>
      </c>
      <c r="E26" s="137" t="n">
        <v>31</v>
      </c>
      <c r="F26" s="241" t="n">
        <v>182.89</v>
      </c>
      <c r="G26" s="32">
        <f>ROUND(E26*F26,2)</f>
        <v/>
      </c>
    </row>
    <row r="27" ht="15.75" customFormat="1" customHeight="1" s="114">
      <c r="A27" s="239" t="n">
        <v>16</v>
      </c>
      <c r="B27" s="238" t="inlineStr">
        <is>
          <t>Прайс из СД ОП</t>
        </is>
      </c>
      <c r="C27" s="238" t="inlineStr">
        <is>
          <t>Насадок НГ-2.1-1 В латунный с муфтой</t>
        </is>
      </c>
      <c r="D27" s="239" t="inlineStr">
        <is>
          <t>к-т</t>
        </is>
      </c>
      <c r="E27" s="137" t="n">
        <v>26</v>
      </c>
      <c r="F27" s="241" t="n">
        <v>213.84</v>
      </c>
      <c r="G27" s="32">
        <f>ROUND(E27*F27,2)</f>
        <v/>
      </c>
    </row>
    <row r="28" ht="38.25" customFormat="1" customHeight="1" s="114">
      <c r="A28" s="239" t="n">
        <v>17</v>
      </c>
      <c r="B28" s="238" t="inlineStr">
        <is>
          <t>18.4.01.01-0023</t>
        </is>
      </c>
      <c r="C28" s="238" t="inlineStr">
        <is>
          <t>Баллоны стальные для газов, рабочее давление до 19,6 МПа, (200 кг/см2), объем 40 л</t>
        </is>
      </c>
      <c r="D28" s="239" t="inlineStr">
        <is>
          <t>шт</t>
        </is>
      </c>
      <c r="E28" s="137" t="n">
        <v>6</v>
      </c>
      <c r="F28" s="241" t="n">
        <v>809.71</v>
      </c>
      <c r="G28" s="32">
        <f>ROUND(E28*F28,2)</f>
        <v/>
      </c>
    </row>
    <row r="29" ht="15.75" customFormat="1" customHeight="1" s="114">
      <c r="A29" s="239" t="n">
        <v>18</v>
      </c>
      <c r="B29" s="238" t="inlineStr">
        <is>
          <t>Прайс из СД ОП</t>
        </is>
      </c>
      <c r="C29" s="238" t="inlineStr">
        <is>
          <t>Устройство для взведения</t>
        </is>
      </c>
      <c r="D29" s="239" t="inlineStr">
        <is>
          <t>шт</t>
        </is>
      </c>
      <c r="E29" s="137" t="n">
        <v>6</v>
      </c>
      <c r="F29" s="241" t="n">
        <v>752.42</v>
      </c>
      <c r="G29" s="32">
        <f>ROUND(E29*F29,2)</f>
        <v/>
      </c>
    </row>
    <row r="30" ht="15.75" customFormat="1" customHeight="1" s="114">
      <c r="A30" s="239" t="n">
        <v>19</v>
      </c>
      <c r="B30" s="238" t="inlineStr">
        <is>
          <t>Прайс из СД ОП</t>
        </is>
      </c>
      <c r="C30" s="238" t="inlineStr">
        <is>
          <t>Коллектор на 2 модуля 1МП (60-100-50)</t>
        </is>
      </c>
      <c r="D30" s="239" t="inlineStr">
        <is>
          <t>к-т</t>
        </is>
      </c>
      <c r="E30" s="137" t="n">
        <v>2</v>
      </c>
      <c r="F30" s="241" t="n">
        <v>2110.72</v>
      </c>
      <c r="G30" s="32">
        <f>ROUND(E30*F30,2)</f>
        <v/>
      </c>
    </row>
    <row r="31" ht="63.75" customFormat="1" customHeight="1" s="114">
      <c r="A31" s="239" t="n">
        <v>20</v>
      </c>
      <c r="B31" s="238" t="inlineStr">
        <is>
          <t>61.2.07.02-0050</t>
        </is>
      </c>
      <c r="C31" s="238" t="inlineStr">
        <is>
      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      </is>
      </c>
      <c r="D31" s="239" t="inlineStr">
        <is>
          <t>10 шт</t>
        </is>
      </c>
      <c r="E31" s="137" t="n">
        <v>6</v>
      </c>
      <c r="F31" s="241" t="n">
        <v>688.2</v>
      </c>
      <c r="G31" s="32">
        <f>ROUND(E31*F31,2)</f>
        <v/>
      </c>
    </row>
    <row r="32" ht="15.75" customFormat="1" customHeight="1" s="114">
      <c r="A32" s="239" t="n">
        <v>21</v>
      </c>
      <c r="B32" s="238" t="inlineStr">
        <is>
          <t>Прайс из СД ОП</t>
        </is>
      </c>
      <c r="C32" s="238" t="inlineStr">
        <is>
          <t>Насадок НГ-3.1-3/4 В латунный с муфтой</t>
        </is>
      </c>
      <c r="D32" s="239" t="inlineStr">
        <is>
          <t>к-т</t>
        </is>
      </c>
      <c r="E32" s="137" t="n">
        <v>16</v>
      </c>
      <c r="F32" s="241" t="n">
        <v>249.49</v>
      </c>
      <c r="G32" s="32">
        <f>ROUND(E32*F32,2)</f>
        <v/>
      </c>
    </row>
    <row r="33" ht="15.75" customFormat="1" customHeight="1" s="114">
      <c r="A33" s="239" t="n">
        <v>22</v>
      </c>
      <c r="B33" s="238" t="inlineStr">
        <is>
          <t>Прайс из СД ОП</t>
        </is>
      </c>
      <c r="C33" s="238" t="inlineStr">
        <is>
          <t>Насадок НГ-3.1-1 В латунный с муфтой</t>
        </is>
      </c>
      <c r="D33" s="239" t="inlineStr">
        <is>
          <t>к-т</t>
        </is>
      </c>
      <c r="E33" s="137" t="n">
        <v>16</v>
      </c>
      <c r="F33" s="241" t="n">
        <v>218.79</v>
      </c>
      <c r="G33" s="32">
        <f>ROUND(E33*F33,2)</f>
        <v/>
      </c>
    </row>
    <row r="34" ht="15.75" customFormat="1" customHeight="1" s="114">
      <c r="A34" s="239" t="n">
        <v>23</v>
      </c>
      <c r="B34" s="238" t="inlineStr">
        <is>
          <t>Прайс из СД ОП</t>
        </is>
      </c>
      <c r="C34" s="238" t="inlineStr">
        <is>
          <t>Коллектор на 2 модуля 1МП (60-60-50)</t>
        </is>
      </c>
      <c r="D34" s="239" t="inlineStr">
        <is>
          <t>к-т</t>
        </is>
      </c>
      <c r="E34" s="137" t="n">
        <v>2</v>
      </c>
      <c r="F34" s="241" t="n">
        <v>1643.43</v>
      </c>
      <c r="G34" s="32">
        <f>ROUND(E34*F34,2)</f>
        <v/>
      </c>
    </row>
    <row r="35" ht="15.75" customFormat="1" customHeight="1" s="114">
      <c r="A35" s="239" t="n">
        <v>24</v>
      </c>
      <c r="B35" s="238" t="inlineStr">
        <is>
          <t>62.1.04.01-0003</t>
        </is>
      </c>
      <c r="C35" s="238" t="inlineStr">
        <is>
          <t>Датчик-реле давления ДРД-1, ДРД-6</t>
        </is>
      </c>
      <c r="D35" s="239" t="inlineStr">
        <is>
          <t>шт</t>
        </is>
      </c>
      <c r="E35" s="137" t="n">
        <v>7</v>
      </c>
      <c r="F35" s="241" t="n">
        <v>422.41</v>
      </c>
      <c r="G35" s="32">
        <f>ROUND(E35*F35,2)</f>
        <v/>
      </c>
    </row>
    <row r="36" ht="51" customFormat="1" customHeight="1" s="114">
      <c r="A36" s="239" t="n">
        <v>25</v>
      </c>
      <c r="B36" s="238" t="inlineStr">
        <is>
          <t>23.8.02.01-0005</t>
        </is>
      </c>
      <c r="C36" s="238" t="inlineStr">
        <is>
          <t>Заглушка трубопровода стальная изолированная пенополиуретаном в полиэтиленовой оболочке, наружный диаметр 76 мм, диаметр изоляции 160 мм</t>
        </is>
      </c>
      <c r="D36" s="239" t="inlineStr">
        <is>
          <t>шт</t>
        </is>
      </c>
      <c r="E36" s="137" t="n">
        <v>17</v>
      </c>
      <c r="F36" s="241" t="n">
        <v>168.8</v>
      </c>
      <c r="G36" s="32">
        <f>ROUND(E36*F36,2)</f>
        <v/>
      </c>
    </row>
    <row r="37" ht="25.5" customFormat="1" customHeight="1" s="114">
      <c r="A37" s="239" t="n">
        <v>26</v>
      </c>
      <c r="B37" s="238" t="inlineStr">
        <is>
          <t>Прайс из СД ОП</t>
        </is>
      </c>
      <c r="C37" s="238" t="inlineStr">
        <is>
          <t>Комплект деталей для принудительного пуска (В481-8/650)</t>
        </is>
      </c>
      <c r="D37" s="239" t="inlineStr">
        <is>
          <t>к-т</t>
        </is>
      </c>
      <c r="E37" s="137" t="n">
        <v>2</v>
      </c>
      <c r="F37" s="241" t="n">
        <v>1073.18</v>
      </c>
      <c r="G37" s="32">
        <f>ROUND(E37*F37,2)</f>
        <v/>
      </c>
    </row>
    <row r="38" ht="25.5" customFormat="1" customHeight="1" s="114">
      <c r="A38" s="239" t="n">
        <v>27</v>
      </c>
      <c r="B38" s="238" t="inlineStr">
        <is>
          <t>61.2.07.02-0034</t>
        </is>
      </c>
      <c r="C38" s="238" t="inlineStr">
        <is>
          <t>Блок контрольно-пусковой, марка "С2000-КПБ"</t>
        </is>
      </c>
      <c r="D38" s="239" t="inlineStr">
        <is>
          <t>шт</t>
        </is>
      </c>
      <c r="E38" s="137" t="n">
        <v>6</v>
      </c>
      <c r="F38" s="241" t="n">
        <v>243.85</v>
      </c>
      <c r="G38" s="32">
        <f>ROUND(E38*F38,2)</f>
        <v/>
      </c>
    </row>
    <row r="39" ht="15.75" customFormat="1" customHeight="1" s="114">
      <c r="A39" s="239" t="n">
        <v>28</v>
      </c>
      <c r="B39" s="238" t="inlineStr">
        <is>
          <t>61.2.04.07-0008</t>
        </is>
      </c>
      <c r="C39" s="238" t="inlineStr">
        <is>
          <t>Оповещатель световой МОЛНИЯ-12(24)</t>
        </is>
      </c>
      <c r="D39" s="239" t="inlineStr">
        <is>
          <t>шт</t>
        </is>
      </c>
      <c r="E39" s="137" t="n">
        <v>38</v>
      </c>
      <c r="F39" s="241" t="n">
        <v>38.38</v>
      </c>
      <c r="G39" s="32">
        <f>ROUND(E39*F39,2)</f>
        <v/>
      </c>
    </row>
    <row r="40" ht="15.75" customFormat="1" customHeight="1" s="114">
      <c r="A40" s="239" t="n">
        <v>29</v>
      </c>
      <c r="B40" s="238" t="inlineStr">
        <is>
          <t>Прайс из СД ОП</t>
        </is>
      </c>
      <c r="C40" s="238" t="inlineStr">
        <is>
          <t>Насадок НГ-2.1-3/4 В латунный с муфтой</t>
        </is>
      </c>
      <c r="D40" s="239" t="inlineStr">
        <is>
          <t>к-т</t>
        </is>
      </c>
      <c r="E40" s="137" t="n">
        <v>6</v>
      </c>
      <c r="F40" s="241" t="n">
        <v>213.84</v>
      </c>
      <c r="G40" s="32">
        <f>ROUND(E40*F40,2)</f>
        <v/>
      </c>
    </row>
    <row r="41" ht="51" customFormat="1" customHeight="1" s="114">
      <c r="A41" s="239" t="n">
        <v>30</v>
      </c>
      <c r="B41" s="238" t="inlineStr">
        <is>
          <t>61.2.07.02-0035</t>
        </is>
      </c>
      <c r="C41" s="238" t="inlineStr">
        <is>
          <t>Шкаф контрольно-пусковой для систем пожаротушения и дымоудаления, мощность управляемой нагрузки 10 кВт, номинальный коммутируемый ток 25 А</t>
        </is>
      </c>
      <c r="D41" s="239" t="inlineStr">
        <is>
          <t>шт</t>
        </is>
      </c>
      <c r="E41" s="137" t="n">
        <v>3</v>
      </c>
      <c r="F41" s="241" t="n">
        <v>396.74</v>
      </c>
      <c r="G41" s="32">
        <f>ROUND(E41*F41,2)</f>
        <v/>
      </c>
    </row>
    <row r="42" ht="25.5" customFormat="1" customHeight="1" s="114">
      <c r="A42" s="239" t="n">
        <v>31</v>
      </c>
      <c r="B42" s="238" t="inlineStr">
        <is>
          <t>Прайс из СД ОП</t>
        </is>
      </c>
      <c r="C42" s="238" t="inlineStr">
        <is>
          <t>Комплект деталей для принудительного пуска (В481-2/650)</t>
        </is>
      </c>
      <c r="D42" s="239" t="inlineStr">
        <is>
          <t>к-т</t>
        </is>
      </c>
      <c r="E42" s="137" t="n">
        <v>3</v>
      </c>
      <c r="F42" s="241" t="n">
        <v>279.19</v>
      </c>
      <c r="G42" s="32">
        <f>ROUND(E42*F42,2)</f>
        <v/>
      </c>
    </row>
    <row r="43" ht="38.25" customFormat="1" customHeight="1" s="114">
      <c r="A43" s="239" t="n">
        <v>32</v>
      </c>
      <c r="B43" s="238" t="inlineStr">
        <is>
          <t>61.2.04.10-0004</t>
        </is>
      </c>
      <c r="C43" s="238" t="inlineStr">
        <is>
          <t>Пульт контроля и управления охранно-пожарный с двухстрочным ЖК индикатором</t>
        </is>
      </c>
      <c r="D43" s="239" t="inlineStr">
        <is>
          <t>шт</t>
        </is>
      </c>
      <c r="E43" s="137" t="n">
        <v>1</v>
      </c>
      <c r="F43" s="241" t="n">
        <v>627.51</v>
      </c>
      <c r="G43" s="32">
        <f>ROUND(E43*F43,2)</f>
        <v/>
      </c>
    </row>
    <row r="44" ht="15.75" customFormat="1" customHeight="1" s="114">
      <c r="A44" s="239" t="n">
        <v>33</v>
      </c>
      <c r="B44" s="238" t="inlineStr">
        <is>
          <t>01.3.02.11-0023</t>
        </is>
      </c>
      <c r="C44" s="238" t="inlineStr">
        <is>
          <t>Фреон R410A (разовый баллон 11,30 кг)</t>
        </is>
      </c>
      <c r="D44" s="239" t="inlineStr">
        <is>
          <t>шт</t>
        </is>
      </c>
      <c r="E44" s="137" t="n">
        <v>1</v>
      </c>
      <c r="F44" s="241" t="n">
        <v>614.85</v>
      </c>
      <c r="G44" s="32">
        <f>ROUND(E44*F44,2)</f>
        <v/>
      </c>
    </row>
    <row r="45" ht="38.25" customFormat="1" customHeight="1" s="114">
      <c r="A45" s="239" t="n">
        <v>34</v>
      </c>
      <c r="B45" s="238" t="inlineStr">
        <is>
          <t>23.8.01.03-0002</t>
        </is>
      </c>
      <c r="C45" s="238" t="inlineStr">
        <is>
          <t>Заглушка универсальная для труб из термостойкого полиэтилена с внутренней резьбой, размер 1/2"</t>
        </is>
      </c>
      <c r="D45" s="239" t="inlineStr">
        <is>
          <t>10 шт</t>
        </is>
      </c>
      <c r="E45" s="137" t="n">
        <v>5.4</v>
      </c>
      <c r="F45" s="241" t="n">
        <v>62.4</v>
      </c>
      <c r="G45" s="32">
        <f>ROUND(E45*F45,2)</f>
        <v/>
      </c>
    </row>
    <row r="46" ht="15.75" customFormat="1" customHeight="1" s="114">
      <c r="A46" s="239" t="n">
        <v>35</v>
      </c>
      <c r="B46" s="238" t="inlineStr">
        <is>
          <t>24.3.05.18-0001</t>
        </is>
      </c>
      <c r="C46" s="238" t="inlineStr">
        <is>
          <t>Штуцеры, длина 200 мм</t>
        </is>
      </c>
      <c r="D46" s="239" t="inlineStr">
        <is>
          <t>шт</t>
        </is>
      </c>
      <c r="E46" s="137" t="n">
        <v>7</v>
      </c>
      <c r="F46" s="241" t="n">
        <v>44.3</v>
      </c>
      <c r="G46" s="32">
        <f>ROUND(E46*F46,2)</f>
        <v/>
      </c>
    </row>
    <row r="47" ht="38.25" customFormat="1" customHeight="1" s="114">
      <c r="A47" s="239" t="n">
        <v>36</v>
      </c>
      <c r="B47" s="238" t="inlineStr">
        <is>
          <t>23.8.01.03-0001</t>
        </is>
      </c>
      <c r="C47" s="238" t="inlineStr">
        <is>
          <t>Заглушка универсальная для труб из термостойкого полиэтилена с внутренней резьбой, размер 1"</t>
        </is>
      </c>
      <c r="D47" s="239" t="inlineStr">
        <is>
          <t>10 шт</t>
        </is>
      </c>
      <c r="E47" s="137" t="n">
        <v>1.6</v>
      </c>
      <c r="F47" s="241" t="n">
        <v>175.3</v>
      </c>
      <c r="G47" s="32">
        <f>ROUND(E47*F47,2)</f>
        <v/>
      </c>
    </row>
    <row r="48" ht="38.25" customFormat="1" customHeight="1" s="114">
      <c r="A48" s="239" t="n">
        <v>37</v>
      </c>
      <c r="B48" s="238" t="inlineStr">
        <is>
          <t>23.8.01.03-0006</t>
        </is>
      </c>
      <c r="C48" s="238" t="inlineStr">
        <is>
          <t>Заглушка универсальная для труб из термостойкого полиэтилена с наружной резьбой, размер 3/4"</t>
        </is>
      </c>
      <c r="D48" s="239" t="inlineStr">
        <is>
          <t>10 шт</t>
        </is>
      </c>
      <c r="E48" s="137" t="n">
        <v>2.2</v>
      </c>
      <c r="F48" s="241" t="n">
        <v>95.09999999999999</v>
      </c>
      <c r="G48" s="32">
        <f>ROUND(E48*F48,2)</f>
        <v/>
      </c>
    </row>
    <row r="49" ht="25.5" customHeight="1">
      <c r="A49" s="239" t="n"/>
      <c r="B49" s="238" t="n"/>
      <c r="C49" s="238" t="inlineStr">
        <is>
          <t>ИТОГО ТЕХНОЛОГИЧЕСКОЕ ОБОРУДОВАНИЕ</t>
        </is>
      </c>
      <c r="D49" s="238" t="n"/>
      <c r="E49" s="256" t="n"/>
      <c r="F49" s="241" t="n"/>
      <c r="G49" s="32">
        <f>SUM(G12:G48)</f>
        <v/>
      </c>
    </row>
    <row r="50" ht="19.5" customHeight="1">
      <c r="A50" s="239" t="n"/>
      <c r="B50" s="238" t="n"/>
      <c r="C50" s="238" t="inlineStr">
        <is>
          <t>Всего по разделу «Оборудование»</t>
        </is>
      </c>
      <c r="D50" s="238" t="n"/>
      <c r="E50" s="256" t="n"/>
      <c r="F50" s="241" t="n"/>
      <c r="G50" s="32">
        <f>G10+G49</f>
        <v/>
      </c>
    </row>
    <row r="51">
      <c r="A51" s="30" t="n"/>
      <c r="B51" s="149" t="n"/>
      <c r="C51" s="30" t="n"/>
      <c r="D51" s="30" t="n"/>
      <c r="E51" s="30" t="n"/>
      <c r="F51" s="30" t="n"/>
      <c r="G51" s="30" t="n"/>
    </row>
    <row r="52">
      <c r="A52" s="4" t="inlineStr">
        <is>
          <t>Составил ______________________    Д.Ю. Нефедова</t>
        </is>
      </c>
      <c r="B52" s="12" t="n"/>
      <c r="C52" s="12" t="n"/>
      <c r="D52" s="30" t="n"/>
      <c r="E52" s="30" t="n"/>
      <c r="F52" s="30" t="n"/>
      <c r="G52" s="30" t="n"/>
    </row>
    <row r="53">
      <c r="A53" s="148" t="inlineStr">
        <is>
          <t xml:space="preserve">                         (подпись, инициалы, фамилия)</t>
        </is>
      </c>
      <c r="B53" s="12" t="n"/>
      <c r="C53" s="12" t="n"/>
      <c r="D53" s="30" t="n"/>
      <c r="E53" s="30" t="n"/>
      <c r="F53" s="30" t="n"/>
      <c r="G53" s="30" t="n"/>
    </row>
    <row r="54">
      <c r="A54" s="4" t="n"/>
      <c r="B54" s="12" t="n"/>
      <c r="C54" s="12" t="n"/>
      <c r="D54" s="30" t="n"/>
      <c r="E54" s="30" t="n"/>
      <c r="F54" s="30" t="n"/>
      <c r="G54" s="30" t="n"/>
    </row>
    <row r="55">
      <c r="A55" s="4" t="inlineStr">
        <is>
          <t>Проверил ______________________        А.В. Костянецкая</t>
        </is>
      </c>
      <c r="B55" s="12" t="n"/>
      <c r="C55" s="12" t="n"/>
      <c r="D55" s="30" t="n"/>
      <c r="E55" s="30" t="n"/>
      <c r="F55" s="30" t="n"/>
      <c r="G55" s="30" t="n"/>
    </row>
    <row r="56">
      <c r="A56" s="148" t="inlineStr">
        <is>
          <t xml:space="preserve">                        (подпись, инициалы, фамилия)</t>
        </is>
      </c>
      <c r="B56" s="12" t="n"/>
      <c r="C56" s="12" t="n"/>
      <c r="D56" s="30" t="n"/>
      <c r="E56" s="30" t="n"/>
      <c r="F56" s="30" t="n"/>
      <c r="G56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57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H33" sqref="H33"/>
    </sheetView>
  </sheetViews>
  <sheetFormatPr baseColWidth="8" defaultRowHeight="15"/>
  <cols>
    <col width="12.7109375" customWidth="1" min="1" max="1"/>
    <col width="19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4" t="n"/>
      <c r="B1" s="114" t="n"/>
      <c r="C1" s="114" t="n"/>
      <c r="D1" s="114" t="inlineStr">
        <is>
          <t>Приложение №7</t>
        </is>
      </c>
    </row>
    <row r="2" ht="15.75" customHeight="1">
      <c r="A2" s="114" t="n"/>
      <c r="B2" s="114" t="n"/>
      <c r="C2" s="114" t="n"/>
      <c r="D2" s="114" t="n"/>
    </row>
    <row r="3" ht="15.75" customHeight="1">
      <c r="A3" s="114" t="n"/>
      <c r="B3" s="166" t="inlineStr">
        <is>
          <t>Расчет показателя УНЦ</t>
        </is>
      </c>
      <c r="C3" s="114" t="n"/>
      <c r="D3" s="114" t="n"/>
    </row>
    <row r="4" ht="15.75" customHeight="1">
      <c r="A4" s="114" t="n"/>
      <c r="B4" s="114" t="n"/>
      <c r="C4" s="114" t="n"/>
      <c r="D4" s="114" t="n"/>
    </row>
    <row r="5" ht="31.5" customHeight="1">
      <c r="A5" s="303" t="inlineStr">
        <is>
          <t xml:space="preserve">Наименование разрабатываемого показателя УНЦ - </t>
        </is>
      </c>
      <c r="D5" s="303">
        <f>'Прил.5 Расчет СМР и ОБ'!D6:J6</f>
        <v/>
      </c>
    </row>
    <row r="6" ht="15.75" customHeight="1">
      <c r="A6" s="114" t="inlineStr">
        <is>
          <t>Единица измерения  — 1 ПС</t>
        </is>
      </c>
      <c r="B6" s="114" t="n"/>
      <c r="C6" s="114" t="n"/>
      <c r="D6" s="114" t="n"/>
    </row>
    <row r="7" ht="15.75" customHeight="1">
      <c r="A7" s="114" t="n"/>
      <c r="B7" s="114" t="n"/>
      <c r="C7" s="114" t="n"/>
      <c r="D7" s="114" t="n"/>
    </row>
    <row r="8">
      <c r="A8" s="216" t="inlineStr">
        <is>
          <t>Код показателя</t>
        </is>
      </c>
      <c r="B8" s="216" t="inlineStr">
        <is>
          <t>Наименование показателя</t>
        </is>
      </c>
      <c r="C8" s="216" t="inlineStr">
        <is>
          <t>Наименование РМ, входящих в состав показателя</t>
        </is>
      </c>
      <c r="D8" s="216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16" t="n">
        <v>1</v>
      </c>
      <c r="B10" s="216" t="n">
        <v>2</v>
      </c>
      <c r="C10" s="216" t="n">
        <v>3</v>
      </c>
      <c r="D10" s="216" t="n">
        <v>4</v>
      </c>
    </row>
    <row r="11" ht="63" customHeight="1">
      <c r="A11" s="216" t="inlineStr">
        <is>
          <t>З1</t>
        </is>
      </c>
      <c r="B11" s="216" t="inlineStr">
        <is>
          <t>Система газового пожаротушения.</t>
        </is>
      </c>
      <c r="C11" s="304">
        <f>D5</f>
        <v/>
      </c>
      <c r="D11" s="119">
        <f>'Прил.4 РМ'!C41/1000</f>
        <v/>
      </c>
    </row>
    <row r="13">
      <c r="A13" s="4" t="inlineStr">
        <is>
          <t>Составил ______________________      Е. А. Нефедова</t>
        </is>
      </c>
      <c r="B13" s="12" t="n"/>
      <c r="C13" s="12" t="n"/>
      <c r="D13" s="30" t="n"/>
    </row>
    <row r="14">
      <c r="A14" s="148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 ht="21" customHeight="1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48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5" sqref="C25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08" t="inlineStr">
        <is>
          <t>Приложение № 10</t>
        </is>
      </c>
    </row>
    <row r="5" ht="18.75" customHeight="1">
      <c r="B5" s="125" t="n"/>
    </row>
    <row r="6" ht="15.75" customHeight="1">
      <c r="B6" s="209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>
      <c r="B9" s="216" t="inlineStr">
        <is>
          <t>Наименование индекса / норм сопутствующих затрат</t>
        </is>
      </c>
      <c r="C9" s="216" t="inlineStr">
        <is>
          <t>Дата применения и обоснование индекса / норм сопутствующих затрат</t>
        </is>
      </c>
      <c r="D9" s="216" t="inlineStr">
        <is>
          <t>Размер индекса / норма сопутствующих затрат</t>
        </is>
      </c>
    </row>
    <row r="10" ht="15.75" customHeight="1">
      <c r="B10" s="216" t="n">
        <v>1</v>
      </c>
      <c r="C10" s="216" t="n">
        <v>2</v>
      </c>
      <c r="D10" s="216" t="n">
        <v>3</v>
      </c>
    </row>
    <row r="11" ht="45" customHeight="1">
      <c r="B11" s="216" t="inlineStr">
        <is>
          <t xml:space="preserve">Индекс изменения сметной стоимости на 1 квартал 2023 года. ОЗП </t>
        </is>
      </c>
      <c r="C11" s="216" t="inlineStr">
        <is>
          <t>Письмо Минстроя России от 30.03.2023г. №17106-ИФ/09 прил.1</t>
        </is>
      </c>
      <c r="D11" s="216" t="n">
        <v>44.29</v>
      </c>
    </row>
    <row r="12" ht="29.25" customHeight="1">
      <c r="B12" s="216" t="inlineStr">
        <is>
          <t>Индекс изменения сметной стоимости на 1 квартал 2023 года. ЭМ</t>
        </is>
      </c>
      <c r="C12" s="216" t="inlineStr">
        <is>
          <t>Письмо Минстроя России от 30.03.2023г. №17106-ИФ/09 прил.1</t>
        </is>
      </c>
      <c r="D12" s="216" t="n">
        <v>13.47</v>
      </c>
    </row>
    <row r="13" ht="29.25" customHeight="1">
      <c r="B13" s="216" t="inlineStr">
        <is>
          <t>Индекс изменения сметной стоимости на 1 квартал 2023 года. МАТ</t>
        </is>
      </c>
      <c r="C13" s="216" t="inlineStr">
        <is>
          <t>Письмо Минстроя России от 30.03.2023г. №17106-ИФ/09 прил.1</t>
        </is>
      </c>
      <c r="D13" s="216" t="n">
        <v>8.039999999999999</v>
      </c>
    </row>
    <row r="14" ht="30.75" customHeight="1">
      <c r="B14" s="216" t="inlineStr">
        <is>
          <t>Индекс изменения сметной стоимости на 1 квартал 2023 года. ОБ</t>
        </is>
      </c>
      <c r="C14" s="154" t="inlineStr">
        <is>
          <t>Письмо Минстроя России от 23.02.2023г. №9791-ИФ/09 прил.6</t>
        </is>
      </c>
      <c r="D14" s="216" t="n">
        <v>6.26</v>
      </c>
    </row>
    <row r="15" ht="89.25" customHeight="1">
      <c r="B15" s="216" t="inlineStr">
        <is>
          <t>Временные здания и сооружения</t>
        </is>
      </c>
      <c r="C15" s="216" t="inlineStr">
        <is>
          <t xml:space="preserve">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6" t="n">
        <v>0.039</v>
      </c>
    </row>
    <row r="16" ht="78.75" customHeight="1">
      <c r="B16" s="216" t="inlineStr">
        <is>
          <t>Дополнительные затраты при производстве строительно-монтажных работ в зимнее время</t>
        </is>
      </c>
      <c r="C16" s="216" t="inlineStr">
        <is>
      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6" t="n">
        <v>0.021</v>
      </c>
    </row>
    <row r="17" ht="34.5" customHeight="1">
      <c r="B17" s="216" t="inlineStr">
        <is>
          <t>Пусконаладочные работы</t>
        </is>
      </c>
      <c r="C17" s="216" t="n"/>
      <c r="D17" s="216" t="inlineStr">
        <is>
          <t>Расчет</t>
        </is>
      </c>
    </row>
    <row r="18" ht="31.5" customHeight="1">
      <c r="B18" s="216" t="inlineStr">
        <is>
          <t>Строительный контроль</t>
        </is>
      </c>
      <c r="C18" s="216" t="inlineStr">
        <is>
          <t>Постановление Правительства РФ от 21.06.10 г. № 468</t>
        </is>
      </c>
      <c r="D18" s="126" t="n">
        <v>0.0214</v>
      </c>
    </row>
    <row r="19" ht="31.5" customHeight="1">
      <c r="B19" s="216" t="inlineStr">
        <is>
          <t>Авторский надзор - 0,2%</t>
        </is>
      </c>
      <c r="C19" s="216" t="inlineStr">
        <is>
          <t>Приказ от 4.08.2020 № 421/пр п.173</t>
        </is>
      </c>
      <c r="D19" s="126" t="n">
        <v>0.002</v>
      </c>
    </row>
    <row r="20" ht="24" customHeight="1">
      <c r="B20" s="216" t="inlineStr">
        <is>
          <t>Непредвиденные расходы</t>
        </is>
      </c>
      <c r="C20" s="216" t="inlineStr">
        <is>
          <t>Приказ от 4.08.2020 № 421/пр п.179</t>
        </is>
      </c>
      <c r="D20" s="126" t="n">
        <v>0.03</v>
      </c>
    </row>
    <row r="21" ht="18.75" customHeight="1">
      <c r="B21" s="150" t="n"/>
    </row>
    <row r="22" ht="18.75" customHeight="1">
      <c r="B22" s="150" t="n"/>
    </row>
    <row r="23" ht="18.75" customHeight="1">
      <c r="B23" s="150" t="n"/>
    </row>
    <row r="24" ht="18.75" customHeight="1">
      <c r="B24" s="150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48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48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G12" sqref="G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3" t="inlineStr">
        <is>
          <t>Составлен в уровне цен на 01.01.2023 г.</t>
        </is>
      </c>
      <c r="B4" s="114" t="n"/>
      <c r="C4" s="114" t="n"/>
      <c r="D4" s="114" t="n"/>
      <c r="E4" s="114" t="n"/>
      <c r="F4" s="114" t="n"/>
      <c r="G4" s="114" t="n"/>
    </row>
    <row r="5" ht="15.75" customHeight="1">
      <c r="A5" s="115" t="inlineStr">
        <is>
          <t>№ пп.</t>
        </is>
      </c>
      <c r="B5" s="115" t="inlineStr">
        <is>
          <t>Наименование элемента</t>
        </is>
      </c>
      <c r="C5" s="115" t="inlineStr">
        <is>
          <t>Обозначение</t>
        </is>
      </c>
      <c r="D5" s="115" t="inlineStr">
        <is>
          <t>Формула</t>
        </is>
      </c>
      <c r="E5" s="115" t="inlineStr">
        <is>
          <t>Величина элемента</t>
        </is>
      </c>
      <c r="F5" s="115" t="inlineStr">
        <is>
          <t>Наименования обосновывающих документов</t>
        </is>
      </c>
      <c r="G5" s="114" t="n"/>
    </row>
    <row r="6" ht="15.75" customHeight="1">
      <c r="A6" s="115" t="n">
        <v>1</v>
      </c>
      <c r="B6" s="115" t="n">
        <v>2</v>
      </c>
      <c r="C6" s="115" t="n">
        <v>3</v>
      </c>
      <c r="D6" s="115" t="n">
        <v>4</v>
      </c>
      <c r="E6" s="115" t="n">
        <v>5</v>
      </c>
      <c r="F6" s="115" t="n">
        <v>6</v>
      </c>
      <c r="G6" s="114" t="n"/>
    </row>
    <row r="7" ht="110.25" customHeight="1">
      <c r="A7" s="116" t="inlineStr">
        <is>
          <t>1.1</t>
        </is>
      </c>
      <c r="B7" s="1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6" t="inlineStr">
        <is>
          <t>С1ср</t>
        </is>
      </c>
      <c r="D7" s="216" t="inlineStr">
        <is>
          <t>-</t>
        </is>
      </c>
      <c r="E7" s="119" t="n">
        <v>47872.94</v>
      </c>
      <c r="F7" s="1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4" t="n"/>
    </row>
    <row r="8" ht="31.5" customHeight="1">
      <c r="A8" s="116" t="inlineStr">
        <is>
          <t>1.2</t>
        </is>
      </c>
      <c r="B8" s="117" t="inlineStr">
        <is>
          <t>Среднегодовое нормативное число часов работы одного рабочего в месяц, часы (ч.)</t>
        </is>
      </c>
      <c r="C8" s="216" t="inlineStr">
        <is>
          <t>tср</t>
        </is>
      </c>
      <c r="D8" s="216" t="inlineStr">
        <is>
          <t>1973ч/12мес.</t>
        </is>
      </c>
      <c r="E8" s="119">
        <f>1973/12</f>
        <v/>
      </c>
      <c r="F8" s="117" t="inlineStr">
        <is>
          <t>Производственный календарь 2023 год
(40-часов.неделя)</t>
        </is>
      </c>
      <c r="G8" s="120" t="n"/>
    </row>
    <row r="9" ht="15.75" customHeight="1">
      <c r="A9" s="116" t="inlineStr">
        <is>
          <t>1.3</t>
        </is>
      </c>
      <c r="B9" s="117" t="inlineStr">
        <is>
          <t>Коэффициент увеличения</t>
        </is>
      </c>
      <c r="C9" s="216" t="inlineStr">
        <is>
          <t>Кув</t>
        </is>
      </c>
      <c r="D9" s="216" t="inlineStr">
        <is>
          <t>-</t>
        </is>
      </c>
      <c r="E9" s="119" t="n">
        <v>1</v>
      </c>
      <c r="F9" s="117" t="n"/>
      <c r="G9" s="120" t="n"/>
    </row>
    <row r="10" ht="15.75" customHeight="1">
      <c r="A10" s="116" t="inlineStr">
        <is>
          <t>1.4</t>
        </is>
      </c>
      <c r="B10" s="117" t="inlineStr">
        <is>
          <t>Средний разряд работ</t>
        </is>
      </c>
      <c r="C10" s="216" t="n"/>
      <c r="D10" s="216" t="n"/>
      <c r="E10" s="159" t="n">
        <v>4</v>
      </c>
      <c r="F10" s="117" t="inlineStr">
        <is>
          <t>РТМ</t>
        </is>
      </c>
      <c r="G10" s="120" t="n"/>
    </row>
    <row r="11" ht="78.75" customHeight="1">
      <c r="A11" s="116" t="inlineStr">
        <is>
          <t>1.5</t>
        </is>
      </c>
      <c r="B11" s="117" t="inlineStr">
        <is>
          <t>Тарифный коэффициент среднего разряда работ</t>
        </is>
      </c>
      <c r="C11" s="216" t="inlineStr">
        <is>
          <t>КТ</t>
        </is>
      </c>
      <c r="D11" s="216" t="inlineStr">
        <is>
          <t>-</t>
        </is>
      </c>
      <c r="E11" s="160" t="n">
        <v>1.34</v>
      </c>
      <c r="F11" s="1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4" t="n"/>
    </row>
    <row r="12" ht="78.75" customHeight="1">
      <c r="A12" s="116" t="inlineStr">
        <is>
          <t>1.6</t>
        </is>
      </c>
      <c r="B12" s="121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175" t="n">
        <v>1.139</v>
      </c>
      <c r="F12" s="1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0" t="n"/>
    </row>
    <row r="13" ht="63" customHeight="1">
      <c r="A13" s="116" t="inlineStr">
        <is>
          <t>1.7</t>
        </is>
      </c>
      <c r="B13" s="123" t="inlineStr">
        <is>
          <t>Размер средств на оплату труда рабочих-строителей в текущем уровне цен (ФОТр.тек.), руб/чел.-ч</t>
        </is>
      </c>
      <c r="C13" s="216" t="inlineStr">
        <is>
          <t>ФОТр.тек.</t>
        </is>
      </c>
      <c r="D13" s="216" t="inlineStr">
        <is>
          <t>(С1ср/tср*КТ*Т*Кув)*Кинф</t>
        </is>
      </c>
      <c r="E13" s="124">
        <f>((E7*E9/E8)*E11)*E12</f>
        <v/>
      </c>
      <c r="F13" s="1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2025-01-24T11:58:18Z</dcterms:modified>
  <cp:lastModifiedBy>REDMIBOOK</cp:lastModifiedBy>
  <cp:lastPrinted>2023-11-26T06:39:35Z</cp:lastPrinted>
</cp:coreProperties>
</file>