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9C5DDC63-EE97-4E6A-8234-5B93C7A2C3EA}" xr6:coauthVersionLast="40" xr6:coauthVersionMax="45" xr10:uidLastSave="{00000000-0000-0000-0000-000000000000}"/>
  <bookViews>
    <workbookView xWindow="0" yWindow="0" windowWidth="28800" windowHeight="11625" tabRatio="924" firstSheet="3" activeTab="12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3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3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3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3">#REF!</definedName>
    <definedName name="rybuf" localSheetId="5">#REF!</definedName>
    <definedName name="rybuf">#REF!</definedName>
    <definedName name="rybuf3" localSheetId="3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3">#REF!</definedName>
    <definedName name="аморт" localSheetId="5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3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3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3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3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>#REF!</definedName>
    <definedName name="ИиНИ" localSheetId="3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3">#REF!</definedName>
    <definedName name="ИОСост" localSheetId="5">#REF!</definedName>
    <definedName name="ИОСост">#REF!</definedName>
    <definedName name="ИОСпс" localSheetId="3">#REF!</definedName>
    <definedName name="ИОСпс" localSheetId="5">#REF!</definedName>
    <definedName name="ИОСпс">#REF!</definedName>
    <definedName name="ИОСсг" localSheetId="3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3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3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3">#REF!</definedName>
    <definedName name="Иуе" localSheetId="5">#REF!</definedName>
    <definedName name="Иуе">#REF!</definedName>
    <definedName name="ИуеРЭО" localSheetId="3">#REF!</definedName>
    <definedName name="ИуеРЭО" localSheetId="5">#REF!</definedName>
    <definedName name="ИуеРЭО">#REF!</definedName>
    <definedName name="Ицпп" localSheetId="3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>#REF!</definedName>
    <definedName name="КЗ_ИП" localSheetId="3">#REF!</definedName>
    <definedName name="КЗ_ИП" localSheetId="5">#REF!</definedName>
    <definedName name="КЗ_ИП">#REF!</definedName>
    <definedName name="КЗ_НИОКР" localSheetId="3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>#REF!</definedName>
    <definedName name="матер." localSheetId="3">#REF!</definedName>
    <definedName name="матер." localSheetId="5">#REF!</definedName>
    <definedName name="матер.">#REF!</definedName>
    <definedName name="матер.рем" localSheetId="3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>#REF!</definedName>
    <definedName name="НДСИП" localSheetId="3">#REF!</definedName>
    <definedName name="НДСИП" localSheetId="5">#REF!</definedName>
    <definedName name="НДСИП">#REF!</definedName>
    <definedName name="НДСНИОКР" localSheetId="3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3'!$A$1:$H$43</definedName>
    <definedName name="_xlnm.Print_Area" localSheetId="3">'Прил.1 Сравнит табл'!$A$1:$D$32</definedName>
    <definedName name="_xlnm.Print_Area" localSheetId="5">'Прил.2 Расч стоим'!$A$1:$J$22</definedName>
    <definedName name="_xlnm.Print_Area" localSheetId="7">'Прил.4 РМ'!$A$1:$E$48</definedName>
    <definedName name="_xlnm.Print_Area" localSheetId="8">'Прил.5 Расчет СМР и ОБ'!$A$1:$J$64</definedName>
    <definedName name="_xlnm.Print_Area" localSheetId="9">'Прил.6 Расчет ОБ'!$A$1:$G$20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3">#REF!</definedName>
    <definedName name="приоб" localSheetId="5">#REF!</definedName>
    <definedName name="приоб">#REF!</definedName>
    <definedName name="приобр" localSheetId="3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4" l="1"/>
  <c r="D23" i="4"/>
  <c r="D17" i="4"/>
  <c r="D19" i="4"/>
  <c r="D18" i="4"/>
  <c r="J14" i="6"/>
  <c r="H14" i="6"/>
  <c r="F14" i="6"/>
  <c r="F13" i="7" l="1"/>
  <c r="Q23" i="16" l="1"/>
  <c r="H22" i="16"/>
  <c r="G22" i="16"/>
  <c r="P22" i="16" s="1"/>
  <c r="M21" i="16"/>
  <c r="L21" i="16"/>
  <c r="K21" i="16"/>
  <c r="N21" i="16" s="1"/>
  <c r="J21" i="16"/>
  <c r="I21" i="16"/>
  <c r="H21" i="16"/>
  <c r="G21" i="16"/>
  <c r="F21" i="16" s="1"/>
  <c r="P20" i="16"/>
  <c r="O20" i="16"/>
  <c r="N20" i="16"/>
  <c r="P19" i="16"/>
  <c r="O19" i="16"/>
  <c r="N19" i="16"/>
  <c r="R19" i="16" s="1"/>
  <c r="P18" i="16"/>
  <c r="O18" i="16"/>
  <c r="N18" i="16"/>
  <c r="F18" i="16"/>
  <c r="M17" i="16"/>
  <c r="L17" i="16"/>
  <c r="K17" i="16"/>
  <c r="I17" i="16"/>
  <c r="H17" i="16"/>
  <c r="G17" i="16"/>
  <c r="P16" i="16"/>
  <c r="O16" i="16"/>
  <c r="N16" i="16"/>
  <c r="P15" i="16"/>
  <c r="O15" i="16"/>
  <c r="N15" i="16"/>
  <c r="R15" i="16" s="1"/>
  <c r="P14" i="16"/>
  <c r="O14" i="16"/>
  <c r="N14" i="16"/>
  <c r="F14" i="16"/>
  <c r="M13" i="16"/>
  <c r="L13" i="16"/>
  <c r="K13" i="16"/>
  <c r="N13" i="16" s="1"/>
  <c r="I13" i="16"/>
  <c r="H13" i="16"/>
  <c r="G13" i="16"/>
  <c r="P12" i="16"/>
  <c r="O12" i="16"/>
  <c r="N12" i="16"/>
  <c r="F12" i="16"/>
  <c r="M11" i="16"/>
  <c r="L11" i="16"/>
  <c r="K11" i="16"/>
  <c r="I11" i="16"/>
  <c r="H11" i="16"/>
  <c r="G11" i="16"/>
  <c r="F11" i="16" s="1"/>
  <c r="M10" i="16"/>
  <c r="K10" i="16"/>
  <c r="I10" i="16"/>
  <c r="I9" i="16" s="1"/>
  <c r="H10" i="16"/>
  <c r="H9" i="16" s="1"/>
  <c r="G10" i="16"/>
  <c r="M9" i="16"/>
  <c r="K9" i="16"/>
  <c r="N15" i="15"/>
  <c r="M15" i="15"/>
  <c r="L15" i="15"/>
  <c r="J15" i="15" s="1"/>
  <c r="K15" i="15"/>
  <c r="D15" i="15"/>
  <c r="M14" i="15"/>
  <c r="L14" i="15"/>
  <c r="K14" i="15"/>
  <c r="H14" i="15"/>
  <c r="N14" i="15" s="1"/>
  <c r="O14" i="15" s="1"/>
  <c r="D14" i="15"/>
  <c r="N13" i="15"/>
  <c r="M13" i="15"/>
  <c r="L13" i="15"/>
  <c r="J13" i="15" s="1"/>
  <c r="K13" i="15"/>
  <c r="D13" i="15"/>
  <c r="O12" i="15"/>
  <c r="J12" i="15"/>
  <c r="D12" i="15"/>
  <c r="N11" i="15"/>
  <c r="M11" i="15"/>
  <c r="L11" i="15"/>
  <c r="K11" i="15"/>
  <c r="D11" i="15"/>
  <c r="M10" i="15"/>
  <c r="I10" i="15"/>
  <c r="H10" i="15"/>
  <c r="N10" i="15" s="1"/>
  <c r="F10" i="15"/>
  <c r="L10" i="15" s="1"/>
  <c r="E10" i="15"/>
  <c r="K10" i="15" s="1"/>
  <c r="J10" i="15" s="1"/>
  <c r="M9" i="15"/>
  <c r="L9" i="15"/>
  <c r="H9" i="15"/>
  <c r="N9" i="15" s="1"/>
  <c r="F9" i="15"/>
  <c r="E9" i="15"/>
  <c r="D9" i="15" s="1"/>
  <c r="G8" i="14"/>
  <c r="G19" i="14" s="1"/>
  <c r="G20" i="14" s="1"/>
  <c r="F8" i="14"/>
  <c r="F9" i="14" s="1"/>
  <c r="E8" i="14"/>
  <c r="E9" i="14" s="1"/>
  <c r="A3" i="14"/>
  <c r="E8" i="13"/>
  <c r="E13" i="13" s="1"/>
  <c r="I14" i="9" s="1"/>
  <c r="J14" i="9" s="1"/>
  <c r="J15" i="9" s="1"/>
  <c r="D5" i="11"/>
  <c r="E12" i="10"/>
  <c r="D12" i="10"/>
  <c r="C12" i="10"/>
  <c r="B12" i="10"/>
  <c r="I50" i="9"/>
  <c r="J50" i="9" s="1"/>
  <c r="G50" i="9"/>
  <c r="I49" i="9"/>
  <c r="J49" i="9" s="1"/>
  <c r="G49" i="9"/>
  <c r="I48" i="9"/>
  <c r="J48" i="9" s="1"/>
  <c r="G48" i="9"/>
  <c r="I47" i="9"/>
  <c r="J47" i="9" s="1"/>
  <c r="G47" i="9"/>
  <c r="I46" i="9"/>
  <c r="J46" i="9" s="1"/>
  <c r="G46" i="9"/>
  <c r="I45" i="9"/>
  <c r="J45" i="9" s="1"/>
  <c r="G45" i="9"/>
  <c r="I44" i="9"/>
  <c r="J44" i="9" s="1"/>
  <c r="G44" i="9"/>
  <c r="I43" i="9"/>
  <c r="J43" i="9" s="1"/>
  <c r="G43" i="9"/>
  <c r="I42" i="9"/>
  <c r="J42" i="9" s="1"/>
  <c r="G42" i="9"/>
  <c r="I40" i="9"/>
  <c r="J40" i="9" s="1"/>
  <c r="G40" i="9"/>
  <c r="I39" i="9"/>
  <c r="J39" i="9" s="1"/>
  <c r="G39" i="9"/>
  <c r="I38" i="9"/>
  <c r="J38" i="9" s="1"/>
  <c r="G38" i="9"/>
  <c r="I37" i="9"/>
  <c r="J37" i="9" s="1"/>
  <c r="G37" i="9"/>
  <c r="I36" i="9"/>
  <c r="J36" i="9" s="1"/>
  <c r="G36" i="9"/>
  <c r="I35" i="9"/>
  <c r="J35" i="9" s="1"/>
  <c r="G35" i="9"/>
  <c r="I34" i="9"/>
  <c r="J34" i="9" s="1"/>
  <c r="G34" i="9"/>
  <c r="J27" i="9"/>
  <c r="J28" i="9" s="1"/>
  <c r="J30" i="9" s="1"/>
  <c r="C25" i="8" s="1"/>
  <c r="F27" i="9"/>
  <c r="H19" i="7" s="1"/>
  <c r="H18" i="7" s="1"/>
  <c r="I22" i="9"/>
  <c r="J22" i="9" s="1"/>
  <c r="J23" i="9" s="1"/>
  <c r="G22" i="9"/>
  <c r="G23" i="9" s="1"/>
  <c r="I20" i="9"/>
  <c r="J20" i="9" s="1"/>
  <c r="J21" i="9" s="1"/>
  <c r="C12" i="8" s="1"/>
  <c r="G20" i="9"/>
  <c r="G21" i="9" s="1"/>
  <c r="E15" i="9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17" i="7"/>
  <c r="H16" i="7"/>
  <c r="H13" i="7"/>
  <c r="G17" i="9" s="1"/>
  <c r="H12" i="7"/>
  <c r="H11" i="7"/>
  <c r="F10" i="7"/>
  <c r="B19" i="5"/>
  <c r="B17" i="5"/>
  <c r="A4" i="5"/>
  <c r="A2" i="5"/>
  <c r="F9" i="3"/>
  <c r="G4" i="3" s="1"/>
  <c r="C4" i="2"/>
  <c r="B4" i="2"/>
  <c r="A18" i="2" s="1"/>
  <c r="H12" i="14" l="1"/>
  <c r="I12" i="14" s="1"/>
  <c r="B28" i="5" s="1"/>
  <c r="P11" i="16"/>
  <c r="H16" i="14"/>
  <c r="I16" i="14" s="1"/>
  <c r="B32" i="5" s="1"/>
  <c r="C11" i="2" s="1"/>
  <c r="C18" i="2" s="1"/>
  <c r="O9" i="15"/>
  <c r="O16" i="15" s="1"/>
  <c r="O13" i="15"/>
  <c r="J14" i="15"/>
  <c r="O15" i="15"/>
  <c r="F10" i="16"/>
  <c r="N10" i="16"/>
  <c r="O13" i="16"/>
  <c r="R13" i="16" s="1"/>
  <c r="P21" i="16"/>
  <c r="K9" i="15"/>
  <c r="J9" i="15" s="1"/>
  <c r="O11" i="16"/>
  <c r="P17" i="16"/>
  <c r="O21" i="16"/>
  <c r="R21" i="16" s="1"/>
  <c r="O11" i="15"/>
  <c r="D10" i="15"/>
  <c r="J11" i="15"/>
  <c r="O10" i="16"/>
  <c r="P10" i="16"/>
  <c r="N11" i="16"/>
  <c r="R11" i="16" s="1"/>
  <c r="F13" i="16"/>
  <c r="P13" i="16"/>
  <c r="N17" i="16"/>
  <c r="R17" i="16" s="1"/>
  <c r="O17" i="16"/>
  <c r="H10" i="7"/>
  <c r="G14" i="9" s="1"/>
  <c r="H15" i="7"/>
  <c r="H20" i="7"/>
  <c r="F12" i="10"/>
  <c r="G12" i="10"/>
  <c r="G13" i="10" s="1"/>
  <c r="G14" i="10" s="1"/>
  <c r="B22" i="5" s="1"/>
  <c r="G51" i="9"/>
  <c r="C11" i="8"/>
  <c r="C13" i="8"/>
  <c r="J24" i="9"/>
  <c r="G15" i="9"/>
  <c r="H14" i="9" s="1"/>
  <c r="J51" i="9"/>
  <c r="C17" i="8" s="1"/>
  <c r="B12" i="5"/>
  <c r="F17" i="9"/>
  <c r="I17" i="9" s="1"/>
  <c r="J17" i="9" s="1"/>
  <c r="C15" i="8" s="1"/>
  <c r="G6" i="3"/>
  <c r="D6" i="3" s="1"/>
  <c r="G5" i="3"/>
  <c r="G8" i="3"/>
  <c r="D8" i="3" s="1"/>
  <c r="G7" i="3"/>
  <c r="D7" i="3" s="1"/>
  <c r="G24" i="9"/>
  <c r="H21" i="9" s="1"/>
  <c r="B10" i="5"/>
  <c r="H17" i="14"/>
  <c r="I17" i="14" s="1"/>
  <c r="E11" i="14"/>
  <c r="I11" i="14" s="1"/>
  <c r="B27" i="5" s="1"/>
  <c r="I9" i="14"/>
  <c r="B26" i="5" s="1"/>
  <c r="J41" i="9"/>
  <c r="B9" i="5"/>
  <c r="B23" i="5"/>
  <c r="G31" i="9"/>
  <c r="J31" i="9" s="1"/>
  <c r="C26" i="8" s="1"/>
  <c r="O10" i="15"/>
  <c r="B14" i="5"/>
  <c r="F17" i="16"/>
  <c r="F22" i="16"/>
  <c r="G41" i="9"/>
  <c r="N22" i="16"/>
  <c r="O22" i="16"/>
  <c r="G27" i="9"/>
  <c r="I8" i="14"/>
  <c r="G9" i="16"/>
  <c r="N9" i="16" s="1"/>
  <c r="N23" i="16" l="1"/>
  <c r="G52" i="9"/>
  <c r="G53" i="9" s="1"/>
  <c r="B13" i="5"/>
  <c r="H41" i="9"/>
  <c r="H20" i="9"/>
  <c r="D5" i="3"/>
  <c r="G9" i="3"/>
  <c r="H23" i="9"/>
  <c r="B11" i="5"/>
  <c r="B8" i="5"/>
  <c r="D55" i="9"/>
  <c r="F9" i="16"/>
  <c r="O9" i="16"/>
  <c r="O23" i="16" s="1"/>
  <c r="J52" i="9"/>
  <c r="J53" i="9" s="1"/>
  <c r="C16" i="8"/>
  <c r="C18" i="8" s="1"/>
  <c r="C12" i="2"/>
  <c r="D18" i="2" s="1"/>
  <c r="H22" i="9"/>
  <c r="J14" i="14"/>
  <c r="D14" i="14" s="1"/>
  <c r="H14" i="14" s="1"/>
  <c r="G28" i="9"/>
  <c r="D54" i="9"/>
  <c r="C14" i="8"/>
  <c r="E19" i="14"/>
  <c r="E20" i="14" s="1"/>
  <c r="P9" i="16"/>
  <c r="P23" i="16" s="1"/>
  <c r="C19" i="8" l="1"/>
  <c r="I14" i="14"/>
  <c r="H19" i="14"/>
  <c r="H20" i="14" s="1"/>
  <c r="B15" i="5"/>
  <c r="B16" i="5" s="1"/>
  <c r="B21" i="5" s="1"/>
  <c r="C11" i="5" s="1"/>
  <c r="G30" i="9"/>
  <c r="B20" i="5"/>
  <c r="B18" i="5"/>
  <c r="G56" i="9"/>
  <c r="C20" i="8"/>
  <c r="J55" i="9"/>
  <c r="H52" i="9"/>
  <c r="H40" i="9"/>
  <c r="H36" i="9"/>
  <c r="H50" i="9"/>
  <c r="H39" i="9"/>
  <c r="H35" i="9"/>
  <c r="H45" i="9"/>
  <c r="H42" i="9"/>
  <c r="H51" i="9"/>
  <c r="H49" i="9"/>
  <c r="H48" i="9"/>
  <c r="H43" i="9"/>
  <c r="H37" i="9"/>
  <c r="H47" i="9"/>
  <c r="H46" i="9"/>
  <c r="H34" i="9"/>
  <c r="H44" i="9"/>
  <c r="H38" i="9"/>
  <c r="R9" i="16"/>
  <c r="J54" i="9"/>
  <c r="C22" i="8"/>
  <c r="R23" i="16"/>
  <c r="J56" i="9" l="1"/>
  <c r="J57" i="9" s="1"/>
  <c r="J58" i="9" s="1"/>
  <c r="C21" i="5"/>
  <c r="C19" i="5"/>
  <c r="C17" i="5"/>
  <c r="C9" i="5"/>
  <c r="C10" i="5"/>
  <c r="C12" i="5"/>
  <c r="C14" i="5"/>
  <c r="H29" i="9"/>
  <c r="H27" i="9"/>
  <c r="C8" i="5"/>
  <c r="H28" i="9"/>
  <c r="H30" i="9" s="1"/>
  <c r="C13" i="5"/>
  <c r="B30" i="5"/>
  <c r="I19" i="14"/>
  <c r="G57" i="9"/>
  <c r="C24" i="8"/>
  <c r="D20" i="8" s="1"/>
  <c r="C15" i="5"/>
  <c r="I20" i="14" l="1"/>
  <c r="I21" i="14" s="1"/>
  <c r="C29" i="8"/>
  <c r="C30" i="8" s="1"/>
  <c r="D24" i="8"/>
  <c r="C27" i="8"/>
  <c r="D12" i="8"/>
  <c r="D15" i="8"/>
  <c r="D17" i="8"/>
  <c r="D11" i="8"/>
  <c r="D13" i="8"/>
  <c r="D18" i="8"/>
  <c r="D16" i="8"/>
  <c r="D14" i="8"/>
  <c r="B24" i="5"/>
  <c r="G58" i="9"/>
  <c r="D22" i="8"/>
  <c r="C36" i="8" l="1"/>
  <c r="C37" i="8"/>
  <c r="B33" i="5"/>
  <c r="B34" i="5" l="1"/>
  <c r="C38" i="8"/>
  <c r="C39" i="8" l="1"/>
  <c r="B35" i="5"/>
  <c r="B36" i="5" l="1"/>
  <c r="D35" i="5"/>
  <c r="D19" i="5"/>
  <c r="D32" i="5"/>
  <c r="D17" i="5"/>
  <c r="D10" i="5"/>
  <c r="D28" i="5"/>
  <c r="D14" i="5"/>
  <c r="D22" i="5"/>
  <c r="D9" i="5"/>
  <c r="D27" i="5"/>
  <c r="D23" i="5"/>
  <c r="D12" i="5"/>
  <c r="D26" i="5"/>
  <c r="D13" i="5"/>
  <c r="D11" i="5"/>
  <c r="D8" i="5"/>
  <c r="D21" i="5"/>
  <c r="D15" i="5"/>
  <c r="D30" i="5"/>
  <c r="D24" i="5"/>
  <c r="D33" i="5"/>
  <c r="D34" i="5"/>
  <c r="E39" i="8"/>
  <c r="C40" i="8"/>
  <c r="E32" i="8" l="1"/>
  <c r="E31" i="8"/>
  <c r="E35" i="8"/>
  <c r="C41" i="8"/>
  <c r="D11" i="11" s="1"/>
  <c r="E40" i="8"/>
  <c r="E33" i="8"/>
  <c r="E34" i="8"/>
  <c r="E25" i="8"/>
  <c r="E12" i="8"/>
  <c r="E15" i="8"/>
  <c r="E26" i="8"/>
  <c r="E17" i="8"/>
  <c r="E11" i="8"/>
  <c r="E13" i="8"/>
  <c r="E16" i="8"/>
  <c r="E18" i="8"/>
  <c r="E14" i="8"/>
  <c r="E20" i="8"/>
  <c r="E22" i="8"/>
  <c r="E24" i="8"/>
  <c r="E30" i="8"/>
  <c r="E27" i="8"/>
  <c r="E29" i="8"/>
  <c r="E37" i="8"/>
  <c r="E36" i="8"/>
  <c r="E38" i="8"/>
  <c r="C10" i="1"/>
  <c r="C9" i="2"/>
  <c r="B18" i="2" s="1"/>
  <c r="C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<sst xmlns="http://schemas.openxmlformats.org/spreadsheetml/2006/main" count="671" uniqueCount="413">
  <si>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</si>
  <si>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</si>
  <si>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</si>
  <si>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</si>
  <si>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</si>
  <si>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</si>
  <si>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</si>
  <si>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</si>
  <si>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</si>
  <si>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</si>
  <si>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</si>
  <si>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</si>
  <si>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</si>
  <si>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</si>
  <si>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</si>
  <si>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</si>
  <si>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</si>
  <si>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</si>
  <si>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</si>
  <si>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</si>
  <si>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</si>
  <si>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</si>
  <si>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</si>
  <si>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</si>
  <si>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</si>
  <si>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</si>
  <si>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</si>
  <si>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</si>
  <si>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</si>
  <si>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</si>
  <si>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</si>
  <si>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</si>
  <si>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</si>
  <si>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</si>
  <si>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</si>
  <si>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</si>
  <si>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</si>
  <si>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</si>
  <si>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</si>
  <si>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</si>
  <si>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</si>
  <si>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</si>
  <si>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</si>
  <si>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</si>
  <si>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</si>
  <si>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</si>
  <si>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</si>
  <si>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</si>
  <si>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</si>
  <si>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</si>
  <si>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</si>
  <si>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</si>
  <si>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</si>
  <si>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</si>
  <si>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</si>
  <si>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</si>
  <si>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</si>
  <si>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</si>
  <si>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</si>
  <si>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</si>
  <si>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</si>
  <si>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</si>
  <si>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</si>
  <si>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</si>
  <si>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</si>
  <si>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</si>
  <si>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</si>
  <si>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</si>
  <si>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</si>
  <si>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</si>
  <si>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</si>
  <si>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</si>
  <si>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</si>
  <si>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</si>
  <si>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</si>
  <si>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</si>
  <si>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</si>
  <si>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</si>
  <si>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</si>
  <si>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</si>
  <si>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</si>
  <si>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</si>
  <si>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</si>
  <si>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</si>
  <si>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</si>
  <si>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</si>
  <si>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</si>
  <si>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</si>
  <si>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</si>
  <si>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</si>
  <si>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</si>
  <si>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</si>
  <si>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</si>
  <si>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</si>
  <si>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</si>
  <si>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</si>
  <si>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</si>
  <si>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</si>
  <si>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</si>
  <si>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</si>
  <si>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</si>
  <si>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</si>
  <si>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</si>
  <si>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</si>
  <si>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</si>
  <si>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</si>
  <si>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</si>
  <si>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</si>
  <si>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</si>
  <si>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</si>
  <si>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</si>
  <si>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</si>
  <si>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</si>
  <si>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</si>
  <si>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</si>
  <si>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</si>
  <si>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</si>
  <si>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</si>
  <si>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</si>
  <si>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</si>
  <si>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</si>
  <si>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</si>
  <si>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</si>
  <si>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</si>
  <si>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</si>
  <si>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</si>
  <si>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</si>
  <si>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</si>
  <si>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</si>
  <si>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</si>
  <si>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</si>
  <si>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</si>
  <si>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</si>
  <si>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</si>
  <si>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</si>
  <si>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</si>
  <si>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</si>
  <si>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</si>
  <si>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</si>
  <si>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</si>
  <si>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</si>
  <si>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</si>
  <si>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</si>
  <si>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</si>
  <si>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</si>
  <si>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</si>
  <si>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</si>
  <si>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</si>
  <si>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</si>
  <si>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</si>
  <si>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</si>
  <si>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</si>
  <si>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</si>
  <si>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</si>
  <si>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</si>
  <si>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</si>
  <si>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</si>
  <si>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</si>
  <si>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</si>
  <si>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</si>
  <si>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</si>
  <si>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</si>
  <si>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</si>
  <si>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</si>
  <si>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</si>
  <si>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</si>
  <si>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</si>
  <si>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</si>
  <si>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</si>
  <si>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</si>
  <si>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</si>
  <si>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</si>
  <si>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</si>
  <si>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</si>
  <si>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</si>
  <si>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</si>
  <si>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</si>
  <si>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</si>
  <si>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</si>
  <si>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</si>
  <si>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</si>
  <si>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</si>
  <si>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</si>
  <si>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</si>
  <si>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</si>
  <si>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</si>
  <si>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</si>
  <si>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</si>
  <si>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</si>
  <si>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</si>
  <si>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</si>
  <si>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</si>
  <si>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</si>
  <si>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</si>
  <si>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</si>
  <si>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</si>
  <si>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</si>
  <si>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</si>
  <si>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</si>
  <si>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</si>
  <si>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</si>
  <si>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</si>
  <si>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</si>
  <si>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</si>
  <si>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</si>
  <si>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</si>
  <si>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</si>
  <si>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</si>
  <si>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</si>
  <si>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</si>
  <si>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</si>
  <si>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</si>
  <si>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</si>
  <si>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</si>
  <si>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</si>
  <si>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</si>
  <si>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</si>
  <si>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</si>
  <si>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</si>
  <si>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</si>
  <si>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</si>
  <si>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</si>
  <si>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</si>
  <si>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</si>
  <si>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</si>
  <si>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</si>
  <si>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</si>
  <si>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</si>
  <si>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</si>
  <si>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</si>
  <si>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</si>
  <si>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</si>
  <si>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</si>
  <si>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</si>
  <si>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</si>
  <si>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</si>
  <si>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</si>
  <si>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</si>
  <si>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</si>
  <si>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</si>
  <si>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</si>
  <si>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</si>
  <si>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</si>
  <si>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</si>
  <si>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</si>
  <si>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</si>
  <si>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</si>
  <si>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</si>
  <si>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</si>
  <si>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</si>
  <si>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</si>
  <si>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</si>
  <si>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</si>
  <si>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</si>
  <si>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</si>
  <si>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</si>
  <si>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</si>
  <si>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</si>
  <si>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</si>
  <si>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</si>
  <si>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</si>
  <si>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</si>
  <si>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</si>
  <si>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</si>
  <si>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</si>
  <si>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</si>
  <si>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</si>
  <si>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</si>
  <si>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</si>
  <si>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</si>
  <si>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</si>
  <si>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</si>
  <si>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</si>
  <si>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</si>
  <si>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</si>
  <si>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</si>
  <si>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</si>
  <si>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</si>
  <si>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</si>
  <si>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</si>
  <si>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</si>
  <si>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</si>
  <si>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</si>
  <si>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</si>
  <si>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</si>
  <si>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</si>
  <si>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</si>
  <si>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</si>
  <si>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</si>
  <si>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</si>
  <si>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</si>
  <si>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</si>
  <si>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</si>
  <si>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</si>
  <si>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</si>
  <si>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</si>
  <si>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</si>
  <si>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</si>
  <si>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</si>
  <si>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</si>
  <si>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</si>
  <si>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</si>
  <si>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</si>
  <si>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</si>
  <si>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</si>
  <si>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</si>
  <si>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</si>
  <si>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</si>
  <si>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</si>
  <si>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</si>
  <si>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</si>
  <si>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</si>
  <si>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</si>
  <si>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</si>
  <si>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</si>
  <si>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</si>
  <si>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</si>
  <si>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</si>
  <si>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</si>
  <si>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</si>
  <si>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</si>
  <si>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</si>
  <si>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</si>
  <si>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</si>
  <si>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</si>
  <si>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</si>
  <si>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</si>
  <si>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</si>
  <si>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</si>
  <si>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</si>
  <si>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</si>
  <si>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</si>
  <si>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</si>
  <si>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</si>
  <si>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</si>
  <si>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</si>
  <si>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</si>
  <si>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</si>
  <si>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</si>
  <si>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</si>
  <si>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</si>
  <si>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</si>
  <si>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</si>
  <si>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</si>
  <si>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</si>
  <si>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</si>
  <si>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</si>
  <si>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</si>
  <si>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</si>
  <si>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</si>
  <si>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</si>
  <si>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</si>
  <si>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</si>
  <si>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</si>
  <si>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</si>
  <si>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</si>
  <si>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</si>
  <si>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</si>
  <si>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</si>
  <si>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</si>
  <si>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</si>
  <si>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</si>
  <si>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</si>
  <si>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</si>
  <si>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</si>
  <si>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</si>
  <si>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</si>
  <si>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</si>
  <si>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</si>
  <si>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</si>
  <si>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</si>
  <si>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</si>
  <si>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</si>
  <si>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</si>
  <si>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</si>
  <si>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</si>
  <si>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</si>
  <si>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</si>
  <si>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</si>
  <si>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</si>
  <si>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</si>
  <si>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</si>
  <si>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</si>
  <si>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</si>
  <si>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</si>
  <si>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</si>
  <si>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</si>
  <si>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</si>
  <si>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</si>
  <si>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</si>
  <si>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</si>
  <si>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</si>
  <si>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</si>
  <si>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</si>
  <si>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ПС.</t>
  </si>
  <si>
    <t>АРМ - 1 шт</t>
  </si>
  <si>
    <t>IIВ</t>
  </si>
  <si>
    <t>1 ПС.</t>
  </si>
  <si>
    <t>Наименование разрабатываемого показателя УНЦ — Постоянная часть ПС, АРМ ПС 110 кВ</t>
  </si>
  <si>
    <t>Наименование разрабатываемого показателя УНЦ —  Постоянная часть ПС, АРМ ПС 110 кВ</t>
  </si>
  <si>
    <t>Наименование разрабатываемого показателя УНЦ - Постоянная часть ПС, АРМ ПС 110 кВ</t>
  </si>
  <si>
    <t>Постоянная часть ПС, АРМ ПС 110 кВ</t>
  </si>
  <si>
    <t>УНЦ постоянной части ПС 110 кВ</t>
  </si>
  <si>
    <t>З1-02</t>
  </si>
  <si>
    <t>ПС 110 кВ Джуракская</t>
  </si>
  <si>
    <t>Республика Калмыкия</t>
  </si>
  <si>
    <t>З1_ПС_АРМ_110_кВ</t>
  </si>
  <si>
    <t>Прайс из СД ОП</t>
  </si>
  <si>
    <t>Сметная стоимость в уровне цен 2 кв. 2020 г., тыс. руб.</t>
  </si>
  <si>
    <t>Всего по объекту в сопоставимом уровне цен 2 кв. 2020 г:</t>
  </si>
  <si>
    <t>АРМ ПС 110 кВ</t>
  </si>
  <si>
    <t>Сопоставимый уровень цен: 2 квартал 2020г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</si>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</sst>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FF9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u/>
      <sz val="10"/>
      <color rgb="FF000000"/>
      <name val="Arial"/>
      <family val="2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944">
    <xf numFmtId="0" fontId="0" fillId="0" borderId="0"/>
    <xf numFmtId="0" fontId="1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43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3" fontId="50" fillId="0" borderId="0" applyFill="0" applyBorder="0" applyAlignment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3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3" fontId="5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33" fillId="0" borderId="0" applyFont="0" applyFill="0" applyBorder="0" applyAlignment="0" applyProtection="0"/>
    <xf numFmtId="174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3" fontId="56" fillId="0" borderId="0" applyFill="0" applyBorder="0" applyAlignment="0"/>
    <xf numFmtId="174" fontId="56" fillId="0" borderId="0" applyFill="0" applyBorder="0" applyAlignment="0"/>
    <xf numFmtId="173" fontId="56" fillId="0" borderId="0" applyFill="0" applyBorder="0" applyAlignment="0"/>
    <xf numFmtId="178" fontId="56" fillId="0" borderId="0" applyFill="0" applyBorder="0" applyAlignment="0"/>
    <xf numFmtId="174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3" fontId="65" fillId="0" borderId="0" applyFill="0" applyBorder="0" applyAlignment="0"/>
    <xf numFmtId="174" fontId="65" fillId="0" borderId="0" applyFill="0" applyBorder="0" applyAlignment="0"/>
    <xf numFmtId="173" fontId="65" fillId="0" borderId="0" applyFill="0" applyBorder="0" applyAlignment="0"/>
    <xf numFmtId="178" fontId="65" fillId="0" borderId="0" applyFill="0" applyBorder="0" applyAlignment="0"/>
    <xf numFmtId="174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7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3" fontId="70" fillId="0" borderId="0" applyFill="0" applyBorder="0" applyAlignment="0"/>
    <xf numFmtId="174" fontId="70" fillId="0" borderId="0" applyFill="0" applyBorder="0" applyAlignment="0"/>
    <xf numFmtId="173" fontId="70" fillId="0" borderId="0" applyFill="0" applyBorder="0" applyAlignment="0"/>
    <xf numFmtId="178" fontId="70" fillId="0" borderId="0" applyFill="0" applyBorder="0" applyAlignment="0"/>
    <xf numFmtId="174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2" fontId="50" fillId="0" borderId="0" applyFill="0" applyBorder="0" applyAlignment="0"/>
    <xf numFmtId="183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4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36" fillId="0" borderId="0"/>
    <xf numFmtId="184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85" fontId="34" fillId="0" borderId="0" applyFont="0" applyFill="0" applyBorder="0" applyAlignment="0" applyProtection="0"/>
    <xf numFmtId="172" fontId="9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4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</cellStyleXfs>
  <cellXfs count="4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10" fontId="5" fillId="0" borderId="0" xfId="0" applyNumberFormat="1" applyFont="1"/>
    <xf numFmtId="10" fontId="2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justify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2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9" fillId="0" borderId="0" xfId="0" applyFont="1"/>
    <xf numFmtId="49" fontId="17" fillId="0" borderId="1" xfId="0" applyNumberFormat="1" applyFont="1" applyBorder="1" applyAlignment="1">
      <alignment horizontal="left" vertical="center" wrapText="1"/>
    </xf>
    <xf numFmtId="2" fontId="17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 vertical="center" wrapText="1"/>
    </xf>
    <xf numFmtId="2" fontId="20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22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justify" vertical="center"/>
    </xf>
    <xf numFmtId="0" fontId="0" fillId="0" borderId="0" xfId="0"/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8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7" fillId="0" borderId="5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10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10" fontId="2" fillId="4" borderId="1" xfId="0" applyNumberFormat="1" applyFont="1" applyFill="1" applyBorder="1" applyAlignment="1">
      <alignment vertical="center"/>
    </xf>
    <xf numFmtId="0" fontId="17" fillId="0" borderId="0" xfId="0" applyFont="1"/>
    <xf numFmtId="0" fontId="0" fillId="0" borderId="0" xfId="0"/>
    <xf numFmtId="0" fontId="20" fillId="0" borderId="0" xfId="0" applyFont="1"/>
    <xf numFmtId="4" fontId="17" fillId="0" borderId="0" xfId="0" applyNumberFormat="1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0" fontId="3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/>
    </xf>
    <xf numFmtId="0" fontId="31" fillId="0" borderId="0" xfId="0" applyFont="1" applyAlignment="1">
      <alignment horizontal="justify" vertical="center"/>
    </xf>
    <xf numFmtId="0" fontId="2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right" vertical="center" wrapText="1"/>
    </xf>
    <xf numFmtId="0" fontId="31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3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right" vertical="center" wrapText="1"/>
    </xf>
    <xf numFmtId="10" fontId="2" fillId="4" borderId="8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right" vertical="center" wrapText="1"/>
    </xf>
    <xf numFmtId="10" fontId="3" fillId="4" borderId="2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3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4" fontId="32" fillId="0" borderId="0" xfId="0" applyNumberFormat="1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2" fontId="20" fillId="0" borderId="7" xfId="0" applyNumberFormat="1" applyFont="1" applyBorder="1" applyAlignment="1">
      <alignment horizontal="center" vertical="center" wrapText="1"/>
    </xf>
  </cellXfs>
  <cellStyles count="944">
    <cellStyle name=" 1" xfId="6" xr:uid="{DAF560EC-903A-4495-A7EF-A76D919EBF22}"/>
    <cellStyle name="_2008г. и 4кв" xfId="7" xr:uid="{9A22156D-EF71-4B84-B9C0-30954126E39E}"/>
    <cellStyle name="_4_macro 2009" xfId="8" xr:uid="{9194B17C-B202-472F-A517-B3BB87EBA933}"/>
    <cellStyle name="_Condition-long(2012-2030)нах" xfId="9" xr:uid="{9D256EA3-E091-4747-90CA-663A5188E40B}"/>
    <cellStyle name="_CPI foodimp" xfId="10" xr:uid="{5DA3B003-D8EE-4010-A5E8-D759E9CA10CB}"/>
    <cellStyle name="_macro 2012 var 1" xfId="11" xr:uid="{FF022186-E2A8-4581-9BFD-B7F66E37AA81}"/>
    <cellStyle name="_SeriesAttributes" xfId="12" xr:uid="{6AAEA622-20C7-4127-A565-0273722DF6C7}"/>
    <cellStyle name="_SeriesAttributes 2" xfId="686" xr:uid="{7BD2AA2F-C5C9-4EBE-B8BA-F8CCAAFD488B}"/>
    <cellStyle name="_v2008-2012-15.12.09вар(2)-11.2030" xfId="13" xr:uid="{CB20F0BE-2F9D-4229-880F-D568755E0A9B}"/>
    <cellStyle name="_v-2013-2030- 2b17.01.11Нах-cpiнов. курс inn 1-2-Е1xls" xfId="14" xr:uid="{996CDC36-1D93-4E7A-A7CA-33AF28E5CD64}"/>
    <cellStyle name="_Газ-расчет-16 0508Клдо 2023" xfId="15" xr:uid="{47044EA1-D158-4F50-8557-CEBEAD09DAB4}"/>
    <cellStyle name="_Газ-расчет-net-back 21,12.09 до 2030 в2" xfId="16" xr:uid="{BE81BC8F-9504-47AC-8297-C22F7A0D2B69}"/>
    <cellStyle name="_ИПЦЖКХ2105 08-до 2023вар1" xfId="17" xr:uid="{7F070DC8-B68E-417E-B7CF-0211A00FD58E}"/>
    <cellStyle name="_Книга1" xfId="18" xr:uid="{EB71C66E-971C-4F1D-B130-9C60F36C5A30}"/>
    <cellStyle name="_Книга3" xfId="19" xr:uid="{2FC281F1-C749-4652-8500-E338F3915E94}"/>
    <cellStyle name="_Копия Condition-все вар13.12.08" xfId="20" xr:uid="{FB9E0DD6-F568-42D9-B938-0122BEBB8879}"/>
    <cellStyle name="_курсовые разницы 01,06,08" xfId="21" xr:uid="{4254555C-81F5-4F18-8E56-764390F2E840}"/>
    <cellStyle name="_Макро_2030 год" xfId="22" xr:uid="{447C6F0D-2E39-4461-AFBF-94CF5970AA0D}"/>
    <cellStyle name="_Модель - 2(23)" xfId="23" xr:uid="{2C48DE6D-2F2C-4127-8C42-223BBFB2A177}"/>
    <cellStyle name="_Правила заполнения" xfId="24" xr:uid="{65DCD1A6-7D91-470B-B8C6-FF18D6864DA4}"/>
    <cellStyle name="_Сб-macro 2020" xfId="25" xr:uid="{0D595C03-FBB6-48FE-9A9A-8266E8924C00}"/>
    <cellStyle name="_Сб-macro 2020_v2008-2012-15.12.09вар(2)-11.2030" xfId="26" xr:uid="{71433DC2-19D4-46B8-9230-935B3B14C98E}"/>
    <cellStyle name="_Сб-macro 2020_v2008-2012-23.09.09вар2а-11" xfId="27" xr:uid="{912E7738-014C-4909-8C5D-D03199986E68}"/>
    <cellStyle name="_ЦФ  реализация акций 2008-2010" xfId="28" xr:uid="{DBE9AAF2-4A68-4D06-9978-9EC8BC2CEFEA}"/>
    <cellStyle name="_ЦФ  реализация акций 2008-2010_акции по годам 2009-2012" xfId="29" xr:uid="{32D603D2-E8F2-4D95-A8EC-45DCBB60B3F5}"/>
    <cellStyle name="_ЦФ  реализация акций 2008-2010_Копия Прогноз ПТРдо 2030г  (3)" xfId="30" xr:uid="{C7B70CE2-0527-4FBB-8FB5-BC8ABC619136}"/>
    <cellStyle name="_ЦФ  реализация акций 2008-2010_Прогноз ПТРдо 2030г." xfId="31" xr:uid="{FCC65D12-12C7-4D5E-A5C2-A3F7C0E8365D}"/>
    <cellStyle name="1Normal" xfId="32" xr:uid="{6175AD8B-8012-433F-BF62-3D792A3C09B8}"/>
    <cellStyle name="20% - Accent1" xfId="33" xr:uid="{FAD39EA9-820E-4C06-A137-30499ED64EFB}"/>
    <cellStyle name="20% - Accent2" xfId="34" xr:uid="{5F8B0CA7-93B0-4088-9865-D879C9F51C86}"/>
    <cellStyle name="20% - Accent3" xfId="35" xr:uid="{098DA738-CB64-4AB6-A66A-C72EE286A909}"/>
    <cellStyle name="20% - Accent4" xfId="36" xr:uid="{DF254B1A-F9C3-4443-9A86-39C4825AC3AA}"/>
    <cellStyle name="20% - Accent5" xfId="37" xr:uid="{5B523780-87FC-4BD5-8B86-E55173104818}"/>
    <cellStyle name="20% - Accent6" xfId="38" xr:uid="{686409F1-317A-44F0-8AF8-2E7D8243AACD}"/>
    <cellStyle name="20% - Акцент6 2" xfId="39" xr:uid="{65FE475E-3365-4C2D-9E85-F86C54403E3F}"/>
    <cellStyle name="40% - Accent1" xfId="40" xr:uid="{0F07E4F3-A1BF-4BA3-9CFD-E9DABF6B310D}"/>
    <cellStyle name="40% - Accent2" xfId="41" xr:uid="{D88176C2-ABDA-45B6-AC73-6AB14D42D473}"/>
    <cellStyle name="40% - Accent3" xfId="42" xr:uid="{F7DD61B6-1EF7-4667-A191-90A1587BFA80}"/>
    <cellStyle name="40% - Accent4" xfId="43" xr:uid="{87EB7753-B1B2-4974-BEA6-69C2893A9F3A}"/>
    <cellStyle name="40% - Accent5" xfId="44" xr:uid="{CF27DB90-9FE2-472A-A10B-44D7278F8460}"/>
    <cellStyle name="40% - Accent6" xfId="45" xr:uid="{3FA9F782-27DF-4B39-9889-9966063892F2}"/>
    <cellStyle name="60% - Accent1" xfId="46" xr:uid="{C48FCB2D-7C93-44F9-A06B-534DC87FC39A}"/>
    <cellStyle name="60% - Accent2" xfId="47" xr:uid="{5F5A084E-E13E-4D33-9BB7-CA0817551C0E}"/>
    <cellStyle name="60% - Accent3" xfId="48" xr:uid="{D27B89ED-0A9D-44C7-A683-4EC849658A9A}"/>
    <cellStyle name="60% - Accent4" xfId="49" xr:uid="{EBAA2222-35D6-4E72-8F02-18BA246BA09E}"/>
    <cellStyle name="60% - Accent5" xfId="50" xr:uid="{C98B7CF5-09BF-47DF-9713-AEB9514CDB28}"/>
    <cellStyle name="60% - Accent6" xfId="51" xr:uid="{27927070-F713-4B49-85A1-951741CA3642}"/>
    <cellStyle name="Accent1" xfId="52" xr:uid="{DB2A1B25-D5E7-4464-9B7F-C02093DFE6E3}"/>
    <cellStyle name="Accent1 - 20%" xfId="53" xr:uid="{C10256BA-BF1F-4372-A384-77525A2A5711}"/>
    <cellStyle name="Accent1 - 20% 2" xfId="54" xr:uid="{DB42CE64-6CAE-4B18-AB31-1B0AB978B94B}"/>
    <cellStyle name="Accent1 - 20% 3" xfId="55" xr:uid="{EE074D60-7B06-4E8F-86B1-7A510B52ECE5}"/>
    <cellStyle name="Accent1 - 20% 4" xfId="56" xr:uid="{6FD04794-390F-441E-A90D-CE19D746C73F}"/>
    <cellStyle name="Accent1 - 20% 5" xfId="57" xr:uid="{58A657A7-F7E6-46CA-B573-2F9A6D76F9B1}"/>
    <cellStyle name="Accent1 - 20% 6" xfId="58" xr:uid="{2E95C971-E612-4F19-9B62-B17B6225708F}"/>
    <cellStyle name="Accent1 - 40%" xfId="59" xr:uid="{DB0E9DCB-C4E1-4F34-A984-88955F61B7D5}"/>
    <cellStyle name="Accent1 - 40% 2" xfId="60" xr:uid="{D83359D9-F4B9-48CA-80A5-D0EA9E386098}"/>
    <cellStyle name="Accent1 - 40% 3" xfId="61" xr:uid="{8DC18790-5CCF-462A-9910-D3359072791F}"/>
    <cellStyle name="Accent1 - 40% 4" xfId="62" xr:uid="{0CA5927F-5052-4496-A7EB-59AA132849DD}"/>
    <cellStyle name="Accent1 - 40% 5" xfId="63" xr:uid="{29C7F6FD-9611-4947-8350-CA3E22DA304B}"/>
    <cellStyle name="Accent1 - 40% 6" xfId="64" xr:uid="{79A50D77-4FC9-45C6-A960-93771995EEDF}"/>
    <cellStyle name="Accent1 - 60%" xfId="65" xr:uid="{6AF21150-C3F4-49E6-AEFE-B450C1DD3061}"/>
    <cellStyle name="Accent1 - 60% 2" xfId="66" xr:uid="{F02AC929-B781-4A4A-B9D9-0BC4F9FE1A21}"/>
    <cellStyle name="Accent1 - 60% 3" xfId="67" xr:uid="{071F6BF4-47ED-4E78-8D88-806D01291DE2}"/>
    <cellStyle name="Accent1 - 60% 4" xfId="68" xr:uid="{5E51D85C-7FF0-44CA-BCFB-189CBE80BD6C}"/>
    <cellStyle name="Accent1 - 60% 5" xfId="69" xr:uid="{5F5D456B-A3E2-4C27-9D5B-84EB5A8C0E2F}"/>
    <cellStyle name="Accent1 - 60% 6" xfId="70" xr:uid="{9570897F-F4A0-4FF4-875A-02F646AD7E15}"/>
    <cellStyle name="Accent1_акции по годам 2009-2012" xfId="71" xr:uid="{E05A1D86-63F2-4F1F-A722-D9F23E48076D}"/>
    <cellStyle name="Accent2" xfId="72" xr:uid="{94638D3D-0135-4FBC-BFD1-FB6A24CE0303}"/>
    <cellStyle name="Accent2 - 20%" xfId="73" xr:uid="{15BFDDAA-0E78-43A1-B79C-27FFD8D871D5}"/>
    <cellStyle name="Accent2 - 20% 2" xfId="74" xr:uid="{56BE8017-CA18-496B-B1D6-3542B060C28C}"/>
    <cellStyle name="Accent2 - 20% 3" xfId="75" xr:uid="{DBDACB17-FC11-45D4-9661-7F546BDB5410}"/>
    <cellStyle name="Accent2 - 20% 4" xfId="76" xr:uid="{9EF0F58D-3A95-4942-AB71-6B58C27D0502}"/>
    <cellStyle name="Accent2 - 20% 5" xfId="77" xr:uid="{DBB27C6C-9CE3-4D85-930E-8AD02D8A7D21}"/>
    <cellStyle name="Accent2 - 20% 6" xfId="78" xr:uid="{2A0C29FA-21AF-49F2-9BD5-EBF3D54168C8}"/>
    <cellStyle name="Accent2 - 40%" xfId="79" xr:uid="{90F1DE84-7A82-4A06-ABAA-C8BAEF6F533D}"/>
    <cellStyle name="Accent2 - 40% 2" xfId="80" xr:uid="{51208E1F-DC9A-4BA0-9AFC-A0CB36335DBF}"/>
    <cellStyle name="Accent2 - 40% 3" xfId="81" xr:uid="{D8F1DF78-F27E-4263-A3C0-00C5630276BE}"/>
    <cellStyle name="Accent2 - 40% 4" xfId="82" xr:uid="{FBB2BF16-DA44-4A2C-B2D3-3FB892ADFC48}"/>
    <cellStyle name="Accent2 - 40% 5" xfId="83" xr:uid="{6B82C994-DF42-49EE-95F7-C7E98AD74CD7}"/>
    <cellStyle name="Accent2 - 40% 6" xfId="84" xr:uid="{4E7CF9E6-757A-4AE1-8A59-1F7E2B5F69D7}"/>
    <cellStyle name="Accent2 - 60%" xfId="85" xr:uid="{42A00CAA-5CB2-46D6-B6C6-D1626BC42D4F}"/>
    <cellStyle name="Accent2 - 60% 2" xfId="86" xr:uid="{0EA36DB9-E7BB-4B4D-B522-FC755D13CE10}"/>
    <cellStyle name="Accent2 - 60% 3" xfId="87" xr:uid="{20A1AC59-6F9C-44FE-AB50-CE647140F91F}"/>
    <cellStyle name="Accent2 - 60% 4" xfId="88" xr:uid="{DEE42B1D-0A61-489F-ADAE-98451A1CBA3C}"/>
    <cellStyle name="Accent2 - 60% 5" xfId="89" xr:uid="{83D445AB-6EE0-42ED-A966-F63495F25937}"/>
    <cellStyle name="Accent2 - 60% 6" xfId="90" xr:uid="{D8F21190-5C10-4E2E-8F5B-17706348FB0C}"/>
    <cellStyle name="Accent2_акции по годам 2009-2012" xfId="91" xr:uid="{3152EA7F-9FFA-4FAD-9A78-3B4115279CEC}"/>
    <cellStyle name="Accent3" xfId="92" xr:uid="{5C9DED46-5C1F-4076-A726-5781D086E558}"/>
    <cellStyle name="Accent3 - 20%" xfId="93" xr:uid="{1F5C7B72-8E77-468B-B069-FEE93A859D7E}"/>
    <cellStyle name="Accent3 - 20% 2" xfId="94" xr:uid="{87CB8606-7FB1-4553-AD7D-C1637B0B57E9}"/>
    <cellStyle name="Accent3 - 20% 3" xfId="95" xr:uid="{7E97830B-D240-4794-840A-5A7837322318}"/>
    <cellStyle name="Accent3 - 20% 4" xfId="96" xr:uid="{0DA1DC2A-7685-493F-92DB-2B76E543F8E3}"/>
    <cellStyle name="Accent3 - 20% 5" xfId="97" xr:uid="{A37ED671-A2A7-4E57-822B-4701E2ED918F}"/>
    <cellStyle name="Accent3 - 20% 6" xfId="98" xr:uid="{39B9094F-E121-4622-9133-560744D3305E}"/>
    <cellStyle name="Accent3 - 40%" xfId="99" xr:uid="{8F523D25-3620-4262-98DD-CE7C2442E8A7}"/>
    <cellStyle name="Accent3 - 40% 2" xfId="100" xr:uid="{E699307A-3724-45A0-A09C-CA2B06E6C73F}"/>
    <cellStyle name="Accent3 - 40% 3" xfId="101" xr:uid="{B44E2262-9523-4333-8D02-EB040D2FCF08}"/>
    <cellStyle name="Accent3 - 40% 4" xfId="102" xr:uid="{11704F07-87BE-4442-968E-4FF24197B6F2}"/>
    <cellStyle name="Accent3 - 40% 5" xfId="103" xr:uid="{3C0A429F-E9C1-4969-90FB-A339FB504780}"/>
    <cellStyle name="Accent3 - 40% 6" xfId="104" xr:uid="{2359F907-AC13-4D27-B8A9-026A97049D12}"/>
    <cellStyle name="Accent3 - 60%" xfId="105" xr:uid="{FD35CDAF-4F61-4CB6-A84B-B7A2FF5CDCD6}"/>
    <cellStyle name="Accent3 - 60% 2" xfId="106" xr:uid="{C086177A-941C-47FD-A456-D265831CE701}"/>
    <cellStyle name="Accent3 - 60% 3" xfId="107" xr:uid="{7B72F469-FBD5-4CFE-A78E-494116166B8D}"/>
    <cellStyle name="Accent3 - 60% 4" xfId="108" xr:uid="{0532C551-7871-4F0C-84A5-78DE9645CC80}"/>
    <cellStyle name="Accent3 - 60% 5" xfId="109" xr:uid="{1DED2C10-E40B-4716-B1AA-DA093F424FAF}"/>
    <cellStyle name="Accent3 - 60% 6" xfId="110" xr:uid="{6151EA6D-6F74-47D7-BCB0-D75C34B01ED7}"/>
    <cellStyle name="Accent3_7-р" xfId="111" xr:uid="{2D0DAEC4-8D4A-476B-96E1-D0C7B58694B4}"/>
    <cellStyle name="Accent4" xfId="112" xr:uid="{B3F235BE-4D2E-4634-8F01-CC4C2DCCC52F}"/>
    <cellStyle name="Accent4 - 20%" xfId="113" xr:uid="{160F7E77-A825-48B1-B44B-C6886D7D4650}"/>
    <cellStyle name="Accent4 - 20% 2" xfId="114" xr:uid="{41AF4612-7B7B-4B6F-BAFD-BD2113521F00}"/>
    <cellStyle name="Accent4 - 20% 3" xfId="115" xr:uid="{7EE48014-2A1A-4D7A-AEAB-E6466002ADA6}"/>
    <cellStyle name="Accent4 - 20% 4" xfId="116" xr:uid="{0E5F9968-AE61-4E3E-8782-9A61F11C16DF}"/>
    <cellStyle name="Accent4 - 20% 5" xfId="117" xr:uid="{050A0001-069C-4733-B232-07DFC8F9AE3C}"/>
    <cellStyle name="Accent4 - 20% 6" xfId="118" xr:uid="{F4D6F6FF-2D07-4FF7-820B-9D0E34A9C843}"/>
    <cellStyle name="Accent4 - 40%" xfId="119" xr:uid="{97D48536-25F7-47D7-8AF7-782989E1CF70}"/>
    <cellStyle name="Accent4 - 40% 2" xfId="120" xr:uid="{CB4AC70E-15EA-45C1-8748-9C8241474894}"/>
    <cellStyle name="Accent4 - 40% 3" xfId="121" xr:uid="{C3C0A384-89B5-4CCB-97BF-5A09DCE04575}"/>
    <cellStyle name="Accent4 - 40% 4" xfId="122" xr:uid="{F3BA1147-CF82-4FC3-9D98-6396B50C8A35}"/>
    <cellStyle name="Accent4 - 40% 5" xfId="123" xr:uid="{A0C9E51E-4B94-4274-A71E-97257A8AB4BE}"/>
    <cellStyle name="Accent4 - 40% 6" xfId="124" xr:uid="{ED0BDF18-DE9B-4BBB-9287-6996399F8612}"/>
    <cellStyle name="Accent4 - 60%" xfId="125" xr:uid="{0CA711A2-A399-4DC2-984D-CA00B57FDF5E}"/>
    <cellStyle name="Accent4 - 60% 2" xfId="126" xr:uid="{D86FD0D5-6604-4219-8F22-51112C0B97C2}"/>
    <cellStyle name="Accent4 - 60% 3" xfId="127" xr:uid="{B1948519-9A6B-41E4-BC02-E9AF52D16014}"/>
    <cellStyle name="Accent4 - 60% 4" xfId="128" xr:uid="{7292D040-B39C-4A1A-9036-A42BD6635CBF}"/>
    <cellStyle name="Accent4 - 60% 5" xfId="129" xr:uid="{09728741-ABD6-428D-9321-9BC85A4C076E}"/>
    <cellStyle name="Accent4 - 60% 6" xfId="130" xr:uid="{838E22AF-2E53-4104-B644-38C8F05C7E86}"/>
    <cellStyle name="Accent4_7-р" xfId="131" xr:uid="{EFF86361-A32A-43D5-AB19-9613C7FC9540}"/>
    <cellStyle name="Accent5" xfId="132" xr:uid="{D144D4A2-F09E-4F4A-AF8C-4BBF63540A7F}"/>
    <cellStyle name="Accent5 - 20%" xfId="133" xr:uid="{CD6736D2-A344-41F9-9A61-2E2687CD028B}"/>
    <cellStyle name="Accent5 - 20% 2" xfId="134" xr:uid="{C0435E9D-AA20-462F-90F3-B11E0892D8BF}"/>
    <cellStyle name="Accent5 - 20% 3" xfId="135" xr:uid="{1DB9B27D-BCE0-49A6-A7D4-2657D0DB2FCB}"/>
    <cellStyle name="Accent5 - 20% 4" xfId="136" xr:uid="{1FA31702-3DEE-4D88-9817-3F07656E9E46}"/>
    <cellStyle name="Accent5 - 20% 5" xfId="137" xr:uid="{E84E7EFA-3D0A-4D42-91C6-7833FEAC8CCA}"/>
    <cellStyle name="Accent5 - 20% 6" xfId="138" xr:uid="{31588D39-8EBC-4B03-974C-67E739588124}"/>
    <cellStyle name="Accent5 - 40%" xfId="139" xr:uid="{8569F741-5532-473A-AC13-7BFA1BEE8087}"/>
    <cellStyle name="Accent5 - 60%" xfId="140" xr:uid="{3A354DA4-1689-4CEB-BE52-92C3EB342C99}"/>
    <cellStyle name="Accent5 - 60% 2" xfId="141" xr:uid="{92B4ED01-B215-4D46-BEF3-299C762ACEDE}"/>
    <cellStyle name="Accent5 - 60% 3" xfId="142" xr:uid="{33C4C312-1C64-4A8C-8C48-C2A203021D00}"/>
    <cellStyle name="Accent5 - 60% 4" xfId="143" xr:uid="{824984BC-4E0F-4222-896B-27C9E3D4CB8D}"/>
    <cellStyle name="Accent5 - 60% 5" xfId="144" xr:uid="{039EED2D-D2A7-4518-A0FD-34866BEF5C3D}"/>
    <cellStyle name="Accent5 - 60% 6" xfId="145" xr:uid="{CC8F3E9E-B23D-4274-B9FB-01B031BFA4D9}"/>
    <cellStyle name="Accent5_7-р" xfId="146" xr:uid="{21B81FA6-9910-45F8-A167-E885D849B31D}"/>
    <cellStyle name="Accent6" xfId="147" xr:uid="{3D1242CB-EFC4-45A1-BAB4-14E116A28929}"/>
    <cellStyle name="Accent6 - 20%" xfId="148" xr:uid="{EB880116-DFDF-4632-BBA7-5842677DFB76}"/>
    <cellStyle name="Accent6 - 40%" xfId="149" xr:uid="{D8369D86-41FA-4153-8E25-5C1F98FAD3F3}"/>
    <cellStyle name="Accent6 - 40% 2" xfId="150" xr:uid="{A1BB0A29-22BE-4273-B59B-8B06FF8ACC39}"/>
    <cellStyle name="Accent6 - 40% 3" xfId="151" xr:uid="{CCD30682-7846-44AF-8264-37574A55AE6F}"/>
    <cellStyle name="Accent6 - 40% 4" xfId="152" xr:uid="{20F92D02-3852-46F7-ABD8-09E12FAEAC53}"/>
    <cellStyle name="Accent6 - 40% 5" xfId="153" xr:uid="{D89D86E1-D148-47E7-8B39-0EE17F61611C}"/>
    <cellStyle name="Accent6 - 40% 6" xfId="154" xr:uid="{4CA2F37B-8162-4559-93D5-FBC373DD8FA9}"/>
    <cellStyle name="Accent6 - 60%" xfId="155" xr:uid="{8F7C95B6-A971-49E6-A572-6BF5CA2E5883}"/>
    <cellStyle name="Accent6 - 60% 2" xfId="156" xr:uid="{6C88905A-69E1-4C50-8268-DD840BD55960}"/>
    <cellStyle name="Accent6 - 60% 3" xfId="157" xr:uid="{D9FC31EA-E418-49E4-8D79-7D02BD3AAF1C}"/>
    <cellStyle name="Accent6 - 60% 4" xfId="158" xr:uid="{4FFC5A71-AC33-4DC1-B33C-EF0EEE475804}"/>
    <cellStyle name="Accent6 - 60% 5" xfId="159" xr:uid="{FA1ECE26-68AA-457C-8DE4-9F873DB49355}"/>
    <cellStyle name="Accent6 - 60% 6" xfId="160" xr:uid="{D5518821-A7D5-4223-9E56-9B880FB83207}"/>
    <cellStyle name="Accent6_7-р" xfId="161" xr:uid="{2E1F6397-371B-41F1-A47B-DE7D86C125B0}"/>
    <cellStyle name="Annotations Cell - PerformancePoint" xfId="162" xr:uid="{C1017084-C8C2-4D60-A974-78C1CC198C13}"/>
    <cellStyle name="Arial007000001514155735" xfId="163" xr:uid="{55721DEC-B340-4B17-BDDB-19206C43F31A}"/>
    <cellStyle name="Arial007000001514155735 2" xfId="164" xr:uid="{C9BE9FC4-4A61-4563-A56D-FE3096151721}"/>
    <cellStyle name="Arial0070000015536870911" xfId="165" xr:uid="{F62D1781-0337-4748-AEA5-DAB0BCAAFDEE}"/>
    <cellStyle name="Arial0070000015536870911 2" xfId="166" xr:uid="{995382BD-98C7-4F9E-80F7-252005AB9741}"/>
    <cellStyle name="Arial007000001565535" xfId="167" xr:uid="{81A8DDB8-9D42-4AE7-B0E5-A4BD0037555D}"/>
    <cellStyle name="Arial007000001565535 2" xfId="168" xr:uid="{9E4FDE1C-E582-4E37-8463-946A24B13F43}"/>
    <cellStyle name="Arial0110010000536870911" xfId="169" xr:uid="{F6E537EB-DE1D-4CD3-8C13-DB83C2115ED0}"/>
    <cellStyle name="Arial01101000015536870911" xfId="170" xr:uid="{B7D69804-9319-440C-8BD1-DFC42EFB92D6}"/>
    <cellStyle name="Arial01101000015536870911 2" xfId="687" xr:uid="{AC7239B4-8DCA-40F3-95BE-8DE6924AFF16}"/>
    <cellStyle name="Arial017010000536870911" xfId="171" xr:uid="{3AE223DB-3B38-49E0-BE98-DF2D25CA04A5}"/>
    <cellStyle name="Arial018000000536870911" xfId="172" xr:uid="{A5BA1067-14A7-4733-A412-7F78BD03A6D4}"/>
    <cellStyle name="Arial10170100015536870911" xfId="173" xr:uid="{C241DF6A-E405-4991-8118-2441D51B5616}"/>
    <cellStyle name="Arial10170100015536870911 2" xfId="174" xr:uid="{15892F65-6BFA-4216-A50F-5F876D2D39D6}"/>
    <cellStyle name="Arial10170100015536870911 2 2" xfId="689" xr:uid="{0DA42AB8-4837-4FD0-B267-16291E7E7128}"/>
    <cellStyle name="Arial10170100015536870911 3" xfId="688" xr:uid="{55735839-A47A-4288-99AF-B09787378069}"/>
    <cellStyle name="Arial107000000536870911" xfId="175" xr:uid="{255F056F-6A9C-41EB-BC66-B7907EC4A731}"/>
    <cellStyle name="Arial107000001514155735" xfId="176" xr:uid="{4765BBC5-66AE-4464-AA87-93D7E66BBE82}"/>
    <cellStyle name="Arial107000001514155735 2" xfId="177" xr:uid="{3E32A1B3-CFA3-43D9-801B-CADCA9DDAB9E}"/>
    <cellStyle name="Arial107000001514155735 2 2" xfId="691" xr:uid="{A0BBE386-A40E-4BC3-AAD3-E2BF5CFC61C5}"/>
    <cellStyle name="Arial107000001514155735 3" xfId="690" xr:uid="{2BC6C04B-9A9E-471C-A99E-9FE1EE109068}"/>
    <cellStyle name="Arial107000001514155735FMT" xfId="178" xr:uid="{65284E33-8599-416B-AEFD-48BD3D0533C6}"/>
    <cellStyle name="Arial107000001514155735FMT 2" xfId="179" xr:uid="{8805E73F-ED39-416C-B96A-7867DB8A7F8C}"/>
    <cellStyle name="Arial107000001514155735FMT 2 2" xfId="693" xr:uid="{8CFAF29F-4D10-41DA-A9EA-545CCB2091F7}"/>
    <cellStyle name="Arial107000001514155735FMT 3" xfId="692" xr:uid="{42B28D4C-5346-4112-A051-9ABDD562A507}"/>
    <cellStyle name="Arial1070000015536870911" xfId="180" xr:uid="{9850344E-2417-43D4-B085-6DB6D81E68F6}"/>
    <cellStyle name="Arial1070000015536870911 2" xfId="181" xr:uid="{7F1F6A91-B94A-44CF-A27F-F64342387F20}"/>
    <cellStyle name="Arial1070000015536870911 2 2" xfId="695" xr:uid="{CCB31E82-F416-4A4C-9164-A921B0A3246A}"/>
    <cellStyle name="Arial1070000015536870911 3" xfId="694" xr:uid="{713AE734-5575-4DB9-A5B3-33DBA91E90BC}"/>
    <cellStyle name="Arial1070000015536870911FMT" xfId="182" xr:uid="{49F45F32-34CE-47D2-8443-F3BBFC828E23}"/>
    <cellStyle name="Arial1070000015536870911FMT 2" xfId="183" xr:uid="{83FAB935-8B9E-41EC-B205-544CEAA28A51}"/>
    <cellStyle name="Arial1070000015536870911FMT 2 2" xfId="697" xr:uid="{AE406AA9-FBE7-46E0-9BE0-A504812D0EAD}"/>
    <cellStyle name="Arial1070000015536870911FMT 3" xfId="696" xr:uid="{4F7BD2ED-D3E0-40DC-A524-B2DE9FB5ABEA}"/>
    <cellStyle name="Arial107000001565535" xfId="184" xr:uid="{0E93C9C4-7314-44B7-9306-1FBC64DDB5E3}"/>
    <cellStyle name="Arial107000001565535 2" xfId="185" xr:uid="{153BC172-F125-4810-A46A-920632D477CC}"/>
    <cellStyle name="Arial107000001565535 2 2" xfId="699" xr:uid="{7B86B268-DD88-4FD7-9872-91559BCB7865}"/>
    <cellStyle name="Arial107000001565535 3" xfId="698" xr:uid="{13508842-BABD-4AAA-9ADC-FFDDBC634D3E}"/>
    <cellStyle name="Arial107000001565535FMT" xfId="186" xr:uid="{42E67386-F8DB-4D2E-B33A-A95ED6B6D718}"/>
    <cellStyle name="Arial107000001565535FMT 2" xfId="187" xr:uid="{2DD80ECA-A591-44CD-A016-4CF91E35EC40}"/>
    <cellStyle name="Arial107000001565535FMT 2 2" xfId="701" xr:uid="{1F5F203F-71F6-494C-8396-C75338A711D5}"/>
    <cellStyle name="Arial107000001565535FMT 3" xfId="700" xr:uid="{F7CD38E2-E3DE-4EDA-AC9A-128633AB823C}"/>
    <cellStyle name="Arial117100000536870911" xfId="188" xr:uid="{6AF67252-9518-48B6-93D7-ACC686A631C1}"/>
    <cellStyle name="Arial118000000536870911" xfId="189" xr:uid="{ADC02DB1-8A82-40E9-99E9-015DBAF7579B}"/>
    <cellStyle name="Arial2110100000536870911" xfId="190" xr:uid="{1EAADFE6-0C15-4384-AEE0-3D96FA02717D}"/>
    <cellStyle name="Arial21101000015536870911" xfId="191" xr:uid="{458FCEE6-C4AF-4DC9-B0AB-28C99BD19E00}"/>
    <cellStyle name="Arial21101000015536870911 2" xfId="702" xr:uid="{D6C51174-3D39-42DD-8602-9CFE321C8ACC}"/>
    <cellStyle name="Arial2170000015536870911" xfId="192" xr:uid="{74180522-C7B5-4E35-A9B7-8693E2B2C9E2}"/>
    <cellStyle name="Arial2170000015536870911 2" xfId="193" xr:uid="{39476B13-5874-44F1-8E03-055C1BD0766D}"/>
    <cellStyle name="Arial2170000015536870911FMT" xfId="194" xr:uid="{C4D61CFB-8BDC-46FE-8AFB-C27FF15E56DC}"/>
    <cellStyle name="Arial2170000015536870911FMT 2" xfId="195" xr:uid="{6EB6377B-4AAE-4E75-A967-45C4E4400ED9}"/>
    <cellStyle name="Bad" xfId="196" xr:uid="{77949389-CF8F-44EE-83CC-35BC0A8FEC03}"/>
    <cellStyle name="Calc Currency (0)" xfId="197" xr:uid="{629A5E19-D9D7-4637-87E3-24134FBB929C}"/>
    <cellStyle name="Calc Currency (2)" xfId="198" xr:uid="{9F654934-8506-403E-B8E2-597EC078842B}"/>
    <cellStyle name="Calc Percent (0)" xfId="199" xr:uid="{B14A82E3-BC67-4DB1-BC16-00D33EF9CFB6}"/>
    <cellStyle name="Calc Percent (1)" xfId="200" xr:uid="{C54888E3-59D4-4DB4-863C-3553C1D49466}"/>
    <cellStyle name="Calc Percent (2)" xfId="201" xr:uid="{E1DF67E8-F5CF-4B3C-8E18-86A512AA5F2B}"/>
    <cellStyle name="Calc Units (0)" xfId="202" xr:uid="{F0EEBF66-28DE-4AA4-B71F-BA536421DB82}"/>
    <cellStyle name="Calc Units (1)" xfId="203" xr:uid="{D856C840-AB38-4BEB-BCC7-DD376010E2AE}"/>
    <cellStyle name="Calc Units (2)" xfId="204" xr:uid="{E31950CD-6F34-472C-9717-BEBD49DB6799}"/>
    <cellStyle name="Calculation" xfId="205" xr:uid="{0858FAAA-2A19-495A-9F23-EB7081A42FB2}"/>
    <cellStyle name="Calculation 2" xfId="703" xr:uid="{06C2366B-19DA-469A-8635-18A2B65277F8}"/>
    <cellStyle name="Check Cell" xfId="206" xr:uid="{EBF615A0-E6C4-4776-8F8A-F7BACB842A27}"/>
    <cellStyle name="Comma [00]" xfId="207" xr:uid="{491F564F-F08B-4728-ADA8-D2902B783CD0}"/>
    <cellStyle name="Comma 2" xfId="208" xr:uid="{9FEA64D7-44AA-4BE7-9AB5-97189BBA1C90}"/>
    <cellStyle name="Comma 3" xfId="209" xr:uid="{581C4A82-B199-479F-94FA-73A5AC9E02AF}"/>
    <cellStyle name="Currency [00]" xfId="210" xr:uid="{D0C506E4-376A-47DC-9BCF-2D2F419C584A}"/>
    <cellStyle name="Data Cell - PerformancePoint" xfId="211" xr:uid="{F5A694EC-2A56-4C5E-8DAA-226B745CAF49}"/>
    <cellStyle name="Data Entry Cell - PerformancePoint" xfId="212" xr:uid="{5D12D223-C6AB-4E70-8D91-A3E8E069283C}"/>
    <cellStyle name="Date Short" xfId="213" xr:uid="{E5DFA62A-61E1-47CD-89D3-5CFA212EBFE3}"/>
    <cellStyle name="Default" xfId="214" xr:uid="{D660BA93-F540-47FD-91AA-2E5707111E60}"/>
    <cellStyle name="Dezimal [0]_PERSONAL" xfId="215" xr:uid="{8B72CFEC-7238-45CA-9F2C-D3C6058DDE65}"/>
    <cellStyle name="Dezimal_PERSONAL" xfId="216" xr:uid="{0631BDE3-79BE-4F58-83ED-C31DB21230F7}"/>
    <cellStyle name="Emphasis 1" xfId="217" xr:uid="{91DC0A5F-2AEE-4C32-9208-919D680079B1}"/>
    <cellStyle name="Emphasis 1 2" xfId="218" xr:uid="{50897562-BA90-452F-A774-F7A5DC7C2FC8}"/>
    <cellStyle name="Emphasis 1 3" xfId="219" xr:uid="{1B93AFBD-FD7B-4374-96D3-5B1981F5C8E4}"/>
    <cellStyle name="Emphasis 1 4" xfId="220" xr:uid="{725FB66B-D939-4242-B2BF-85D2829F90C6}"/>
    <cellStyle name="Emphasis 1 5" xfId="221" xr:uid="{377F593D-C80D-4248-98FC-E1A8142E4B6F}"/>
    <cellStyle name="Emphasis 1 6" xfId="222" xr:uid="{7FBFF362-216D-4256-A8FF-90F69923E74D}"/>
    <cellStyle name="Emphasis 2" xfId="223" xr:uid="{0F68CFA0-0B77-4052-966D-BBF26B7C7EA2}"/>
    <cellStyle name="Emphasis 2 2" xfId="224" xr:uid="{1CD66145-51BC-455D-BDB9-976C359D1DCA}"/>
    <cellStyle name="Emphasis 2 3" xfId="225" xr:uid="{A621DA92-7226-4958-81CD-B629FED3512A}"/>
    <cellStyle name="Emphasis 2 4" xfId="226" xr:uid="{1C7CEB7D-6687-4029-8000-C024AFEDB50D}"/>
    <cellStyle name="Emphasis 2 5" xfId="227" xr:uid="{7B55D01F-00D1-41E8-AA23-2E2F4D6A5D83}"/>
    <cellStyle name="Emphasis 2 6" xfId="228" xr:uid="{10C2753B-B71E-4432-95ED-D6F20BB54C0A}"/>
    <cellStyle name="Emphasis 3" xfId="229" xr:uid="{E0116529-9F1B-46C4-AEC7-0A615648C1DE}"/>
    <cellStyle name="Enter Currency (0)" xfId="230" xr:uid="{148C27A2-14AD-4C04-939F-B1CD09775D5C}"/>
    <cellStyle name="Enter Currency (2)" xfId="231" xr:uid="{ED1D25C3-7D3A-4999-A4D2-AAB98402C04E}"/>
    <cellStyle name="Enter Units (0)" xfId="232" xr:uid="{26B7C05A-1E35-4C3E-9563-83BEA25AE9EA}"/>
    <cellStyle name="Enter Units (1)" xfId="233" xr:uid="{381F6610-68E1-480E-84AC-F24D94403288}"/>
    <cellStyle name="Enter Units (2)" xfId="234" xr:uid="{D263385B-C8A6-437E-9937-3ACCBC5A2BC5}"/>
    <cellStyle name="Euro" xfId="235" xr:uid="{24955DFC-E22C-4D63-B604-9027AB78A4C2}"/>
    <cellStyle name="Explanatory Text" xfId="236" xr:uid="{C02CB695-33E4-4645-ACEB-51B6AA5B9EA6}"/>
    <cellStyle name="Good" xfId="237" xr:uid="{F53F6782-E7C5-41A9-AF9D-24BD656D4642}"/>
    <cellStyle name="Good 2" xfId="238" xr:uid="{04029CA4-FACB-4688-BF47-E142991C993F}"/>
    <cellStyle name="Good 3" xfId="239" xr:uid="{C7BB34B2-FAFF-4B06-B42D-23A5059815A0}"/>
    <cellStyle name="Good 4" xfId="240" xr:uid="{8D800C1E-257E-4562-9151-5BD4C6CA5327}"/>
    <cellStyle name="Good_7-р_Из_Системы" xfId="241" xr:uid="{FCA87EBE-9795-47FB-A57E-EC9883B5392B}"/>
    <cellStyle name="Header1" xfId="242" xr:uid="{28D23CF3-CA8D-47CD-8DC5-4051244EA0B5}"/>
    <cellStyle name="Header2" xfId="243" xr:uid="{2C587156-A3A6-4C27-BF1A-86ADD7042218}"/>
    <cellStyle name="Heading 1" xfId="244" xr:uid="{188461D3-DFA1-4FD1-A244-C7C5B99EF7B5}"/>
    <cellStyle name="Heading 2" xfId="245" xr:uid="{16C7C192-C894-4C1C-AD99-01DEFAEE22B7}"/>
    <cellStyle name="Heading 3" xfId="246" xr:uid="{40B1D38D-24BF-45E5-88EB-403D3468A57A}"/>
    <cellStyle name="Heading 4" xfId="247" xr:uid="{EAB6B1E8-6034-466A-B9BB-2A98B6903909}"/>
    <cellStyle name="Input" xfId="248" xr:uid="{8BA850A7-688A-4846-98D5-6941A13E121C}"/>
    <cellStyle name="Input 2" xfId="704" xr:uid="{D87417EE-CC67-4B5F-9989-40C7156E2AF5}"/>
    <cellStyle name="Link Currency (0)" xfId="249" xr:uid="{E948FFE5-5566-4BE5-877C-C26F1E21F738}"/>
    <cellStyle name="Link Currency (2)" xfId="250" xr:uid="{A1C1F863-5AE2-49AF-9B8F-C7331565F375}"/>
    <cellStyle name="Link Units (0)" xfId="251" xr:uid="{D4D28263-1A16-426A-B3DE-43EBEE27ADEC}"/>
    <cellStyle name="Link Units (1)" xfId="252" xr:uid="{D857D8E1-B9D1-4C18-A950-4A006652AA31}"/>
    <cellStyle name="Link Units (2)" xfId="253" xr:uid="{98CB1586-7965-47C8-8B96-BBFE1FA2476A}"/>
    <cellStyle name="Linked Cell" xfId="254" xr:uid="{4FA9268B-1DC5-46B1-9C46-02C6DE91B305}"/>
    <cellStyle name="Locked Cell - PerformancePoint" xfId="255" xr:uid="{C4816B3F-0F6C-4B2A-81B4-9E78ED52AFFD}"/>
    <cellStyle name="Neutral" xfId="256" xr:uid="{DE1C0AB1-08C2-4D82-9F0E-79E72DF36B41}"/>
    <cellStyle name="Neutral 2" xfId="257" xr:uid="{C7FF796B-5CE4-46F2-9E7F-ECD699C891CE}"/>
    <cellStyle name="Neutral 3" xfId="258" xr:uid="{AA3D591A-1E34-4347-A81B-4C9FAECD4319}"/>
    <cellStyle name="Neutral 4" xfId="259" xr:uid="{BDB2B829-0956-4554-819F-C5090996F7CA}"/>
    <cellStyle name="Neutral_7-р_Из_Системы" xfId="260" xr:uid="{474B63FB-A9AC-4AF2-A862-7445A2B64E6F}"/>
    <cellStyle name="Norma11l" xfId="261" xr:uid="{72C367D7-0D12-44D0-84F1-14D0ECDC6328}"/>
    <cellStyle name="Normal 2" xfId="262" xr:uid="{96B5CE16-D8BE-4B50-AD8D-523B0C9F6688}"/>
    <cellStyle name="Normal 3" xfId="263" xr:uid="{B70E1D8A-1BDD-462F-9DDE-BF4CFC8704A3}"/>
    <cellStyle name="Normal 4" xfId="264" xr:uid="{7B800516-7C36-414D-87E8-1B4AA420E041}"/>
    <cellStyle name="Normal 5" xfId="265" xr:uid="{F7F30AE1-217C-4A50-B6B4-084145B5A2EB}"/>
    <cellStyle name="Normal_macro 2012 var 1" xfId="266" xr:uid="{C57BDFA9-8DE2-48A0-9CBE-58C8EB646A5C}"/>
    <cellStyle name="Note" xfId="267" xr:uid="{45A2AD9C-7F97-4D2A-99A8-F01A83BE5018}"/>
    <cellStyle name="Note 2" xfId="268" xr:uid="{326E1A18-C062-4261-8540-F53AC2279C89}"/>
    <cellStyle name="Note 2 2" xfId="706" xr:uid="{235CCC2D-F58F-4B9C-8BCC-10983F809C1F}"/>
    <cellStyle name="Note 3" xfId="269" xr:uid="{0788A5B9-BD59-4B32-9A20-0C6F3AB0C69A}"/>
    <cellStyle name="Note 3 2" xfId="707" xr:uid="{7D02DBAF-54DD-463D-9A70-6C5C69415502}"/>
    <cellStyle name="Note 4" xfId="270" xr:uid="{0622E9A3-472C-4E79-8739-5093E0658CFD}"/>
    <cellStyle name="Note 4 2" xfId="708" xr:uid="{C8C4D43A-67AF-4A4A-A179-3CE2F01CE273}"/>
    <cellStyle name="Note 5" xfId="705" xr:uid="{538A0544-DE37-430C-A195-E2F06F3C7712}"/>
    <cellStyle name="Note_7-р_Из_Системы" xfId="271" xr:uid="{13B294E9-1541-416E-8E48-9FA19D634B2C}"/>
    <cellStyle name="Output" xfId="272" xr:uid="{4FD949D3-44D9-4AA5-91E0-724401B3BFA5}"/>
    <cellStyle name="Output 2" xfId="709" xr:uid="{3C4B764E-C5AB-46DC-8FFA-7D053C34B3B7}"/>
    <cellStyle name="Percent [0]" xfId="273" xr:uid="{301D9146-0481-4F02-854E-647AC7387962}"/>
    <cellStyle name="Percent [00]" xfId="274" xr:uid="{BD8AD1B3-2A87-40AC-8941-E1366E09C141}"/>
    <cellStyle name="Percent 2" xfId="275" xr:uid="{435B28B3-1886-45AF-A1BC-95BCE016D1F4}"/>
    <cellStyle name="Percent 3" xfId="276" xr:uid="{7CBCBEA3-3BA8-4FA4-95C9-973525C9A07F}"/>
    <cellStyle name="PrePop Currency (0)" xfId="277" xr:uid="{1D73547B-45E5-4966-9945-72D061A56A61}"/>
    <cellStyle name="PrePop Currency (2)" xfId="278" xr:uid="{26CB7F4F-1A30-4033-A54D-CED31F87E912}"/>
    <cellStyle name="PrePop Units (0)" xfId="279" xr:uid="{C879D723-D4DF-4C9B-8E08-58A7F25D9458}"/>
    <cellStyle name="PrePop Units (1)" xfId="280" xr:uid="{A601AC49-3891-4BE6-A620-0B78AF555800}"/>
    <cellStyle name="PrePop Units (2)" xfId="281" xr:uid="{6C6DF4A2-16B3-4F1D-A613-72CDB16DF42B}"/>
    <cellStyle name="SAPBEXaggData" xfId="282" xr:uid="{10589493-9202-4BB3-9E5B-783B4332452A}"/>
    <cellStyle name="SAPBEXaggData 2" xfId="283" xr:uid="{6F9BF5DF-0AC3-4035-94CB-BEE2F97390FE}"/>
    <cellStyle name="SAPBEXaggData 2 2" xfId="711" xr:uid="{CEBEF2EF-6F45-497C-8506-A191E01A4068}"/>
    <cellStyle name="SAPBEXaggData 3" xfId="284" xr:uid="{A3D8740D-4B67-49B1-9AE0-4CD6BB8DB4CF}"/>
    <cellStyle name="SAPBEXaggData 3 2" xfId="712" xr:uid="{82D0032F-004F-4C4E-BB4D-68F6B9853FDF}"/>
    <cellStyle name="SAPBEXaggData 4" xfId="285" xr:uid="{9307FAD7-D292-43A4-B692-1F7354192E65}"/>
    <cellStyle name="SAPBEXaggData 4 2" xfId="713" xr:uid="{A0751E70-4A29-4B76-B891-5419B53D5EE2}"/>
    <cellStyle name="SAPBEXaggData 5" xfId="286" xr:uid="{D89A771A-738E-4DE3-B837-A4AAA54E3F07}"/>
    <cellStyle name="SAPBEXaggData 5 2" xfId="714" xr:uid="{5AA6FED7-83D3-486B-8114-1C399037F038}"/>
    <cellStyle name="SAPBEXaggData 6" xfId="287" xr:uid="{9DB1F641-21DC-4BBA-9FB9-CAA4E2FAE865}"/>
    <cellStyle name="SAPBEXaggData 6 2" xfId="715" xr:uid="{FA124EDC-AE0F-412B-BF05-5D0A7FE7EEB7}"/>
    <cellStyle name="SAPBEXaggData 7" xfId="710" xr:uid="{34297FAC-0E2E-48DA-9D3D-5B4C68D9FAF4}"/>
    <cellStyle name="SAPBEXaggDataEmph" xfId="288" xr:uid="{1ABAB3EB-1B63-4A0F-AF64-72FFDEFD04D0}"/>
    <cellStyle name="SAPBEXaggDataEmph 2" xfId="289" xr:uid="{C6F24EB7-6AF8-48CE-8D05-F7E69108C9A8}"/>
    <cellStyle name="SAPBEXaggDataEmph 2 2" xfId="717" xr:uid="{0C1C67BC-2DC0-43EA-959A-546CC5D2E8F7}"/>
    <cellStyle name="SAPBEXaggDataEmph 3" xfId="290" xr:uid="{D896D217-3266-46B9-84BE-6C7E7C98EB17}"/>
    <cellStyle name="SAPBEXaggDataEmph 3 2" xfId="718" xr:uid="{C74D9C0E-2830-4CE4-A059-78C3DD19FC7F}"/>
    <cellStyle name="SAPBEXaggDataEmph 4" xfId="291" xr:uid="{7B3FF873-C5D3-4C81-9534-9EEE620C678D}"/>
    <cellStyle name="SAPBEXaggDataEmph 4 2" xfId="719" xr:uid="{88FFFB03-603E-46EC-989E-9E41479BD92A}"/>
    <cellStyle name="SAPBEXaggDataEmph 5" xfId="292" xr:uid="{3FF03979-0D9B-4B96-8523-3ED542A1DA1E}"/>
    <cellStyle name="SAPBEXaggDataEmph 5 2" xfId="720" xr:uid="{040E52B4-F819-4AB1-962D-5B81B5DCC474}"/>
    <cellStyle name="SAPBEXaggDataEmph 6" xfId="293" xr:uid="{B1803F50-8294-4D0D-9282-768B7B495DA9}"/>
    <cellStyle name="SAPBEXaggDataEmph 6 2" xfId="721" xr:uid="{D51712AD-873F-4192-8AD6-43B633E9FF32}"/>
    <cellStyle name="SAPBEXaggDataEmph 7" xfId="716" xr:uid="{FF3A7E3B-DEF9-4E10-A9BD-29C540C82DC5}"/>
    <cellStyle name="SAPBEXaggItem" xfId="294" xr:uid="{583FBC7E-A928-449E-A5B1-617AA4ED345E}"/>
    <cellStyle name="SAPBEXaggItem 2" xfId="295" xr:uid="{7A3644B0-B269-4EF6-98E5-0FEA1EC8749C}"/>
    <cellStyle name="SAPBEXaggItem 2 2" xfId="723" xr:uid="{2DD4281F-8D4A-4DDC-B361-8E686886256C}"/>
    <cellStyle name="SAPBEXaggItem 3" xfId="296" xr:uid="{B305DF9C-9477-411D-BD6B-BF046C1CC139}"/>
    <cellStyle name="SAPBEXaggItem 3 2" xfId="724" xr:uid="{4BB922B8-D669-46D4-95B0-277AFCDFBD84}"/>
    <cellStyle name="SAPBEXaggItem 4" xfId="297" xr:uid="{8496FCAF-6712-4D76-89C2-E939F90D29F6}"/>
    <cellStyle name="SAPBEXaggItem 4 2" xfId="725" xr:uid="{F352A41E-7565-4850-B15F-54E1BAFC22CB}"/>
    <cellStyle name="SAPBEXaggItem 5" xfId="298" xr:uid="{49B49D09-BF3D-4BB5-AD69-D47D80327E72}"/>
    <cellStyle name="SAPBEXaggItem 5 2" xfId="726" xr:uid="{ED037740-1935-43B8-8ABB-62150831ED73}"/>
    <cellStyle name="SAPBEXaggItem 6" xfId="299" xr:uid="{117B9B9D-54AE-418D-A3E4-CD817AF31471}"/>
    <cellStyle name="SAPBEXaggItem 6 2" xfId="727" xr:uid="{BA10EEA6-B133-4680-B755-5D64F12F7F7E}"/>
    <cellStyle name="SAPBEXaggItem 7" xfId="722" xr:uid="{6436BF79-7F1D-4E60-AD7F-52CD719C8B63}"/>
    <cellStyle name="SAPBEXaggItemX" xfId="300" xr:uid="{3F00F72E-AC25-45C2-8903-D132D1B977B6}"/>
    <cellStyle name="SAPBEXaggItemX 2" xfId="301" xr:uid="{BAFFC380-1456-49BC-BFCB-88D01474EC7B}"/>
    <cellStyle name="SAPBEXaggItemX 2 2" xfId="729" xr:uid="{163FFC15-C329-4028-AEDF-8AB152FF5D9E}"/>
    <cellStyle name="SAPBEXaggItemX 3" xfId="302" xr:uid="{EBC1470A-3C19-4A7D-9EC2-239E9851F6F2}"/>
    <cellStyle name="SAPBEXaggItemX 3 2" xfId="730" xr:uid="{C8D44873-5D89-4EE7-AF95-F18C7CD0C5F1}"/>
    <cellStyle name="SAPBEXaggItemX 4" xfId="303" xr:uid="{F8205F13-0E86-4747-A304-2D5EA71C9B5A}"/>
    <cellStyle name="SAPBEXaggItemX 4 2" xfId="731" xr:uid="{898E37FC-19C6-4741-889E-BAAAEABEAEF3}"/>
    <cellStyle name="SAPBEXaggItemX 5" xfId="304" xr:uid="{74A12516-D804-4EDB-A804-0873F94F32DE}"/>
    <cellStyle name="SAPBEXaggItemX 5 2" xfId="732" xr:uid="{C3757B92-B228-4378-9071-100B3E339392}"/>
    <cellStyle name="SAPBEXaggItemX 6" xfId="305" xr:uid="{F1F5934E-006C-4E80-81C7-0C8790027748}"/>
    <cellStyle name="SAPBEXaggItemX 6 2" xfId="733" xr:uid="{EBBFF86C-1D3F-4C05-AFD6-0B37D2895D68}"/>
    <cellStyle name="SAPBEXaggItemX 7" xfId="728" xr:uid="{6C071275-6000-4AF7-A1B5-A1F68479B32A}"/>
    <cellStyle name="SAPBEXchaText" xfId="306" xr:uid="{2E30DEB6-E26F-4F21-9410-23627C9C4AAF}"/>
    <cellStyle name="SAPBEXchaText 2" xfId="307" xr:uid="{7617DC89-8190-4201-8EE6-97F3C68E418B}"/>
    <cellStyle name="SAPBEXchaText 2 2" xfId="734" xr:uid="{E32B71AA-6E95-42AE-A209-23C152D45C1A}"/>
    <cellStyle name="SAPBEXchaText 3" xfId="308" xr:uid="{34BDA029-FDCA-456F-B31B-1008B4498663}"/>
    <cellStyle name="SAPBEXchaText 3 2" xfId="735" xr:uid="{4BFFFF60-BCE1-4B89-B506-A609ECD8C07D}"/>
    <cellStyle name="SAPBEXchaText 4" xfId="309" xr:uid="{BE7F6E7E-9AC5-4839-A18B-A8244BBF42C4}"/>
    <cellStyle name="SAPBEXchaText 4 2" xfId="736" xr:uid="{3C10C8EC-787F-461D-9612-AAADC53675D6}"/>
    <cellStyle name="SAPBEXchaText 5" xfId="310" xr:uid="{01060C6C-B63B-436C-B2A7-6F5E34DBEEE0}"/>
    <cellStyle name="SAPBEXchaText 5 2" xfId="737" xr:uid="{D2D0CF83-08F1-45C7-BE06-93C05F1E63E9}"/>
    <cellStyle name="SAPBEXchaText 6" xfId="311" xr:uid="{EF60872B-3873-44D5-9FDE-CBCA8EFFC16E}"/>
    <cellStyle name="SAPBEXchaText 6 2" xfId="738" xr:uid="{22DE3F43-1D0C-4707-AF45-942AA4CFD011}"/>
    <cellStyle name="SAPBEXchaText_Приложение_1_к_7-у-о_2009_Кв_1_ФСТ" xfId="312" xr:uid="{E70756A3-DF0B-4B36-A13F-E8E44A00DD29}"/>
    <cellStyle name="SAPBEXexcBad7" xfId="313" xr:uid="{44A507D0-065E-4C61-97EB-58FC142E1608}"/>
    <cellStyle name="SAPBEXexcBad7 2" xfId="314" xr:uid="{E9A6AA55-C39E-4C5A-BB3D-0E26ED6FF20D}"/>
    <cellStyle name="SAPBEXexcBad7 2 2" xfId="740" xr:uid="{CE63FF3F-28DC-475B-92C6-A51B9077002E}"/>
    <cellStyle name="SAPBEXexcBad7 3" xfId="315" xr:uid="{3E7A86B3-102F-4F00-83AE-D1D7CF8EB753}"/>
    <cellStyle name="SAPBEXexcBad7 3 2" xfId="741" xr:uid="{D83BD5FD-ECE4-48CE-8F3B-2F49566CC478}"/>
    <cellStyle name="SAPBEXexcBad7 4" xfId="316" xr:uid="{9DB26A1F-EECB-42F8-AB9D-78FAF62CC73E}"/>
    <cellStyle name="SAPBEXexcBad7 4 2" xfId="742" xr:uid="{038FA84D-4B06-4E75-8624-FB5C5E2DDC10}"/>
    <cellStyle name="SAPBEXexcBad7 5" xfId="317" xr:uid="{1C17F84A-BD53-4783-8273-A15786F35CD3}"/>
    <cellStyle name="SAPBEXexcBad7 5 2" xfId="743" xr:uid="{D45DDD41-5729-44BF-BCFE-95748068C788}"/>
    <cellStyle name="SAPBEXexcBad7 6" xfId="318" xr:uid="{E63DC62B-4171-4542-A710-6E57B5DFF980}"/>
    <cellStyle name="SAPBEXexcBad7 6 2" xfId="744" xr:uid="{BF4C2CFA-4ADD-42F8-B07C-E4347E50565E}"/>
    <cellStyle name="SAPBEXexcBad7 7" xfId="739" xr:uid="{2F2643DD-A668-4050-A3EA-D18594FD2196}"/>
    <cellStyle name="SAPBEXexcBad8" xfId="319" xr:uid="{5323B044-F61D-43D9-85C3-4BE4B597E8D7}"/>
    <cellStyle name="SAPBEXexcBad8 2" xfId="320" xr:uid="{64E56944-3AD2-4EA9-A59E-CCFBDE9B21DD}"/>
    <cellStyle name="SAPBEXexcBad8 2 2" xfId="746" xr:uid="{8198E993-06BF-44D6-B27C-63D80149E339}"/>
    <cellStyle name="SAPBEXexcBad8 3" xfId="321" xr:uid="{9FA27F12-77A5-49B2-8D5F-EA27C75925D6}"/>
    <cellStyle name="SAPBEXexcBad8 3 2" xfId="747" xr:uid="{BBE8CB2A-08C0-4582-81D1-E7A93A2338B1}"/>
    <cellStyle name="SAPBEXexcBad8 4" xfId="322" xr:uid="{DAB30E30-542E-497E-8C0F-4FA3BB513F81}"/>
    <cellStyle name="SAPBEXexcBad8 4 2" xfId="748" xr:uid="{77592C1E-42DF-433E-8C35-32E8EA250FF1}"/>
    <cellStyle name="SAPBEXexcBad8 5" xfId="323" xr:uid="{CE386FC3-C505-455F-88D3-6CE0A820FA1B}"/>
    <cellStyle name="SAPBEXexcBad8 5 2" xfId="749" xr:uid="{7A79679B-E7AC-4375-8449-4E82B7E183AE}"/>
    <cellStyle name="SAPBEXexcBad8 6" xfId="324" xr:uid="{D1F589CA-C50C-4BC9-A18A-1489DE74B838}"/>
    <cellStyle name="SAPBEXexcBad8 6 2" xfId="750" xr:uid="{3A03FE55-D680-4EB7-8E7C-8838659AAFAA}"/>
    <cellStyle name="SAPBEXexcBad8 7" xfId="745" xr:uid="{1A2388FD-C516-4D59-B64E-6E16E8184E62}"/>
    <cellStyle name="SAPBEXexcBad9" xfId="325" xr:uid="{70D158E0-2B29-4C00-993B-55A368261448}"/>
    <cellStyle name="SAPBEXexcBad9 2" xfId="326" xr:uid="{487042C6-E82B-46F6-8239-3FCA8A400A1C}"/>
    <cellStyle name="SAPBEXexcBad9 2 2" xfId="752" xr:uid="{5AB0FFCC-A16C-4498-98DD-05B5B9825597}"/>
    <cellStyle name="SAPBEXexcBad9 3" xfId="327" xr:uid="{777B5017-6466-478C-AB8C-36D1A0D01B98}"/>
    <cellStyle name="SAPBEXexcBad9 3 2" xfId="753" xr:uid="{65C8FEC8-B5D7-4C37-A2F1-DC84380F753B}"/>
    <cellStyle name="SAPBEXexcBad9 4" xfId="328" xr:uid="{1EA39CC0-C23F-48BA-9F1F-1CFC4C8C2390}"/>
    <cellStyle name="SAPBEXexcBad9 4 2" xfId="754" xr:uid="{50102442-958A-490C-A41E-7123CD43F3B8}"/>
    <cellStyle name="SAPBEXexcBad9 5" xfId="329" xr:uid="{BA923A69-ECDF-4E9B-A837-BDCC65A5CCF8}"/>
    <cellStyle name="SAPBEXexcBad9 5 2" xfId="755" xr:uid="{5B0A0999-03D4-4574-8239-3DE9F0596D06}"/>
    <cellStyle name="SAPBEXexcBad9 6" xfId="330" xr:uid="{B7B06B9B-0635-4512-8B2C-BEA8FBC72D65}"/>
    <cellStyle name="SAPBEXexcBad9 6 2" xfId="756" xr:uid="{4D16B8C1-A5E7-46D8-8B58-E93DAFBF056A}"/>
    <cellStyle name="SAPBEXexcBad9 7" xfId="751" xr:uid="{ED519F8B-B353-40EF-A7FE-4D9DDA047F4C}"/>
    <cellStyle name="SAPBEXexcCritical4" xfId="331" xr:uid="{6241F1F9-AC96-4B86-B06B-EEB8B0E71872}"/>
    <cellStyle name="SAPBEXexcCritical4 2" xfId="332" xr:uid="{85242115-3DCD-4637-9671-E91CBC1173CE}"/>
    <cellStyle name="SAPBEXexcCritical4 2 2" xfId="758" xr:uid="{B857A84A-D2E3-4B7F-B69B-B118A01BD3EC}"/>
    <cellStyle name="SAPBEXexcCritical4 3" xfId="333" xr:uid="{75605A0E-2E63-4465-90FA-69BB97895C8F}"/>
    <cellStyle name="SAPBEXexcCritical4 3 2" xfId="759" xr:uid="{DE1A9277-9ABE-4B8B-992F-C8AEDE8F9923}"/>
    <cellStyle name="SAPBEXexcCritical4 4" xfId="334" xr:uid="{4DB22D29-48C2-47CA-910A-2A29C558AD54}"/>
    <cellStyle name="SAPBEXexcCritical4 4 2" xfId="760" xr:uid="{B73C5AE4-8D7A-4226-ACC5-61B059EB5EC1}"/>
    <cellStyle name="SAPBEXexcCritical4 5" xfId="335" xr:uid="{060C06D7-50E2-4EB8-B4DB-8AD2C10C12CE}"/>
    <cellStyle name="SAPBEXexcCritical4 5 2" xfId="761" xr:uid="{3A719B33-FB4C-4226-8A2D-20EDD1E5FC9B}"/>
    <cellStyle name="SAPBEXexcCritical4 6" xfId="336" xr:uid="{BDEE8155-FB77-4908-96C7-1459623732EC}"/>
    <cellStyle name="SAPBEXexcCritical4 6 2" xfId="762" xr:uid="{AD92CEFB-63F1-4BEC-9982-3FCC50999116}"/>
    <cellStyle name="SAPBEXexcCritical4 7" xfId="757" xr:uid="{BDD0E214-6721-4153-BDFC-A7A1865A148E}"/>
    <cellStyle name="SAPBEXexcCritical5" xfId="337" xr:uid="{C294064A-0808-4044-88A8-0F2CB3EE4EE3}"/>
    <cellStyle name="SAPBEXexcCritical5 2" xfId="338" xr:uid="{76EDFEA0-0362-4D36-B62C-FF223BC93ED7}"/>
    <cellStyle name="SAPBEXexcCritical5 2 2" xfId="764" xr:uid="{E254F37A-D10F-4ABA-AD0F-B3A773D3C731}"/>
    <cellStyle name="SAPBEXexcCritical5 3" xfId="339" xr:uid="{CCF2F150-7E31-4F3F-B756-88991D252A84}"/>
    <cellStyle name="SAPBEXexcCritical5 3 2" xfId="765" xr:uid="{E8E21E25-3AFC-4D3A-A0B6-5ECC9EB147DB}"/>
    <cellStyle name="SAPBEXexcCritical5 4" xfId="340" xr:uid="{6D779E6F-D0A4-4BFE-9BA2-31246F76F18E}"/>
    <cellStyle name="SAPBEXexcCritical5 4 2" xfId="766" xr:uid="{ACD69FE7-6CD9-4409-9C92-7D3ADFB7FBB1}"/>
    <cellStyle name="SAPBEXexcCritical5 5" xfId="341" xr:uid="{1A812AB3-8870-4259-85A7-92645210D1CC}"/>
    <cellStyle name="SAPBEXexcCritical5 5 2" xfId="767" xr:uid="{0F536E7D-35E0-41FB-BC6B-7958C1025C52}"/>
    <cellStyle name="SAPBEXexcCritical5 6" xfId="342" xr:uid="{85E5DFBF-787B-4106-950A-08A824E391D5}"/>
    <cellStyle name="SAPBEXexcCritical5 6 2" xfId="768" xr:uid="{2688C64E-AD8A-40AB-ABF6-66F5966B361D}"/>
    <cellStyle name="SAPBEXexcCritical5 7" xfId="763" xr:uid="{E01ED010-1CF1-45E4-84CC-EABD31543BFD}"/>
    <cellStyle name="SAPBEXexcCritical6" xfId="343" xr:uid="{DAE6F0C7-E085-4C3F-88A5-237DA75CC735}"/>
    <cellStyle name="SAPBEXexcCritical6 2" xfId="344" xr:uid="{24F5B907-4EE7-43ED-BD95-7BC7F9512CB9}"/>
    <cellStyle name="SAPBEXexcCritical6 2 2" xfId="770" xr:uid="{7FE05009-AE7C-4D47-AD00-CE549002DF8A}"/>
    <cellStyle name="SAPBEXexcCritical6 3" xfId="345" xr:uid="{144393BB-9DE4-41C1-A960-0608122D4C52}"/>
    <cellStyle name="SAPBEXexcCritical6 3 2" xfId="771" xr:uid="{79817006-0C94-48F9-BB56-21D4D558AAFB}"/>
    <cellStyle name="SAPBEXexcCritical6 4" xfId="346" xr:uid="{D73D2C41-B052-45FC-864E-0B0BB3B2BC3F}"/>
    <cellStyle name="SAPBEXexcCritical6 4 2" xfId="772" xr:uid="{02AAD194-F778-48DB-B295-F1219299510E}"/>
    <cellStyle name="SAPBEXexcCritical6 5" xfId="347" xr:uid="{66F114EB-0326-4853-A26B-A754DE0566BE}"/>
    <cellStyle name="SAPBEXexcCritical6 5 2" xfId="773" xr:uid="{E3BE03EC-F649-49CE-ACCE-80883BFE3849}"/>
    <cellStyle name="SAPBEXexcCritical6 6" xfId="348" xr:uid="{CDA463EB-87B4-4A47-A6EA-01BA0DDF207C}"/>
    <cellStyle name="SAPBEXexcCritical6 6 2" xfId="774" xr:uid="{B3771950-9B18-48FE-97A9-3C26D642A0A9}"/>
    <cellStyle name="SAPBEXexcCritical6 7" xfId="769" xr:uid="{5DF5C357-4625-4F8C-B640-8B8AC061BAC2}"/>
    <cellStyle name="SAPBEXexcGood1" xfId="349" xr:uid="{25B812E1-463A-4C96-8CD1-D30FF18CFB16}"/>
    <cellStyle name="SAPBEXexcGood1 2" xfId="350" xr:uid="{02C87614-65EE-4211-8B6F-B1095C65AD50}"/>
    <cellStyle name="SAPBEXexcGood1 2 2" xfId="776" xr:uid="{5533C7B9-988D-4F87-B07B-E22B6B767504}"/>
    <cellStyle name="SAPBEXexcGood1 3" xfId="351" xr:uid="{06BD9E2F-6A65-4D2F-89AC-B87F5B039345}"/>
    <cellStyle name="SAPBEXexcGood1 3 2" xfId="777" xr:uid="{E99112F2-2FBA-4C1B-964D-4BF22BFD6732}"/>
    <cellStyle name="SAPBEXexcGood1 4" xfId="352" xr:uid="{BB1CD716-4854-46F3-83C5-333E6E6EE405}"/>
    <cellStyle name="SAPBEXexcGood1 4 2" xfId="778" xr:uid="{E775743A-DE8C-43DC-8A46-128EE4191B8F}"/>
    <cellStyle name="SAPBEXexcGood1 5" xfId="353" xr:uid="{A8E663A8-9D90-4D8C-83B1-951CD0EB4614}"/>
    <cellStyle name="SAPBEXexcGood1 5 2" xfId="779" xr:uid="{97EACCDC-C895-4309-A0FE-E9B8E17DDEA1}"/>
    <cellStyle name="SAPBEXexcGood1 6" xfId="354" xr:uid="{475A2B13-2E2E-4689-B9AA-B6B8DF74F7B9}"/>
    <cellStyle name="SAPBEXexcGood1 6 2" xfId="780" xr:uid="{BC977D34-2994-4F09-A38E-6F5132CE51F1}"/>
    <cellStyle name="SAPBEXexcGood1 7" xfId="775" xr:uid="{9F493D15-1E16-462D-9EEB-6347A3E85923}"/>
    <cellStyle name="SAPBEXexcGood2" xfId="355" xr:uid="{A0D64B96-E82A-4D4E-A0A5-B7046F30D144}"/>
    <cellStyle name="SAPBEXexcGood2 2" xfId="356" xr:uid="{C3E1A40D-E651-4F2B-BDB9-B2E8E219F8CA}"/>
    <cellStyle name="SAPBEXexcGood2 2 2" xfId="782" xr:uid="{5398C944-140B-45E5-84D6-DEE320416799}"/>
    <cellStyle name="SAPBEXexcGood2 3" xfId="357" xr:uid="{83D7C8E3-5973-4119-B23E-77E3036B148B}"/>
    <cellStyle name="SAPBEXexcGood2 3 2" xfId="783" xr:uid="{A11131F4-CE17-4BFE-95D6-B835CFB70367}"/>
    <cellStyle name="SAPBEXexcGood2 4" xfId="358" xr:uid="{98DCF0BD-358F-45FD-B9F5-46A8A508F30A}"/>
    <cellStyle name="SAPBEXexcGood2 4 2" xfId="784" xr:uid="{1BC73095-8A12-479D-9C6B-70A424B61AB8}"/>
    <cellStyle name="SAPBEXexcGood2 5" xfId="359" xr:uid="{931AEBE0-8F65-4199-B994-07D41596933A}"/>
    <cellStyle name="SAPBEXexcGood2 5 2" xfId="785" xr:uid="{28DB57C8-37E4-48C9-A1D0-7E162B3F6DB8}"/>
    <cellStyle name="SAPBEXexcGood2 6" xfId="360" xr:uid="{6119B161-0F48-442A-8883-651BE1A23897}"/>
    <cellStyle name="SAPBEXexcGood2 6 2" xfId="786" xr:uid="{6402609F-7F3F-4AD2-9357-484E98380433}"/>
    <cellStyle name="SAPBEXexcGood2 7" xfId="781" xr:uid="{9BD52BF5-27C6-43D6-A858-1A176E0F2129}"/>
    <cellStyle name="SAPBEXexcGood3" xfId="361" xr:uid="{66953BE9-CE12-4857-AF85-45378D349F5F}"/>
    <cellStyle name="SAPBEXexcGood3 2" xfId="362" xr:uid="{41616A60-315B-4512-BEF2-689A5268D4B2}"/>
    <cellStyle name="SAPBEXexcGood3 2 2" xfId="788" xr:uid="{1E0A587D-2B3A-4B0C-B2DA-0E1B81603BFD}"/>
    <cellStyle name="SAPBEXexcGood3 3" xfId="363" xr:uid="{D6A4C27F-33F5-410A-8897-F4DF59E435D4}"/>
    <cellStyle name="SAPBEXexcGood3 3 2" xfId="789" xr:uid="{4F478059-37B3-493E-BA3C-EC1672113739}"/>
    <cellStyle name="SAPBEXexcGood3 4" xfId="364" xr:uid="{F355E16F-02F4-4B6C-A90E-A89F4F35AA15}"/>
    <cellStyle name="SAPBEXexcGood3 4 2" xfId="790" xr:uid="{D2EC2563-A9A9-4FF3-9B58-F5670AA32936}"/>
    <cellStyle name="SAPBEXexcGood3 5" xfId="365" xr:uid="{AD142E69-9804-468A-BD53-4C82A4FB275C}"/>
    <cellStyle name="SAPBEXexcGood3 5 2" xfId="791" xr:uid="{781FFAD8-E168-4E94-8DDC-1393BE490666}"/>
    <cellStyle name="SAPBEXexcGood3 6" xfId="366" xr:uid="{F8D5A7A0-47D0-4B99-A9B4-3C1369BD0755}"/>
    <cellStyle name="SAPBEXexcGood3 6 2" xfId="792" xr:uid="{C24077D1-F14E-49E0-AAC8-68263B73142C}"/>
    <cellStyle name="SAPBEXexcGood3 7" xfId="787" xr:uid="{F8D2D639-0542-479F-9FD2-1C948B362B3E}"/>
    <cellStyle name="SAPBEXfilterDrill" xfId="367" xr:uid="{F63AB2F6-00E1-4C48-B0E2-C062DAE41B4E}"/>
    <cellStyle name="SAPBEXfilterDrill 2" xfId="368" xr:uid="{33701E84-51DD-43B7-884E-9627CA89E284}"/>
    <cellStyle name="SAPBEXfilterDrill 2 2" xfId="794" xr:uid="{43290C03-BE2D-408A-BC23-5557C03A3448}"/>
    <cellStyle name="SAPBEXfilterDrill 3" xfId="369" xr:uid="{E57576D1-34CB-4F46-8EBB-B0242AD2802E}"/>
    <cellStyle name="SAPBEXfilterDrill 3 2" xfId="795" xr:uid="{24A8A6E4-64BF-40C4-8250-84D1C535C01B}"/>
    <cellStyle name="SAPBEXfilterDrill 4" xfId="370" xr:uid="{505C8F6E-9E94-429D-9A4D-04B0B837A856}"/>
    <cellStyle name="SAPBEXfilterDrill 4 2" xfId="796" xr:uid="{52A8960E-E5AF-48A8-B51B-D3B1FB01C311}"/>
    <cellStyle name="SAPBEXfilterDrill 5" xfId="371" xr:uid="{E460EC73-30F7-4853-94BE-B667A7049097}"/>
    <cellStyle name="SAPBEXfilterDrill 5 2" xfId="797" xr:uid="{68C28874-9039-4C05-A69A-9C26F8A94112}"/>
    <cellStyle name="SAPBEXfilterDrill 6" xfId="372" xr:uid="{ADCC6FB7-44FD-4E4E-B143-C157B6B26A97}"/>
    <cellStyle name="SAPBEXfilterDrill 6 2" xfId="798" xr:uid="{E761B88A-B42F-43EB-BF5C-8D698C765D00}"/>
    <cellStyle name="SAPBEXfilterDrill 7" xfId="793" xr:uid="{04893DFD-09A0-45EF-9E45-D98294A42EE2}"/>
    <cellStyle name="SAPBEXfilterItem" xfId="373" xr:uid="{488637B9-6846-4438-9AFB-6608EF0185E4}"/>
    <cellStyle name="SAPBEXfilterItem 2" xfId="374" xr:uid="{D84CCA63-6449-44CA-A757-F50BE110B21F}"/>
    <cellStyle name="SAPBEXfilterItem 2 2" xfId="799" xr:uid="{F78E5D97-F005-4829-918C-5D45412E2CE8}"/>
    <cellStyle name="SAPBEXfilterItem 3" xfId="375" xr:uid="{F2298DF4-805B-46B6-96B0-715755B22649}"/>
    <cellStyle name="SAPBEXfilterItem 3 2" xfId="800" xr:uid="{22B8ECC5-3F2A-47A9-B41F-5CE37F2AD99E}"/>
    <cellStyle name="SAPBEXfilterItem 4" xfId="376" xr:uid="{4E90EAD5-5642-4696-B49D-F78262FB4B05}"/>
    <cellStyle name="SAPBEXfilterItem 4 2" xfId="801" xr:uid="{12934645-2621-4CDD-BCE1-8A91813447AD}"/>
    <cellStyle name="SAPBEXfilterItem 5" xfId="377" xr:uid="{86ACDD9B-D06C-42C2-8726-A49EB8CE887A}"/>
    <cellStyle name="SAPBEXfilterItem 5 2" xfId="802" xr:uid="{B450E78B-CCAC-4AE3-8356-7AA5DDF24EBA}"/>
    <cellStyle name="SAPBEXfilterItem 6" xfId="378" xr:uid="{C0808262-247F-4FFF-9634-4F228A07087C}"/>
    <cellStyle name="SAPBEXfilterItem 6 2" xfId="803" xr:uid="{F67A49DF-B183-4174-95E9-8026EECEB4F5}"/>
    <cellStyle name="SAPBEXfilterText" xfId="379" xr:uid="{5A1BA9FD-D371-4707-9F3B-2973CBEE9F11}"/>
    <cellStyle name="SAPBEXfilterText 2" xfId="380" xr:uid="{61E0C060-EFDB-4A34-B46B-8B4D4F54ED4E}"/>
    <cellStyle name="SAPBEXfilterText 2 2" xfId="804" xr:uid="{F6ACDF66-2AED-4CA8-99DB-1E264C454ACE}"/>
    <cellStyle name="SAPBEXfilterText 3" xfId="381" xr:uid="{AE69C6F9-2B04-46AD-BEEF-D5497E67C6AD}"/>
    <cellStyle name="SAPBEXfilterText 3 2" xfId="805" xr:uid="{E31281A2-D67C-4468-BACF-008AE5F2B5A3}"/>
    <cellStyle name="SAPBEXfilterText 4" xfId="382" xr:uid="{B5BA7D0A-DE64-45DD-8C1D-6E85C4441522}"/>
    <cellStyle name="SAPBEXfilterText 4 2" xfId="806" xr:uid="{194E8A40-3CCC-451B-801A-181B87DD87CB}"/>
    <cellStyle name="SAPBEXfilterText 5" xfId="383" xr:uid="{BEA5D174-4D91-4EF0-8295-6CDA6FB3603A}"/>
    <cellStyle name="SAPBEXfilterText 5 2" xfId="807" xr:uid="{FC724F4F-A9E0-4AB3-A6AA-5CE6E6AD67A7}"/>
    <cellStyle name="SAPBEXfilterText 6" xfId="384" xr:uid="{6304A105-1154-465D-9A4D-E82FE4BE12AF}"/>
    <cellStyle name="SAPBEXfilterText 6 2" xfId="808" xr:uid="{DCD6C500-8A5D-47A3-B6E2-DCA745B27F2F}"/>
    <cellStyle name="SAPBEXformats" xfId="385" xr:uid="{D7990435-F0D9-4DEB-ADA1-2560600CDD27}"/>
    <cellStyle name="SAPBEXformats 2" xfId="386" xr:uid="{91018DDA-4445-482B-B117-6D4D5D0A386F}"/>
    <cellStyle name="SAPBEXformats 2 2" xfId="809" xr:uid="{2F32D84A-715E-40D1-9293-5AF88F965672}"/>
    <cellStyle name="SAPBEXformats 3" xfId="387" xr:uid="{4172FDF9-E752-4EB8-B287-C77253C757C0}"/>
    <cellStyle name="SAPBEXformats 3 2" xfId="810" xr:uid="{EEB1B837-A9F6-4A5D-B395-8CF597A9F434}"/>
    <cellStyle name="SAPBEXformats 4" xfId="388" xr:uid="{BC43D735-F339-49DA-ADC2-C24ABE292963}"/>
    <cellStyle name="SAPBEXformats 4 2" xfId="811" xr:uid="{4F1680D8-96E3-4588-9A7F-840FE87757C7}"/>
    <cellStyle name="SAPBEXformats 5" xfId="389" xr:uid="{A4E47BD6-EB15-42A9-A7BE-F9BD9EF72784}"/>
    <cellStyle name="SAPBEXformats 5 2" xfId="812" xr:uid="{F06649EE-1D29-4DEC-8D22-1CC087270114}"/>
    <cellStyle name="SAPBEXformats 6" xfId="390" xr:uid="{5240E875-85CA-43E0-B43F-43B313BAAD40}"/>
    <cellStyle name="SAPBEXformats 6 2" xfId="813" xr:uid="{4F201637-E159-4CB4-B45D-200335D660A5}"/>
    <cellStyle name="SAPBEXheaderItem" xfId="391" xr:uid="{3690DDA4-F792-4CCC-9C8E-ADC4A9E2712C}"/>
    <cellStyle name="SAPBEXheaderItem 2" xfId="392" xr:uid="{6A2533C3-EA8B-4DD3-8DAF-A85D0B121D5B}"/>
    <cellStyle name="SAPBEXheaderItem 2 2" xfId="814" xr:uid="{E63AD0FD-FAE0-4F04-8993-DE417A5FF8A6}"/>
    <cellStyle name="SAPBEXheaderItem 3" xfId="393" xr:uid="{B0B7FA6A-E2B5-4819-8A2F-8851E08D99CE}"/>
    <cellStyle name="SAPBEXheaderItem 3 2" xfId="815" xr:uid="{E9A8F569-4CDD-4D3D-935B-4E0AB10E5C85}"/>
    <cellStyle name="SAPBEXheaderItem 4" xfId="394" xr:uid="{7E85BD09-3D65-4A3B-8ECF-57E54262681C}"/>
    <cellStyle name="SAPBEXheaderItem 4 2" xfId="816" xr:uid="{462DA5D3-F67A-4883-8331-576B80AAD9DB}"/>
    <cellStyle name="SAPBEXheaderItem 5" xfId="395" xr:uid="{8792FEAD-D86B-4E79-828E-6ECFF6A827B7}"/>
    <cellStyle name="SAPBEXheaderItem 5 2" xfId="817" xr:uid="{8B7E4654-519D-4B46-90D3-61CED41B8FBE}"/>
    <cellStyle name="SAPBEXheaderItem 6" xfId="396" xr:uid="{A1C60997-FFB7-4B91-B159-7925535FCFC1}"/>
    <cellStyle name="SAPBEXheaderItem 6 2" xfId="818" xr:uid="{D109B176-901C-4B8F-8E32-FE0BCA55F8DA}"/>
    <cellStyle name="SAPBEXheaderText" xfId="397" xr:uid="{508EEA90-F4DE-4CC0-9669-E9D1856D09AB}"/>
    <cellStyle name="SAPBEXheaderText 2" xfId="398" xr:uid="{36D5CB4B-D6FD-4038-ACA4-82C93A8F55DC}"/>
    <cellStyle name="SAPBEXheaderText 2 2" xfId="819" xr:uid="{347D699B-712D-48A0-9133-906CF948D38A}"/>
    <cellStyle name="SAPBEXheaderText 3" xfId="399" xr:uid="{43BB1BAE-9008-419F-9B0E-D00DC10173CB}"/>
    <cellStyle name="SAPBEXheaderText 3 2" xfId="820" xr:uid="{ED1EDF46-9C0D-475A-852B-D4E45CC0F1D7}"/>
    <cellStyle name="SAPBEXheaderText 4" xfId="400" xr:uid="{6F674AD3-7DB8-4204-819B-26F9E57A75B6}"/>
    <cellStyle name="SAPBEXheaderText 4 2" xfId="821" xr:uid="{13298D5E-2036-4913-8457-A8B7DA5CC7B5}"/>
    <cellStyle name="SAPBEXheaderText 5" xfId="401" xr:uid="{FDD16C65-1533-4C3A-AF5F-7C91DDFC4E10}"/>
    <cellStyle name="SAPBEXheaderText 5 2" xfId="822" xr:uid="{AA99776A-7E4C-4D2E-87BC-5F53B3338865}"/>
    <cellStyle name="SAPBEXheaderText 6" xfId="402" xr:uid="{6250D425-A3A5-4FA2-8E8D-E2B5B27C6CF5}"/>
    <cellStyle name="SAPBEXheaderText 6 2" xfId="823" xr:uid="{4B4D6C85-290C-4E4D-A826-F627D0EF619F}"/>
    <cellStyle name="SAPBEXHLevel0" xfId="403" xr:uid="{1F565B33-9F7A-455A-B6CF-F9BC5A6884BF}"/>
    <cellStyle name="SAPBEXHLevel0 2" xfId="404" xr:uid="{7665501C-FC3A-4FAD-A6E1-BB7F32576F98}"/>
    <cellStyle name="SAPBEXHLevel0 2 2" xfId="824" xr:uid="{4FBD333D-604F-4C7B-B0F9-614074D13313}"/>
    <cellStyle name="SAPBEXHLevel0 3" xfId="405" xr:uid="{37E27D92-1A50-48F7-8E62-590700C22D34}"/>
    <cellStyle name="SAPBEXHLevel0 3 2" xfId="825" xr:uid="{E97A0679-F115-4D6F-B36A-3AD05B1D55E9}"/>
    <cellStyle name="SAPBEXHLevel0 4" xfId="406" xr:uid="{B053456B-3757-4CBB-9264-7CD1277C2180}"/>
    <cellStyle name="SAPBEXHLevel0 4 2" xfId="826" xr:uid="{6AB1507F-EE40-47AB-BF67-09AC904FA39C}"/>
    <cellStyle name="SAPBEXHLevel0 5" xfId="407" xr:uid="{3C860B8A-3E20-42BB-AEC8-BCEE083C355C}"/>
    <cellStyle name="SAPBEXHLevel0 5 2" xfId="827" xr:uid="{2E43EB56-D6CE-40AB-9CD1-48EA3D7E0C67}"/>
    <cellStyle name="SAPBEXHLevel0 6" xfId="408" xr:uid="{F72464B0-D10D-4D53-8EDA-D43E1BC85E6D}"/>
    <cellStyle name="SAPBEXHLevel0 6 2" xfId="828" xr:uid="{FBF45491-4636-44AB-AA28-86C958028186}"/>
    <cellStyle name="SAPBEXHLevel0 7" xfId="409" xr:uid="{51CFBE30-82AA-48E5-9689-BDE7F2F99A29}"/>
    <cellStyle name="SAPBEXHLevel0 7 2" xfId="829" xr:uid="{D8572F23-AC43-4E0D-8DC4-FD84D3ABD5CD}"/>
    <cellStyle name="SAPBEXHLevel0_7y-отчетная_РЖД_2009_04" xfId="410" xr:uid="{361DB67F-1A05-4D94-A3D4-704CE784C42F}"/>
    <cellStyle name="SAPBEXHLevel0X" xfId="411" xr:uid="{477EBD24-EB3A-4533-AADF-71198542679F}"/>
    <cellStyle name="SAPBEXHLevel0X 2" xfId="412" xr:uid="{6C60588B-42D7-4669-8739-7C952067872D}"/>
    <cellStyle name="SAPBEXHLevel0X 2 2" xfId="830" xr:uid="{8A92AD9F-8A04-4A38-A797-80BBBD94D8AC}"/>
    <cellStyle name="SAPBEXHLevel0X 3" xfId="413" xr:uid="{2CD4EF22-4570-4938-8030-A9CA06B09AAB}"/>
    <cellStyle name="SAPBEXHLevel0X 3 2" xfId="831" xr:uid="{85F4A0AB-CC48-4C90-876E-3B86A693762C}"/>
    <cellStyle name="SAPBEXHLevel0X 4" xfId="414" xr:uid="{7C8A3973-ADCC-4A95-AEC3-09053AD25C38}"/>
    <cellStyle name="SAPBEXHLevel0X 4 2" xfId="832" xr:uid="{51EF242C-4D01-45B9-A7D5-9F66A333986A}"/>
    <cellStyle name="SAPBEXHLevel0X 5" xfId="415" xr:uid="{A1692F4E-CF34-4B9B-9EA4-DEC804B0A78A}"/>
    <cellStyle name="SAPBEXHLevel0X 5 2" xfId="833" xr:uid="{635177A2-75D8-4B3B-B0CF-159DE7759893}"/>
    <cellStyle name="SAPBEXHLevel0X 6" xfId="416" xr:uid="{A141E7CD-8A6B-4F69-99DC-9E7DEB1207F7}"/>
    <cellStyle name="SAPBEXHLevel0X 6 2" xfId="834" xr:uid="{6C910A02-6847-47DD-9AA6-4F04F0258D15}"/>
    <cellStyle name="SAPBEXHLevel0X 7" xfId="417" xr:uid="{8CB6B0D6-FF83-47C8-8055-7090B1C8E505}"/>
    <cellStyle name="SAPBEXHLevel0X 7 2" xfId="835" xr:uid="{65609A22-B3C9-4BDF-B3BC-D1DDAA913F4A}"/>
    <cellStyle name="SAPBEXHLevel0X 8" xfId="418" xr:uid="{F1D0D810-6630-45FE-9D21-8BCF92A0F71A}"/>
    <cellStyle name="SAPBEXHLevel0X 8 2" xfId="836" xr:uid="{3DCBAF03-1D4D-4E06-BCEB-74DE78839085}"/>
    <cellStyle name="SAPBEXHLevel0X 9" xfId="419" xr:uid="{5C59A887-39D4-4662-9C99-79215675F7F1}"/>
    <cellStyle name="SAPBEXHLevel0X 9 2" xfId="837" xr:uid="{B3D74923-1E56-43C2-BEFE-ED2EFFCC2944}"/>
    <cellStyle name="SAPBEXHLevel0X_7-р_Из_Системы" xfId="420" xr:uid="{EE910E18-0B32-4499-BED3-06F789CDB0D5}"/>
    <cellStyle name="SAPBEXHLevel1" xfId="421" xr:uid="{E853FCE6-7BCD-4CC6-8E59-6674F3F6F211}"/>
    <cellStyle name="SAPBEXHLevel1 2" xfId="422" xr:uid="{F610DC74-E67D-4CAC-997C-75132A3E1D09}"/>
    <cellStyle name="SAPBEXHLevel1 2 2" xfId="838" xr:uid="{D41CE823-6C06-4507-83C8-8317787B2DDF}"/>
    <cellStyle name="SAPBEXHLevel1 3" xfId="423" xr:uid="{99B10D3D-D24D-4BEA-8168-AA0300D78B03}"/>
    <cellStyle name="SAPBEXHLevel1 3 2" xfId="839" xr:uid="{B1923233-9D1F-4BA9-BFC1-E7417A7C858E}"/>
    <cellStyle name="SAPBEXHLevel1 4" xfId="424" xr:uid="{50259D15-845D-47A5-8610-481A4F35CF9E}"/>
    <cellStyle name="SAPBEXHLevel1 4 2" xfId="840" xr:uid="{8772C48E-351E-434B-87C6-814057F3066E}"/>
    <cellStyle name="SAPBEXHLevel1 5" xfId="425" xr:uid="{418A7928-FCC3-4FAC-85FA-B5401747A4DF}"/>
    <cellStyle name="SAPBEXHLevel1 5 2" xfId="841" xr:uid="{E345CD1A-8F95-4FC2-AD8A-209B2D489989}"/>
    <cellStyle name="SAPBEXHLevel1 6" xfId="426" xr:uid="{08395569-B08F-45B3-A4DD-83C83CD31A6D}"/>
    <cellStyle name="SAPBEXHLevel1 6 2" xfId="842" xr:uid="{E80A9710-26A3-4399-95DE-0B6451F2A68D}"/>
    <cellStyle name="SAPBEXHLevel1 7" xfId="427" xr:uid="{9AEA8711-F554-4348-864F-8F0028016577}"/>
    <cellStyle name="SAPBEXHLevel1 7 2" xfId="843" xr:uid="{35D72916-F3D3-4281-9C5F-145EE0423FC3}"/>
    <cellStyle name="SAPBEXHLevel1_7y-отчетная_РЖД_2009_04" xfId="428" xr:uid="{FB48EBBC-327A-41CD-99F9-E7D358B60421}"/>
    <cellStyle name="SAPBEXHLevel1X" xfId="429" xr:uid="{F90C4E4F-D36C-4274-AC65-4C43680AAB04}"/>
    <cellStyle name="SAPBEXHLevel1X 2" xfId="430" xr:uid="{C58A66D4-558C-4E09-A564-F8B1732250E4}"/>
    <cellStyle name="SAPBEXHLevel1X 2 2" xfId="844" xr:uid="{4B378F53-1746-48F0-9F5A-D4D8A285FC36}"/>
    <cellStyle name="SAPBEXHLevel1X 3" xfId="431" xr:uid="{BAB228BB-E498-4A53-9738-80E8B3476C08}"/>
    <cellStyle name="SAPBEXHLevel1X 3 2" xfId="845" xr:uid="{7C2DB947-FFD7-4FF7-8BD9-1F14BAE3B503}"/>
    <cellStyle name="SAPBEXHLevel1X 4" xfId="432" xr:uid="{C19071FE-0029-49C1-864D-7A54D3131140}"/>
    <cellStyle name="SAPBEXHLevel1X 4 2" xfId="846" xr:uid="{C00065CA-7DDB-4B86-90D6-8FC1C7FC70E3}"/>
    <cellStyle name="SAPBEXHLevel1X 5" xfId="433" xr:uid="{074FBED2-2FFA-475A-823B-8552C296DC44}"/>
    <cellStyle name="SAPBEXHLevel1X 5 2" xfId="847" xr:uid="{087D21E6-9B8B-4E21-8C26-E70394CA2257}"/>
    <cellStyle name="SAPBEXHLevel1X 6" xfId="434" xr:uid="{CF0050A9-CFE0-4750-BC44-BE65948F4CA5}"/>
    <cellStyle name="SAPBEXHLevel1X 6 2" xfId="848" xr:uid="{230B1E89-0755-4CAB-89F6-159CE2A2C63B}"/>
    <cellStyle name="SAPBEXHLevel1X 7" xfId="435" xr:uid="{B8367BC1-08B5-44E3-AEC0-737B967552B9}"/>
    <cellStyle name="SAPBEXHLevel1X 7 2" xfId="849" xr:uid="{DFE99F33-1532-4E1E-9AC0-0921A3AB94FC}"/>
    <cellStyle name="SAPBEXHLevel1X 8" xfId="436" xr:uid="{6B0BD365-0483-47D3-AF90-679B1FE60BBB}"/>
    <cellStyle name="SAPBEXHLevel1X 8 2" xfId="850" xr:uid="{DA4E1BA7-8310-44FF-9088-977C8626B648}"/>
    <cellStyle name="SAPBEXHLevel1X 9" xfId="437" xr:uid="{8452DD86-997A-464D-A243-1A383430E836}"/>
    <cellStyle name="SAPBEXHLevel1X 9 2" xfId="851" xr:uid="{180355CF-9643-482E-97F5-F83CE3C91DDC}"/>
    <cellStyle name="SAPBEXHLevel1X_7-р_Из_Системы" xfId="438" xr:uid="{E9628491-C040-4461-ADEE-39181D3A94E5}"/>
    <cellStyle name="SAPBEXHLevel2" xfId="439" xr:uid="{E8E322C9-301E-471B-B4FE-7EABE5CAEC6A}"/>
    <cellStyle name="SAPBEXHLevel2 2" xfId="440" xr:uid="{3DA5F7A3-E526-407D-9B36-BCADD0CEF36B}"/>
    <cellStyle name="SAPBEXHLevel2 2 2" xfId="852" xr:uid="{8426B428-BF3A-4CA0-82D8-8B5A3D6E4C23}"/>
    <cellStyle name="SAPBEXHLevel2 3" xfId="441" xr:uid="{3C2CDAC1-9521-4262-AF92-2E798104E7DE}"/>
    <cellStyle name="SAPBEXHLevel2 3 2" xfId="853" xr:uid="{43B4C0FF-AD1B-4E2D-A109-6F974286A2AB}"/>
    <cellStyle name="SAPBEXHLevel2 4" xfId="442" xr:uid="{7207D58E-2DF8-4EF9-97BC-0916F86635F5}"/>
    <cellStyle name="SAPBEXHLevel2 4 2" xfId="854" xr:uid="{33B7E45D-5C27-40F8-8496-2565E1D27BE3}"/>
    <cellStyle name="SAPBEXHLevel2 5" xfId="443" xr:uid="{5BA28D8E-F8F4-4B21-9A3D-161A3F377C74}"/>
    <cellStyle name="SAPBEXHLevel2 5 2" xfId="855" xr:uid="{111C0CC2-4544-4864-98C6-8FF8F3820A35}"/>
    <cellStyle name="SAPBEXHLevel2 6" xfId="444" xr:uid="{D27BE75E-40A5-4238-90FD-BBE82A1452A7}"/>
    <cellStyle name="SAPBEXHLevel2 6 2" xfId="856" xr:uid="{625F2197-0438-4B42-921E-391DF2C28B71}"/>
    <cellStyle name="SAPBEXHLevel2_Приложение_1_к_7-у-о_2009_Кв_1_ФСТ" xfId="445" xr:uid="{13DCB82A-467A-4FD4-ACBC-DDD43713496D}"/>
    <cellStyle name="SAPBEXHLevel2X" xfId="446" xr:uid="{271DE0D3-B5AC-4D9D-A1FA-C77F696D4AD7}"/>
    <cellStyle name="SAPBEXHLevel2X 10" xfId="857" xr:uid="{1552E080-1759-4920-9501-02A296865B41}"/>
    <cellStyle name="SAPBEXHLevel2X 2" xfId="447" xr:uid="{1063144A-0507-4632-A61F-77BB26097646}"/>
    <cellStyle name="SAPBEXHLevel2X 2 2" xfId="858" xr:uid="{50323A86-C7B4-4692-BC57-70DE4CD16F71}"/>
    <cellStyle name="SAPBEXHLevel2X 3" xfId="448" xr:uid="{2DF6C373-1123-4E14-89FF-2E731FC10B1E}"/>
    <cellStyle name="SAPBEXHLevel2X 3 2" xfId="859" xr:uid="{DB486885-E70D-498F-95C2-EC56F96708A3}"/>
    <cellStyle name="SAPBEXHLevel2X 4" xfId="449" xr:uid="{5037B2F5-44EF-4BEC-A11B-4C7029F1A5EE}"/>
    <cellStyle name="SAPBEXHLevel2X 4 2" xfId="860" xr:uid="{BEE7FF73-BFBF-45B8-BB85-9B1F0F1E636E}"/>
    <cellStyle name="SAPBEXHLevel2X 5" xfId="450" xr:uid="{0A659DF9-89F6-40A5-9246-CCACD2B08F09}"/>
    <cellStyle name="SAPBEXHLevel2X 5 2" xfId="861" xr:uid="{3DF4E3A8-5B66-4DB1-9DC7-FC4CE807AB04}"/>
    <cellStyle name="SAPBEXHLevel2X 6" xfId="451" xr:uid="{6489A590-2F95-4E1B-A514-97D7FBACB29C}"/>
    <cellStyle name="SAPBEXHLevel2X 6 2" xfId="862" xr:uid="{BA2366A3-AFC0-43F1-9CE5-8376B463BF3D}"/>
    <cellStyle name="SAPBEXHLevel2X 7" xfId="452" xr:uid="{B3C257F4-6FB4-4283-BD27-D4E69E940346}"/>
    <cellStyle name="SAPBEXHLevel2X 7 2" xfId="863" xr:uid="{96023FD3-85BC-4B1B-80A7-CBD80A4FCF4C}"/>
    <cellStyle name="SAPBEXHLevel2X 8" xfId="453" xr:uid="{AAEF9CD1-7104-4945-9BDF-64991DBDE758}"/>
    <cellStyle name="SAPBEXHLevel2X 8 2" xfId="864" xr:uid="{5F7D9493-584F-428B-B72C-5FA985E163D3}"/>
    <cellStyle name="SAPBEXHLevel2X 9" xfId="454" xr:uid="{4DB167CD-ABDE-4396-A010-1BAA48BFD5A3}"/>
    <cellStyle name="SAPBEXHLevel2X 9 2" xfId="865" xr:uid="{7E0F3E06-79FE-47A6-A33D-FB48D93ED2FD}"/>
    <cellStyle name="SAPBEXHLevel2X_7-р_Из_Системы" xfId="455" xr:uid="{C7AE2F44-6659-4218-A03C-29DD3D6B7AA4}"/>
    <cellStyle name="SAPBEXHLevel3" xfId="456" xr:uid="{39E5D773-8626-4BE8-9C5D-E5BB117BFF65}"/>
    <cellStyle name="SAPBEXHLevel3 2" xfId="457" xr:uid="{A29CD5F3-1437-4895-8B57-CC60448B0FE4}"/>
    <cellStyle name="SAPBEXHLevel3 2 2" xfId="866" xr:uid="{161C774F-7B74-4042-BDF7-3D4008E923A7}"/>
    <cellStyle name="SAPBEXHLevel3 3" xfId="458" xr:uid="{148A1883-9DB5-4F81-94CE-106EFE8A1011}"/>
    <cellStyle name="SAPBEXHLevel3 3 2" xfId="867" xr:uid="{810DC2BB-8345-4A81-883C-52CC92224B1F}"/>
    <cellStyle name="SAPBEXHLevel3 4" xfId="459" xr:uid="{49E5B594-E02F-4F11-81EA-4EE7CEFCF6F7}"/>
    <cellStyle name="SAPBEXHLevel3 4 2" xfId="868" xr:uid="{1129F030-4A98-4409-AD77-FE684D18F1DC}"/>
    <cellStyle name="SAPBEXHLevel3 5" xfId="460" xr:uid="{8FF83D64-F685-43C1-9EA2-9E0F65F7C3B1}"/>
    <cellStyle name="SAPBEXHLevel3 5 2" xfId="869" xr:uid="{D0AFEE59-2B32-43C1-9806-DBC9C7403761}"/>
    <cellStyle name="SAPBEXHLevel3 6" xfId="461" xr:uid="{34D2A045-C93F-4BED-A7D3-530D82734F28}"/>
    <cellStyle name="SAPBEXHLevel3 6 2" xfId="870" xr:uid="{DDD4D399-766D-4B8E-8A0D-DFEEF9E2AC77}"/>
    <cellStyle name="SAPBEXHLevel3_Приложение_1_к_7-у-о_2009_Кв_1_ФСТ" xfId="462" xr:uid="{515D4609-EFC5-4A6C-A116-6AC356A71D15}"/>
    <cellStyle name="SAPBEXHLevel3X" xfId="463" xr:uid="{C982FF6F-DAA6-4069-B575-A18973203372}"/>
    <cellStyle name="SAPBEXHLevel3X 10" xfId="871" xr:uid="{185A6C49-1694-4613-AB82-CD44617359BB}"/>
    <cellStyle name="SAPBEXHLevel3X 2" xfId="464" xr:uid="{E2E9F0C7-4D92-4DA9-988B-64A020F9AD34}"/>
    <cellStyle name="SAPBEXHLevel3X 2 2" xfId="872" xr:uid="{E427F6CB-65CF-403A-84B0-15C6A5AEB348}"/>
    <cellStyle name="SAPBEXHLevel3X 3" xfId="465" xr:uid="{44D220A5-D40D-483C-A19A-ECDF012E6A53}"/>
    <cellStyle name="SAPBEXHLevel3X 3 2" xfId="873" xr:uid="{26871F77-6CC2-4BB8-A7A1-046182A511ED}"/>
    <cellStyle name="SAPBEXHLevel3X 4" xfId="466" xr:uid="{524F93F0-72A1-4326-A019-2B5325512E44}"/>
    <cellStyle name="SAPBEXHLevel3X 4 2" xfId="874" xr:uid="{6331F0A8-6B9A-4CF7-BBB7-E86D297C0125}"/>
    <cellStyle name="SAPBEXHLevel3X 5" xfId="467" xr:uid="{3C70C0BB-A271-4FC4-8EA0-8593148976D4}"/>
    <cellStyle name="SAPBEXHLevel3X 5 2" xfId="875" xr:uid="{023C16EA-A713-4806-AB4E-13D926C15B0C}"/>
    <cellStyle name="SAPBEXHLevel3X 6" xfId="468" xr:uid="{911364AF-E038-4810-A4C6-35EA9B0FB4C2}"/>
    <cellStyle name="SAPBEXHLevel3X 6 2" xfId="876" xr:uid="{747BD235-1297-4E46-BBF0-B7BE69B99B13}"/>
    <cellStyle name="SAPBEXHLevel3X 7" xfId="469" xr:uid="{98C594B0-C81A-49AD-B615-5D866322C3A9}"/>
    <cellStyle name="SAPBEXHLevel3X 7 2" xfId="877" xr:uid="{8EB12568-C602-418B-8FD7-01CCBA4E82D1}"/>
    <cellStyle name="SAPBEXHLevel3X 8" xfId="470" xr:uid="{7C5BA17B-363C-4804-9181-729E7B21976E}"/>
    <cellStyle name="SAPBEXHLevel3X 8 2" xfId="878" xr:uid="{5B52CA84-60FA-4654-8572-F44652321790}"/>
    <cellStyle name="SAPBEXHLevel3X 9" xfId="471" xr:uid="{A169849D-0AA3-4951-BE47-EA14B6137F75}"/>
    <cellStyle name="SAPBEXHLevel3X 9 2" xfId="879" xr:uid="{E802BC35-B60F-4F96-BB7B-9A0CDF3DA347}"/>
    <cellStyle name="SAPBEXHLevel3X_7-р_Из_Системы" xfId="472" xr:uid="{60A4F34A-335F-4721-8950-177093ECA6A0}"/>
    <cellStyle name="SAPBEXinputData" xfId="473" xr:uid="{791D9405-9A39-4356-869B-1C2600823321}"/>
    <cellStyle name="SAPBEXinputData 10" xfId="474" xr:uid="{DD4F23E3-D062-46B5-B906-AE48EBF86F19}"/>
    <cellStyle name="SAPBEXinputData 2" xfId="475" xr:uid="{38A11E7C-3B5B-4AB4-BE5B-7F4FBF09989B}"/>
    <cellStyle name="SAPBEXinputData 3" xfId="476" xr:uid="{9AA62999-B173-4279-BC8A-483A8394C50E}"/>
    <cellStyle name="SAPBEXinputData 4" xfId="477" xr:uid="{6F6BC401-08E6-4E37-AF57-0445E1BCC4D4}"/>
    <cellStyle name="SAPBEXinputData 5" xfId="478" xr:uid="{8507A0AE-4925-415A-943F-9D0605707E44}"/>
    <cellStyle name="SAPBEXinputData 6" xfId="479" xr:uid="{9C935995-FC78-4B0C-87FE-9BE084A076E5}"/>
    <cellStyle name="SAPBEXinputData 7" xfId="480" xr:uid="{19CE3103-EC33-403E-ACD1-59CCF210BA8A}"/>
    <cellStyle name="SAPBEXinputData 8" xfId="481" xr:uid="{C1A938C3-8CAD-49B0-B944-52165FD39ACA}"/>
    <cellStyle name="SAPBEXinputData 9" xfId="482" xr:uid="{550D5259-B75F-4145-BC89-7330ABB43B90}"/>
    <cellStyle name="SAPBEXinputData_7-р_Из_Системы" xfId="483" xr:uid="{C91E9753-5B21-45C0-A45A-F05378273640}"/>
    <cellStyle name="SAPBEXItemHeader" xfId="484" xr:uid="{E6672CB3-E7CD-47CB-A220-E4F24742E533}"/>
    <cellStyle name="SAPBEXItemHeader 2" xfId="880" xr:uid="{63D66FB5-5224-48F2-8595-E3E77A62F8A2}"/>
    <cellStyle name="SAPBEXresData" xfId="485" xr:uid="{413C4118-D364-46D7-9BC1-ECC49076ACA7}"/>
    <cellStyle name="SAPBEXresData 2" xfId="486" xr:uid="{8FFE44AF-E0C6-4C95-9616-EB8F2DEC8EAA}"/>
    <cellStyle name="SAPBEXresData 2 2" xfId="882" xr:uid="{D51FA58B-FED3-4316-8A41-70021D7724A5}"/>
    <cellStyle name="SAPBEXresData 3" xfId="487" xr:uid="{49E686FA-ACDD-416F-83C5-5AB57B5E42AD}"/>
    <cellStyle name="SAPBEXresData 3 2" xfId="883" xr:uid="{2C50B27D-29C0-4F8F-A951-E108DF80AD51}"/>
    <cellStyle name="SAPBEXresData 4" xfId="488" xr:uid="{C17479DE-7A5C-4D7A-8B7A-5536217740E7}"/>
    <cellStyle name="SAPBEXresData 4 2" xfId="884" xr:uid="{F7CF6009-55C2-47D7-AE99-182810D528AA}"/>
    <cellStyle name="SAPBEXresData 5" xfId="489" xr:uid="{A6749219-E095-4974-8C55-15FB9DC8F2E9}"/>
    <cellStyle name="SAPBEXresData 5 2" xfId="885" xr:uid="{FAD9CEC9-7238-49C3-B8E4-FD95B4C64C7B}"/>
    <cellStyle name="SAPBEXresData 6" xfId="490" xr:uid="{6BFE69AD-CE92-47B0-A8FA-4D790ED5BA49}"/>
    <cellStyle name="SAPBEXresData 6 2" xfId="886" xr:uid="{BB2A2B55-B30B-4027-990D-B01EA3AB3CA1}"/>
    <cellStyle name="SAPBEXresData 7" xfId="881" xr:uid="{AFE6F59C-6D51-4BC9-83CC-CA25278081F3}"/>
    <cellStyle name="SAPBEXresDataEmph" xfId="491" xr:uid="{F0CFA536-C705-453F-B183-020EA49BF7CA}"/>
    <cellStyle name="SAPBEXresDataEmph 2" xfId="492" xr:uid="{AE94751C-E3CC-452B-B37A-B8E29D92BAF0}"/>
    <cellStyle name="SAPBEXresDataEmph 2 2" xfId="493" xr:uid="{2817AC63-64B1-4C7A-B2C4-3C48E95570FC}"/>
    <cellStyle name="SAPBEXresDataEmph 3" xfId="494" xr:uid="{2A03F0F3-7059-4CB1-BE2B-7E1E9F426997}"/>
    <cellStyle name="SAPBEXresDataEmph 3 2" xfId="495" xr:uid="{35F925B4-5C79-4444-9870-459634295130}"/>
    <cellStyle name="SAPBEXresDataEmph 4" xfId="496" xr:uid="{8088BDF1-3056-40DE-8E5C-79A43B9B6137}"/>
    <cellStyle name="SAPBEXresDataEmph 4 2" xfId="497" xr:uid="{581B8964-4C29-4A72-9B92-90C812CC6273}"/>
    <cellStyle name="SAPBEXresDataEmph 5" xfId="498" xr:uid="{AECE3295-A3EA-4E44-9E37-ACCEA2FD98F2}"/>
    <cellStyle name="SAPBEXresDataEmph 5 2" xfId="499" xr:uid="{33FC8EE2-DB11-4B6E-991A-FEBC381434E2}"/>
    <cellStyle name="SAPBEXresDataEmph 6" xfId="500" xr:uid="{D28BB006-11CF-4527-A15D-B324B89D57DB}"/>
    <cellStyle name="SAPBEXresDataEmph 6 2" xfId="501" xr:uid="{306C2E23-A774-4553-98C9-44C69DD6DC0A}"/>
    <cellStyle name="SAPBEXresDataEmph 7" xfId="887" xr:uid="{6EC0412E-6F7F-4A0B-BFC5-048FD0B5E75E}"/>
    <cellStyle name="SAPBEXresItem" xfId="502" xr:uid="{FD893F31-6F79-4B52-BA49-06A2862B9ED9}"/>
    <cellStyle name="SAPBEXresItem 2" xfId="503" xr:uid="{801D4CB2-A5F9-4DF7-9890-8341723294A1}"/>
    <cellStyle name="SAPBEXresItem 2 2" xfId="889" xr:uid="{AC241A4A-A270-4BBB-A2B2-C642B21418DE}"/>
    <cellStyle name="SAPBEXresItem 3" xfId="504" xr:uid="{E7A165D4-B68C-4F7A-8C92-467B33A98F09}"/>
    <cellStyle name="SAPBEXresItem 3 2" xfId="890" xr:uid="{D2D4521E-9B28-481A-878F-F0A8D786FA35}"/>
    <cellStyle name="SAPBEXresItem 4" xfId="505" xr:uid="{9D974D8B-4134-472C-A9D6-FE040B5958FC}"/>
    <cellStyle name="SAPBEXresItem 4 2" xfId="891" xr:uid="{15AD4CC3-C7BD-43CF-B8E8-4364CC87466A}"/>
    <cellStyle name="SAPBEXresItem 5" xfId="506" xr:uid="{BB1D2030-616D-4DE3-B682-1E7B033D91ED}"/>
    <cellStyle name="SAPBEXresItem 5 2" xfId="892" xr:uid="{912FF8DA-72C7-4AAC-896A-3BD53AAABA53}"/>
    <cellStyle name="SAPBEXresItem 6" xfId="507" xr:uid="{2C8ADF2A-D35E-42FF-96A0-8C75CEE0ABE6}"/>
    <cellStyle name="SAPBEXresItem 6 2" xfId="893" xr:uid="{9E748DF9-64BC-4010-82AE-11ABA37E2E1E}"/>
    <cellStyle name="SAPBEXresItem 7" xfId="888" xr:uid="{A1E4344B-1EB4-42B7-BB3F-6BA35F701990}"/>
    <cellStyle name="SAPBEXresItemX" xfId="508" xr:uid="{C013140E-35CD-43BB-9CCC-65A4066382AF}"/>
    <cellStyle name="SAPBEXresItemX 2" xfId="509" xr:uid="{16B11EFB-AE5D-4586-A4F1-46C47673A424}"/>
    <cellStyle name="SAPBEXresItemX 2 2" xfId="895" xr:uid="{8D47973D-4EB6-4DDD-A0AE-79776BC9BAE8}"/>
    <cellStyle name="SAPBEXresItemX 3" xfId="510" xr:uid="{E567AC8B-92A3-45D5-9786-9E3DEB37334E}"/>
    <cellStyle name="SAPBEXresItemX 3 2" xfId="896" xr:uid="{F246A10D-E124-4600-A653-213C14A8CE9E}"/>
    <cellStyle name="SAPBEXresItemX 4" xfId="511" xr:uid="{CD0D2E82-8EA5-434B-8438-9AA9D0143F19}"/>
    <cellStyle name="SAPBEXresItemX 4 2" xfId="897" xr:uid="{5ECDF7C8-2FA5-4D18-8788-27F73C3394DF}"/>
    <cellStyle name="SAPBEXresItemX 5" xfId="512" xr:uid="{08CCBC45-EFBB-4FBA-8377-BAD8F9890AFB}"/>
    <cellStyle name="SAPBEXresItemX 5 2" xfId="898" xr:uid="{84EDDC5D-CD5E-48B4-A8E3-2A2ECA2FDB84}"/>
    <cellStyle name="SAPBEXresItemX 6" xfId="513" xr:uid="{9489CBEF-F0E2-4BF6-ADDE-5BE02A2EB180}"/>
    <cellStyle name="SAPBEXresItemX 6 2" xfId="899" xr:uid="{05CE4A1C-C42A-4818-814D-03E1D912DEB2}"/>
    <cellStyle name="SAPBEXresItemX 7" xfId="894" xr:uid="{7164192E-5D1C-4AC1-AC02-A63267B4D047}"/>
    <cellStyle name="SAPBEXstdData" xfId="514" xr:uid="{FD0EAF33-8AAB-4193-B8A6-C18EE6CF6E19}"/>
    <cellStyle name="SAPBEXstdData 2" xfId="515" xr:uid="{2B9CA388-C569-4ACB-BBB8-9E1017424AA4}"/>
    <cellStyle name="SAPBEXstdData 2 2" xfId="901" xr:uid="{68C7E9BB-C216-42CE-81EE-AD668D02C345}"/>
    <cellStyle name="SAPBEXstdData 3" xfId="516" xr:uid="{74DAA7F0-D138-48A7-A73C-A3DC5C358D9D}"/>
    <cellStyle name="SAPBEXstdData 3 2" xfId="902" xr:uid="{E69596DC-0742-4E34-B49B-5BC30BEB1B6D}"/>
    <cellStyle name="SAPBEXstdData 4" xfId="517" xr:uid="{D0207D05-9EC6-459C-96B5-1FE073A35752}"/>
    <cellStyle name="SAPBEXstdData 4 2" xfId="903" xr:uid="{82B16123-172A-46CB-AACF-857B559B6F8C}"/>
    <cellStyle name="SAPBEXstdData 5" xfId="518" xr:uid="{3B46CDC1-1E55-46C7-93E1-67C9D09082FE}"/>
    <cellStyle name="SAPBEXstdData 5 2" xfId="904" xr:uid="{53008114-8F5D-4222-AF17-C4C3E47DF010}"/>
    <cellStyle name="SAPBEXstdData 6" xfId="519" xr:uid="{C7A1F69B-AF59-4976-A379-673918E47C07}"/>
    <cellStyle name="SAPBEXstdData 6 2" xfId="905" xr:uid="{ECDDDAB3-C7A1-4656-ABD4-A4274F1983B8}"/>
    <cellStyle name="SAPBEXstdData 7" xfId="900" xr:uid="{DADEF62B-2C72-4B3D-894B-8BE13D675E41}"/>
    <cellStyle name="SAPBEXstdData_Приложение_1_к_7-у-о_2009_Кв_1_ФСТ" xfId="520" xr:uid="{9EE4A794-10B2-4C04-9399-B109BD0FDDF6}"/>
    <cellStyle name="SAPBEXstdDataEmph" xfId="521" xr:uid="{03CFFB96-703F-4C15-A219-5B1CC29A48E9}"/>
    <cellStyle name="SAPBEXstdDataEmph 2" xfId="522" xr:uid="{2413AD4B-0C8C-401A-B229-6B57169F853D}"/>
    <cellStyle name="SAPBEXstdDataEmph 2 2" xfId="907" xr:uid="{C62A1880-D93B-4B97-9199-F8A4B8D4A298}"/>
    <cellStyle name="SAPBEXstdDataEmph 3" xfId="523" xr:uid="{B397104D-6806-4016-A09A-5A9BF75FA6BF}"/>
    <cellStyle name="SAPBEXstdDataEmph 3 2" xfId="908" xr:uid="{62C5688A-0405-4B55-AD73-A07022563C93}"/>
    <cellStyle name="SAPBEXstdDataEmph 4" xfId="524" xr:uid="{4D57829E-BC57-4C51-B582-4C7ECDCAC3E2}"/>
    <cellStyle name="SAPBEXstdDataEmph 4 2" xfId="909" xr:uid="{F0718F6F-CABD-4AB2-A981-731EB94D8C6E}"/>
    <cellStyle name="SAPBEXstdDataEmph 5" xfId="525" xr:uid="{46C10F49-39A7-44F2-982E-D02CD0CADCF5}"/>
    <cellStyle name="SAPBEXstdDataEmph 5 2" xfId="910" xr:uid="{193A0AB5-D65C-4B2D-99AE-572A25D14699}"/>
    <cellStyle name="SAPBEXstdDataEmph 6" xfId="526" xr:uid="{F04C6430-A4EC-49F1-8DD9-364CF881D006}"/>
    <cellStyle name="SAPBEXstdDataEmph 6 2" xfId="911" xr:uid="{AEA0AA5D-17A5-49BE-AF50-CDA0A8C2F6D3}"/>
    <cellStyle name="SAPBEXstdDataEmph 7" xfId="906" xr:uid="{9398EB32-9239-49BC-9804-9F7D283510D5}"/>
    <cellStyle name="SAPBEXstdItem" xfId="527" xr:uid="{DAC94317-3045-4EC7-B330-AD36A4918A1D}"/>
    <cellStyle name="SAPBEXstdItem 2" xfId="528" xr:uid="{A7AB7E85-99EB-4F94-B561-3604F5488ED7}"/>
    <cellStyle name="SAPBEXstdItem 2 2" xfId="912" xr:uid="{6EE5AD5F-B99C-4C46-AA7D-078969D7A962}"/>
    <cellStyle name="SAPBEXstdItem 3" xfId="529" xr:uid="{3B5D90C9-9032-46D9-8F02-0723DF1EE856}"/>
    <cellStyle name="SAPBEXstdItem 3 2" xfId="913" xr:uid="{90429F26-FC43-4D51-845D-A83B631214D6}"/>
    <cellStyle name="SAPBEXstdItem 4" xfId="530" xr:uid="{19B6B4E3-61E1-4944-863D-C71DAD09D2B6}"/>
    <cellStyle name="SAPBEXstdItem 4 2" xfId="914" xr:uid="{2505CF01-9657-4A3B-8C60-62A077E8A3D3}"/>
    <cellStyle name="SAPBEXstdItem 5" xfId="531" xr:uid="{8EDF87AC-515E-4877-B739-1B2498C27A79}"/>
    <cellStyle name="SAPBEXstdItem 5 2" xfId="915" xr:uid="{D3582E9E-59FC-4F4D-998A-49677595E4C4}"/>
    <cellStyle name="SAPBEXstdItem 6" xfId="532" xr:uid="{DCE5CAA6-0048-42B8-AC6C-95895A58B0E9}"/>
    <cellStyle name="SAPBEXstdItem 6 2" xfId="916" xr:uid="{86E3A53F-4379-4B25-9790-7C14D3DAB7D1}"/>
    <cellStyle name="SAPBEXstdItem 7" xfId="533" xr:uid="{0A023BE6-37BC-4002-8B4E-D6298C325B4E}"/>
    <cellStyle name="SAPBEXstdItem 7 2" xfId="917" xr:uid="{41B60407-2ED3-478A-A2C3-BC5E7427CA85}"/>
    <cellStyle name="SAPBEXstdItem_7-р" xfId="534" xr:uid="{36C394F2-F890-4696-97D0-7D1391AA7249}"/>
    <cellStyle name="SAPBEXstdItemX" xfId="535" xr:uid="{90909FD6-DEDB-44C2-B5AE-7F4BE628EDF1}"/>
    <cellStyle name="SAPBEXstdItemX 2" xfId="536" xr:uid="{F47AD697-F698-4B19-992F-BD9AD803B26C}"/>
    <cellStyle name="SAPBEXstdItemX 2 2" xfId="918" xr:uid="{5054677F-BB65-442A-B9FE-72AEE9263400}"/>
    <cellStyle name="SAPBEXstdItemX 3" xfId="537" xr:uid="{30645130-5125-4031-9D3B-FAAA4FE5C23D}"/>
    <cellStyle name="SAPBEXstdItemX 3 2" xfId="919" xr:uid="{00F8C02F-48AE-4D04-90ED-2BF9EE2ADD12}"/>
    <cellStyle name="SAPBEXstdItemX 4" xfId="538" xr:uid="{19935F33-6934-4A73-AFAC-36B06659CD25}"/>
    <cellStyle name="SAPBEXstdItemX 4 2" xfId="920" xr:uid="{8905BB51-CCF4-40A8-B33C-A2A4F8311D5C}"/>
    <cellStyle name="SAPBEXstdItemX 5" xfId="539" xr:uid="{E4CBEA80-4285-49D2-9BC8-919E2B86D5C9}"/>
    <cellStyle name="SAPBEXstdItemX 5 2" xfId="921" xr:uid="{9CD74E0A-E79E-432C-BDE0-350650A1E688}"/>
    <cellStyle name="SAPBEXstdItemX 6" xfId="540" xr:uid="{864AF418-58F5-416E-A77B-4F1EAF9E992A}"/>
    <cellStyle name="SAPBEXstdItemX 6 2" xfId="922" xr:uid="{A6501D3F-6FB3-4DC5-A629-EA7CE3027F0B}"/>
    <cellStyle name="SAPBEXtitle" xfId="541" xr:uid="{20FACB61-EF77-4825-984B-9EFA03DD06A6}"/>
    <cellStyle name="SAPBEXtitle 2" xfId="542" xr:uid="{5FF42B2B-987C-47B6-BD1A-E5D61C40192E}"/>
    <cellStyle name="SAPBEXtitle 2 2" xfId="923" xr:uid="{ADE0A250-D2EF-4DCE-B10C-63594705880B}"/>
    <cellStyle name="SAPBEXtitle 3" xfId="543" xr:uid="{D0A44288-771C-435A-BE75-62B5FA41D326}"/>
    <cellStyle name="SAPBEXtitle 3 2" xfId="924" xr:uid="{22502DCF-C5F9-4EAD-9BA5-EFF983B6D9DF}"/>
    <cellStyle name="SAPBEXtitle 4" xfId="544" xr:uid="{D463E87A-1CCD-440D-9076-26F7CC38BBC1}"/>
    <cellStyle name="SAPBEXtitle 4 2" xfId="925" xr:uid="{B06686BF-36E9-4C84-A5E4-2C47A9C59012}"/>
    <cellStyle name="SAPBEXtitle 5" xfId="545" xr:uid="{3AC93A89-9EB4-4938-99E1-C0F062D50881}"/>
    <cellStyle name="SAPBEXtitle 5 2" xfId="926" xr:uid="{6918E3BD-E15C-4C67-B6DF-DF2A7311EBBE}"/>
    <cellStyle name="SAPBEXtitle 6" xfId="546" xr:uid="{6F95C937-AAE3-4B5C-99DE-4A030AC438D5}"/>
    <cellStyle name="SAPBEXtitle 6 2" xfId="927" xr:uid="{0AD995F9-EA43-447C-85BC-0CE15DF442E2}"/>
    <cellStyle name="SAPBEXunassignedItem" xfId="547" xr:uid="{A4762D65-43A6-4730-A7BB-738CAEBECEB6}"/>
    <cellStyle name="SAPBEXunassignedItem 2" xfId="548" xr:uid="{550C2047-162F-450F-8A26-CBF9A6432816}"/>
    <cellStyle name="SAPBEXundefined" xfId="549" xr:uid="{A6E29303-93F1-4AE4-AB87-002033A5932F}"/>
    <cellStyle name="SAPBEXundefined 2" xfId="550" xr:uid="{F1146407-353B-40AF-AD9C-AF8925A6CE53}"/>
    <cellStyle name="SAPBEXundefined 2 2" xfId="929" xr:uid="{155F5B44-E005-4BDC-B79D-E97AEBA54F77}"/>
    <cellStyle name="SAPBEXundefined 3" xfId="551" xr:uid="{C1694289-2579-4A44-A83B-36E50DA04607}"/>
    <cellStyle name="SAPBEXundefined 3 2" xfId="930" xr:uid="{57628E1C-7F36-45AA-99E9-C487EB200422}"/>
    <cellStyle name="SAPBEXundefined 4" xfId="552" xr:uid="{87D931E2-E757-45A9-96E8-ACF48639BB1A}"/>
    <cellStyle name="SAPBEXundefined 4 2" xfId="931" xr:uid="{ADB21270-4788-4782-89F1-F7AB35E3F57E}"/>
    <cellStyle name="SAPBEXundefined 5" xfId="553" xr:uid="{0FB211D4-4663-4042-BD5D-67CEF2E04FE4}"/>
    <cellStyle name="SAPBEXundefined 5 2" xfId="932" xr:uid="{D89EB640-B07E-4EEB-8666-30E0C4BA92B7}"/>
    <cellStyle name="SAPBEXundefined 6" xfId="554" xr:uid="{02036B57-3E11-4B96-AC15-44ECBDC87238}"/>
    <cellStyle name="SAPBEXundefined 6 2" xfId="933" xr:uid="{45C380AF-1A8B-4C66-8B25-4386FDDDE8C5}"/>
    <cellStyle name="SAPBEXundefined 7" xfId="928" xr:uid="{06B1BC18-53B2-4F8F-A243-7D743D6C1992}"/>
    <cellStyle name="Sheet Title" xfId="555" xr:uid="{F230C071-5D40-4208-BBC2-D9696298E42C}"/>
    <cellStyle name="styleColumnTitles" xfId="556" xr:uid="{D8AD3CBC-A689-4F84-BBF2-95FD4BCB4BC1}"/>
    <cellStyle name="styleColumnTitles 2" xfId="934" xr:uid="{AB751DF9-3172-4F85-9037-7026530E7404}"/>
    <cellStyle name="styleDateRange" xfId="557" xr:uid="{2E427CBF-8287-4549-AF02-BB99B34B7FDB}"/>
    <cellStyle name="styleDateRange 2" xfId="935" xr:uid="{463F334E-E0B9-456C-8097-74E0578DDE56}"/>
    <cellStyle name="styleHidden" xfId="558" xr:uid="{248E4688-305D-4317-B3A5-13B688FC28E3}"/>
    <cellStyle name="styleNormal" xfId="559" xr:uid="{0A4EB9DE-9002-41FC-B725-C82371E00829}"/>
    <cellStyle name="styleSeriesAttributes" xfId="560" xr:uid="{0F9EDCDD-7C62-4FB2-B7A0-28D1603F7105}"/>
    <cellStyle name="styleSeriesAttributes 2" xfId="936" xr:uid="{3A431A21-B56C-4033-A495-B0E46F574174}"/>
    <cellStyle name="styleSeriesData" xfId="561" xr:uid="{A423B9F9-87DA-4BC7-BBF8-97A0E0106A8B}"/>
    <cellStyle name="styleSeriesData 2" xfId="937" xr:uid="{0A09F04E-5A00-4A3E-AA2F-1BFCA5DA5392}"/>
    <cellStyle name="styleSeriesDataForecast" xfId="562" xr:uid="{4EFF1E60-FEBE-439F-862B-7A1FD0F427DB}"/>
    <cellStyle name="styleSeriesDataForecast 2" xfId="938" xr:uid="{E0D215C8-363D-4C34-9DA2-5AB70A2DC100}"/>
    <cellStyle name="styleSeriesDataForecastNA" xfId="563" xr:uid="{BA2160E0-4F42-4B57-8C65-70D04A019068}"/>
    <cellStyle name="styleSeriesDataForecastNA 2" xfId="939" xr:uid="{4A28D4F0-3660-47C9-96E7-590CACCE4450}"/>
    <cellStyle name="styleSeriesDataNA" xfId="564" xr:uid="{89F5C66E-852F-43BB-BBDA-087C79E92F15}"/>
    <cellStyle name="styleSeriesDataNA 2" xfId="940" xr:uid="{7316B14E-4D51-45B7-8241-F2CA4CF2CF43}"/>
    <cellStyle name="Text Indent A" xfId="565" xr:uid="{E6077834-D6CA-4D00-9A39-DEF51C5E8D36}"/>
    <cellStyle name="Text Indent B" xfId="566" xr:uid="{DF44F81B-16E5-4BED-A383-8462C14FDE3F}"/>
    <cellStyle name="Text Indent C" xfId="567" xr:uid="{96D6C9DE-57DA-4E3F-B22D-E73C1AD6FAD0}"/>
    <cellStyle name="Times New Roman0181000015536870911" xfId="568" xr:uid="{35DDF6A8-A698-4987-9021-308CEE821CAA}"/>
    <cellStyle name="Times New Roman0181000015536870911 2" xfId="941" xr:uid="{373D5D77-3BCD-4ACB-81C0-6253BF3B639D}"/>
    <cellStyle name="Title" xfId="569" xr:uid="{2D4CBD60-BD6D-4EC5-9E8B-D20C60238EA5}"/>
    <cellStyle name="Total" xfId="570" xr:uid="{A4BBD461-42B3-45A3-AFF1-923EFEEC5C3E}"/>
    <cellStyle name="Total 2" xfId="942" xr:uid="{AAC16E50-41B2-4D00-9121-B02D23A58AA0}"/>
    <cellStyle name="Warning Text" xfId="571" xr:uid="{BA5104AF-8FEF-488C-BEBA-5AF0F83817E6}"/>
    <cellStyle name="Обычный" xfId="0" builtinId="0"/>
    <cellStyle name="Обычный 10" xfId="572" xr:uid="{AE52D31A-4041-4EC8-8448-8F788A46AE2E}"/>
    <cellStyle name="Обычный 11" xfId="573" xr:uid="{D2AAEA46-C0B1-4A6B-BF1B-F978AF2288B9}"/>
    <cellStyle name="Обычный 12" xfId="574" xr:uid="{76D17FD6-1E27-4927-A04A-01266EC31549}"/>
    <cellStyle name="Обычный 12 2" xfId="575" xr:uid="{20835A17-947B-4514-A54F-FF5D8A307F14}"/>
    <cellStyle name="Обычный 12_Т-НахВТО-газ-28.09.12" xfId="576" xr:uid="{F6A1E4C5-07F2-4EA4-A9C6-DF09556C0255}"/>
    <cellStyle name="Обычный 13" xfId="577" xr:uid="{7FC67F27-98F8-41A1-864D-3B6B69AD4349}"/>
    <cellStyle name="Обычный 14" xfId="578" xr:uid="{682C14DA-0007-4E4D-811E-340C6AF53DEA}"/>
    <cellStyle name="Обычный 15" xfId="579" xr:uid="{6D2B52CC-A600-4AA0-9202-8ACBC3E0BB8B}"/>
    <cellStyle name="Обычный 16" xfId="580" xr:uid="{B98C070C-E4A3-447F-B6BD-A66E00DD1565}"/>
    <cellStyle name="Обычный 16 2" xfId="581" xr:uid="{106D8C99-BF27-4F57-BE6D-BF238716FA01}"/>
    <cellStyle name="Обычный 17" xfId="582" xr:uid="{5E95B67C-DBBE-4B4B-BADC-66986E843286}"/>
    <cellStyle name="Обычный 18" xfId="583" xr:uid="{A494812B-35C7-494C-972A-730920427039}"/>
    <cellStyle name="Обычный 19" xfId="584" xr:uid="{7FE02215-96A9-4530-9330-8A6D1BE287B3}"/>
    <cellStyle name="Обычный 2" xfId="2" xr:uid="{C06834F2-B1AE-4B8C-A623-D53C767E6B3A}"/>
    <cellStyle name="Обычный 2 10" xfId="585" xr:uid="{B5BDF23E-1E04-42F9-A7B4-FA104733267A}"/>
    <cellStyle name="Обычный 2 11" xfId="586" xr:uid="{F03D3876-4C16-4F97-8B18-30EC883EA0EB}"/>
    <cellStyle name="Обычный 2 11 2" xfId="587" xr:uid="{49E3254D-556F-4F91-A6A5-C5ECBD1D5D83}"/>
    <cellStyle name="Обычный 2 11_Т-НахВТО-газ-28.09.12" xfId="588" xr:uid="{CC059952-8497-4A3A-9064-4C48CB669980}"/>
    <cellStyle name="Обычный 2 12" xfId="589" xr:uid="{BF0376EE-D848-4C62-84AD-6D5DC194A570}"/>
    <cellStyle name="Обычный 2 12 2" xfId="590" xr:uid="{769356FB-C586-44FC-B0ED-D7340CC84D09}"/>
    <cellStyle name="Обычный 2 12_Т-НахВТО-газ-28.09.12" xfId="591" xr:uid="{F99DB0BF-43A8-4E65-BECC-EE91B2875034}"/>
    <cellStyle name="Обычный 2 13" xfId="592" xr:uid="{0E65C522-EA92-43CC-8D7B-5ED3545161E8}"/>
    <cellStyle name="Обычный 2 14" xfId="593" xr:uid="{52DED1CF-149B-4550-AF63-1E5FC52CF3F7}"/>
    <cellStyle name="Обычный 2 2" xfId="594" xr:uid="{4E0B9D06-0B4A-4519-BC2D-70DFBCB736AE}"/>
    <cellStyle name="Обычный 2 3" xfId="595" xr:uid="{B0C2F4E7-1C30-4ACD-9635-0E638FE9DEE7}"/>
    <cellStyle name="Обычный 2 4" xfId="596" xr:uid="{7F93CE1E-3BA2-44B9-AC4A-96F153BC17DE}"/>
    <cellStyle name="Обычный 2 5" xfId="597" xr:uid="{759657B4-B201-4652-9B46-AF1A336B82B2}"/>
    <cellStyle name="Обычный 2 6" xfId="598" xr:uid="{BA1597D2-7127-47AA-A764-D53EC80D6420}"/>
    <cellStyle name="Обычный 2 7" xfId="599" xr:uid="{BBF15287-679B-4F09-9010-CDB2085B5C0A}"/>
    <cellStyle name="Обычный 2 8" xfId="600" xr:uid="{8A6C83DF-F61D-4BF1-961F-D5A75FE49D8D}"/>
    <cellStyle name="Обычный 2 9" xfId="601" xr:uid="{F5C51010-EC70-4DEF-9785-164F23065AC7}"/>
    <cellStyle name="Обычный 2_Т-НахВТО-газ-28.09.12" xfId="602" xr:uid="{FC54332E-782F-4ED5-8121-D5C8FE756DF7}"/>
    <cellStyle name="Обычный 20" xfId="603" xr:uid="{53635A32-3A6C-45D8-9124-4545CF77914F}"/>
    <cellStyle name="Обычный 21" xfId="604" xr:uid="{F8264BA2-81F8-4F26-A224-C6AA698B11FA}"/>
    <cellStyle name="Обычный 22" xfId="605" xr:uid="{90B43012-3143-425A-BA57-6D8B88A9AA37}"/>
    <cellStyle name="Обычный 23" xfId="606" xr:uid="{2F2E182B-FCC6-490C-BEA4-B3971EEFB4FD}"/>
    <cellStyle name="Обычный 24" xfId="607" xr:uid="{C9B68337-F7AE-4F90-8DB6-B6A15E367F9D}"/>
    <cellStyle name="Обычный 25" xfId="608" xr:uid="{83AAF5FF-F776-4043-A00E-17C2EE7763E8}"/>
    <cellStyle name="Обычный 26" xfId="609" xr:uid="{422A8238-C7F4-4ACD-9E82-5C354E56EFA5}"/>
    <cellStyle name="Обычный 27" xfId="610" xr:uid="{A0F6B4A7-2844-4E16-B70C-6B1014015EF0}"/>
    <cellStyle name="Обычный 28" xfId="611" xr:uid="{A8B390B5-74B3-4638-B804-39198F64E950}"/>
    <cellStyle name="Обычный 29" xfId="612" xr:uid="{7B29E605-0D56-4256-B805-A9A8CB3C6545}"/>
    <cellStyle name="Обычный 3" xfId="3" xr:uid="{D6044A06-14CD-47AD-974C-946B7C1E3282}"/>
    <cellStyle name="Обычный 3 2" xfId="613" xr:uid="{40C22397-B17F-468A-84F5-C5C317D8E2B6}"/>
    <cellStyle name="Обычный 3 3" xfId="614" xr:uid="{7A19C7F8-5EB6-4585-B272-AA9A669E709F}"/>
    <cellStyle name="Обычный 3 4" xfId="615" xr:uid="{0E5FC37C-C840-4491-9237-CCC177E2CA92}"/>
    <cellStyle name="Обычный 3 5" xfId="616" xr:uid="{B989716F-0EE0-48ED-BE47-C56DDBEAA8B6}"/>
    <cellStyle name="Обычный 3 6" xfId="617" xr:uid="{F91AF512-A7E5-46C6-BB5F-4A033F5B3A1C}"/>
    <cellStyle name="Обычный 3_RZD_2009-2030_macromodel_090518" xfId="618" xr:uid="{11ECFFA0-67B3-43A5-99D2-E6994939FDA6}"/>
    <cellStyle name="Обычный 30" xfId="619" xr:uid="{A2C17D1B-CBBB-4739-8D8B-1E4E5BA83919}"/>
    <cellStyle name="Обычный 31" xfId="683" xr:uid="{D9F8B786-B6E7-4C7E-84D5-67702D50095B}"/>
    <cellStyle name="Обычный 32" xfId="1" xr:uid="{E1B0EE41-9499-478D-B501-668C5E76C888}"/>
    <cellStyle name="Обычный 34" xfId="685" xr:uid="{00B6A969-952F-4815-8682-4DB3B0A91B1D}"/>
    <cellStyle name="Обычный 4" xfId="620" xr:uid="{1CACA600-FEE7-4DE8-9290-421623360EAB}"/>
    <cellStyle name="Обычный 4 2" xfId="621" xr:uid="{BC9A57E6-39D7-4083-B0B9-4DC06A7BCE94}"/>
    <cellStyle name="Обычный 4 2 2" xfId="622" xr:uid="{6DD302FA-34FD-45F0-9425-D49D25601C90}"/>
    <cellStyle name="Обычный 4 2_Т-НахВТО-газ-28.09.12" xfId="623" xr:uid="{F82A707A-EE94-4796-BFE2-F518AF7F8ED4}"/>
    <cellStyle name="Обычный 4_ЦФ запрос2008-2009" xfId="624" xr:uid="{2B7548CE-4509-40B0-86B1-D860424BBB3F}"/>
    <cellStyle name="Обычный 5" xfId="625" xr:uid="{F7ED7976-A5D5-4001-8C73-F39B8447D411}"/>
    <cellStyle name="Обычный 6" xfId="626" xr:uid="{7AB48CE1-E77F-40D2-B82F-9E639249D7D4}"/>
    <cellStyle name="Обычный 6 2" xfId="4" xr:uid="{58B91A4C-BE84-4DC4-8CB6-076DE2AD0813}"/>
    <cellStyle name="Обычный 6 3" xfId="684" xr:uid="{3F5E6012-B414-4B3F-8D6C-A2DF9D00609D}"/>
    <cellStyle name="Обычный 7" xfId="627" xr:uid="{A51D6023-5130-461B-9947-0D998268E9D9}"/>
    <cellStyle name="Обычный 8" xfId="628" xr:uid="{6CB1B6AD-B674-4AC5-9737-9B8F655FE6F9}"/>
    <cellStyle name="Обычный 9" xfId="629" xr:uid="{C6693FF8-01EC-433B-B58F-F07BA6EC7379}"/>
    <cellStyle name="Процентный 10" xfId="630" xr:uid="{671B9335-DF9A-4C95-ADE4-D4643D262113}"/>
    <cellStyle name="Процентный 11" xfId="631" xr:uid="{120244E4-47D3-4ABB-8060-6E8C4F6BCBE3}"/>
    <cellStyle name="Процентный 12" xfId="632" xr:uid="{ECA9947B-7BA2-4142-A38B-D3ABFF6B1FF8}"/>
    <cellStyle name="Процентный 13" xfId="633" xr:uid="{D5BB4E8C-9B0B-4533-844B-4C57108C05F6}"/>
    <cellStyle name="Процентный 14" xfId="634" xr:uid="{8DDEFD32-0680-40E7-95FA-124BD8D97B66}"/>
    <cellStyle name="Процентный 2" xfId="635" xr:uid="{9A421BC1-3A06-4FCE-9CE1-1D12B81B7C68}"/>
    <cellStyle name="Процентный 2 2" xfId="636" xr:uid="{820FC7ED-572E-4C58-9611-693C02789F49}"/>
    <cellStyle name="Процентный 2 2 2" xfId="637" xr:uid="{9CB09298-D053-452B-BB44-87A4C272DA9E}"/>
    <cellStyle name="Процентный 3" xfId="638" xr:uid="{84BDC694-010E-4033-AD4A-F0CAA143188F}"/>
    <cellStyle name="Процентный 4" xfId="639" xr:uid="{BABDD6CE-BE65-43AA-BF4D-71AD602E001B}"/>
    <cellStyle name="Процентный 5" xfId="640" xr:uid="{8DA03398-503E-4E52-8C86-AC7ABC09D9EA}"/>
    <cellStyle name="Процентный 6" xfId="641" xr:uid="{C51C51B9-9DCB-4C05-ACBF-974512214A9A}"/>
    <cellStyle name="Процентный 7" xfId="642" xr:uid="{60014863-494B-4F44-8813-0943A99C288F}"/>
    <cellStyle name="Процентный 8" xfId="643" xr:uid="{0445737D-CBFA-46F8-94AD-AAF48E132F71}"/>
    <cellStyle name="Процентный 9" xfId="644" xr:uid="{B9DBF6A0-F6CC-4A89-9D59-6F2F983C794F}"/>
    <cellStyle name="Сверхулин" xfId="645" xr:uid="{74590FB8-16FC-4D10-ABAB-D18693CC47DB}"/>
    <cellStyle name="Сверхулин 2" xfId="943" xr:uid="{2368FE66-4AB7-4AEF-83C3-A6B66E90F377}"/>
    <cellStyle name="Стиль 1" xfId="646" xr:uid="{0C6A7F88-2CEE-45F6-949B-D643914E6AFB}"/>
    <cellStyle name="Стиль 1 2" xfId="647" xr:uid="{E81D86DF-7ADA-479C-8807-6BD8D2E77AD3}"/>
    <cellStyle name="Стиль 1 3" xfId="648" xr:uid="{AD7C3C88-11AD-4500-83FF-B05620B1EF79}"/>
    <cellStyle name="Стиль 1 4" xfId="649" xr:uid="{33A5A895-91D7-4526-885D-25A0B49D129B}"/>
    <cellStyle name="Стиль 1 5" xfId="650" xr:uid="{6C756F96-E4C4-40B7-915C-8CBBB233A7AB}"/>
    <cellStyle name="Стиль 1 6" xfId="651" xr:uid="{FC3ED846-227B-4BDB-AA76-EBB5F465DB75}"/>
    <cellStyle name="Стиль 1 7" xfId="652" xr:uid="{C12D739F-045F-4DF6-849C-5E2AC56BF7A0}"/>
    <cellStyle name="Стиль 1_Книга2" xfId="653" xr:uid="{20279143-0686-43B7-B3D0-AF7FE3E09DF2}"/>
    <cellStyle name="ТаблицаТекст" xfId="654" xr:uid="{E63A13C6-1ABE-4D55-81C7-8BE664B8BB25}"/>
    <cellStyle name="Тысячи [0]_Chart1 (Sales &amp; Costs)" xfId="655" xr:uid="{3FA93364-6FA5-4F03-8EE6-D0A1176D1411}"/>
    <cellStyle name="Тысячи_Chart1 (Sales &amp; Costs)" xfId="656" xr:uid="{F40401D5-8710-4C32-8DED-C49626D5261F}"/>
    <cellStyle name="Финансовый [0] 2" xfId="657" xr:uid="{FDB250DD-A191-4B40-91ED-DF77EC0B459A}"/>
    <cellStyle name="Финансовый 10" xfId="658" xr:uid="{C57C9915-CEAA-4C37-A1DE-513417B404CB}"/>
    <cellStyle name="Финансовый 11" xfId="659" xr:uid="{877EA8A3-9C06-488B-B444-47F77BA3C1BC}"/>
    <cellStyle name="Финансовый 12" xfId="660" xr:uid="{FF604772-F76D-4709-AB11-6CBAC4BD81EF}"/>
    <cellStyle name="Финансовый 13" xfId="661" xr:uid="{B11E667B-3AC8-43B8-B801-1F9B6122AABC}"/>
    <cellStyle name="Финансовый 14" xfId="662" xr:uid="{0A5C899E-F689-4128-9142-8F7AA6310F73}"/>
    <cellStyle name="Финансовый 15" xfId="663" xr:uid="{897793BC-B958-4D98-9704-4E6703499DA1}"/>
    <cellStyle name="Финансовый 16" xfId="664" xr:uid="{56F812B6-8285-4903-A592-5D57983CAEDA}"/>
    <cellStyle name="Финансовый 17" xfId="665" xr:uid="{2585EFED-97E6-4300-8025-F9CADA1A4061}"/>
    <cellStyle name="Финансовый 2" xfId="666" xr:uid="{AD2FEF70-CEF1-4D0A-95C2-9567829676FB}"/>
    <cellStyle name="Финансовый 2 10" xfId="667" xr:uid="{72962B27-CA43-4374-9813-8BA9D7C85F47}"/>
    <cellStyle name="Финансовый 2 2" xfId="668" xr:uid="{37785B7A-B935-451B-891F-2DE2F0683FB7}"/>
    <cellStyle name="Финансовый 2 3" xfId="669" xr:uid="{0201C33A-9C31-4633-85BE-0E3110622829}"/>
    <cellStyle name="Финансовый 2 4" xfId="670" xr:uid="{172557DC-5DDC-44DF-9962-9ECC3553550B}"/>
    <cellStyle name="Финансовый 2 5" xfId="671" xr:uid="{95A22074-D04B-4EC8-9463-6FA25278B702}"/>
    <cellStyle name="Финансовый 2 6" xfId="672" xr:uid="{008ED040-C0FF-4B38-918C-CDFC42B68D36}"/>
    <cellStyle name="Финансовый 2 7" xfId="673" xr:uid="{63758A91-1304-4174-8B98-7E39A1C356B3}"/>
    <cellStyle name="Финансовый 2 8" xfId="674" xr:uid="{398D7A95-9865-4A1D-8248-AF9306BA29B5}"/>
    <cellStyle name="Финансовый 2 9" xfId="675" xr:uid="{DAF28535-2FB4-41AE-9F87-27E0A34C375F}"/>
    <cellStyle name="Финансовый 3" xfId="676" xr:uid="{49E8DC90-5F14-478F-A4FB-7EFCD807A24D}"/>
    <cellStyle name="Финансовый 3 2" xfId="5" xr:uid="{E2A0DF73-6810-4050-8D48-5B57FAE20656}"/>
    <cellStyle name="Финансовый 4" xfId="677" xr:uid="{29BD00B4-6C84-43EB-83C6-17CF61420077}"/>
    <cellStyle name="Финансовый 5" xfId="678" xr:uid="{C609CF54-9C17-4305-9E0A-DF01E15EC4B1}"/>
    <cellStyle name="Финансовый 6" xfId="679" xr:uid="{5F85C850-0108-44F9-B25D-982C1FC50010}"/>
    <cellStyle name="Финансовый 7" xfId="680" xr:uid="{75924BAA-C4AD-441F-BA76-A0483A2CED01}"/>
    <cellStyle name="Финансовый 8" xfId="681" xr:uid="{717D2DC6-4BD5-4233-9774-EC1A91D67907}"/>
    <cellStyle name="Финансовый 9" xfId="682" xr:uid="{469ED900-E0A6-480E-9A02-1351B3514DD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8" t="s">
        <v>0</v>
      </c>
      <c r="B2" s="328"/>
      <c r="C2" s="328"/>
    </row>
    <row r="3" spans="1:3" x14ac:dyDescent="0.25">
      <c r="A3" s="1"/>
      <c r="B3" s="1"/>
      <c r="C3" s="1"/>
    </row>
    <row r="4" spans="1:3" x14ac:dyDescent="0.25">
      <c r="A4" s="329" t="s">
        <v>1</v>
      </c>
      <c r="B4" s="329"/>
      <c r="C4" s="32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8" t="s">
        <v>2</v>
      </c>
      <c r="B6" s="330" t="s">
        <v>3</v>
      </c>
      <c r="C6" s="330"/>
    </row>
    <row r="7" spans="1:3" x14ac:dyDescent="0.25">
      <c r="A7" s="149" t="s">
        <v>4</v>
      </c>
      <c r="B7" s="1"/>
      <c r="C7" s="1"/>
    </row>
    <row r="8" spans="1:3" x14ac:dyDescent="0.25">
      <c r="A8" s="149"/>
      <c r="B8" s="1"/>
      <c r="C8" s="1"/>
    </row>
    <row r="9" spans="1:3" ht="39.6" customHeight="1" x14ac:dyDescent="0.25">
      <c r="A9" s="2" t="s">
        <v>5</v>
      </c>
      <c r="B9" s="2" t="s">
        <v>6</v>
      </c>
      <c r="C9" s="150" t="s">
        <v>7</v>
      </c>
    </row>
    <row r="10" spans="1:3" ht="86.45" customHeight="1" x14ac:dyDescent="0.25">
      <c r="A10" s="151" t="s">
        <v>8</v>
      </c>
      <c r="B10" s="152" t="s">
        <v>9</v>
      </c>
      <c r="C10" s="3">
        <f>'4.5 РМ'!B36/1000</f>
        <v>54.924724898605838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"/>
  <sheetViews>
    <sheetView view="pageBreakPreview" workbookViewId="0">
      <selection activeCell="G12" sqref="G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9" t="s">
        <v>233</v>
      </c>
      <c r="B1" s="379"/>
      <c r="C1" s="379"/>
      <c r="D1" s="379"/>
      <c r="E1" s="379"/>
      <c r="F1" s="379"/>
      <c r="G1" s="379"/>
    </row>
    <row r="2" spans="1:7" ht="21.75" customHeight="1" x14ac:dyDescent="0.25">
      <c r="A2" s="287"/>
      <c r="B2" s="287"/>
      <c r="C2" s="287"/>
      <c r="D2" s="287"/>
      <c r="E2" s="287"/>
      <c r="F2" s="287"/>
      <c r="G2" s="287"/>
    </row>
    <row r="3" spans="1:7" x14ac:dyDescent="0.25">
      <c r="A3" s="328" t="s">
        <v>234</v>
      </c>
      <c r="B3" s="328"/>
      <c r="C3" s="328"/>
      <c r="D3" s="328"/>
      <c r="E3" s="328"/>
      <c r="F3" s="328"/>
      <c r="G3" s="328"/>
    </row>
    <row r="4" spans="1:7" ht="25.5" customHeight="1" x14ac:dyDescent="0.25">
      <c r="A4" s="380" t="s">
        <v>398</v>
      </c>
      <c r="B4" s="331"/>
      <c r="C4" s="331"/>
      <c r="D4" s="331"/>
      <c r="E4" s="331"/>
      <c r="F4" s="331"/>
      <c r="G4" s="331"/>
    </row>
    <row r="5" spans="1:7" x14ac:dyDescent="0.25">
      <c r="A5" s="245"/>
      <c r="B5" s="245"/>
      <c r="C5" s="245"/>
      <c r="D5" s="245"/>
      <c r="E5" s="245"/>
      <c r="F5" s="245"/>
      <c r="G5" s="245"/>
    </row>
    <row r="6" spans="1:7" ht="30" customHeight="1" x14ac:dyDescent="0.25">
      <c r="A6" s="385" t="s">
        <v>13</v>
      </c>
      <c r="B6" s="385" t="s">
        <v>121</v>
      </c>
      <c r="C6" s="385" t="s">
        <v>72</v>
      </c>
      <c r="D6" s="385" t="s">
        <v>123</v>
      </c>
      <c r="E6" s="375" t="s">
        <v>202</v>
      </c>
      <c r="F6" s="385" t="s">
        <v>73</v>
      </c>
      <c r="G6" s="385"/>
    </row>
    <row r="7" spans="1:7" x14ac:dyDescent="0.25">
      <c r="A7" s="385"/>
      <c r="B7" s="385"/>
      <c r="C7" s="385"/>
      <c r="D7" s="385"/>
      <c r="E7" s="376"/>
      <c r="F7" s="285" t="s">
        <v>205</v>
      </c>
      <c r="G7" s="285" t="s">
        <v>126</v>
      </c>
    </row>
    <row r="8" spans="1:7" x14ac:dyDescent="0.25">
      <c r="A8" s="285">
        <v>1</v>
      </c>
      <c r="B8" s="285">
        <v>2</v>
      </c>
      <c r="C8" s="285">
        <v>3</v>
      </c>
      <c r="D8" s="285">
        <v>4</v>
      </c>
      <c r="E8" s="285">
        <v>5</v>
      </c>
      <c r="F8" s="285">
        <v>6</v>
      </c>
      <c r="G8" s="285">
        <v>7</v>
      </c>
    </row>
    <row r="9" spans="1:7" ht="15" customHeight="1" x14ac:dyDescent="0.25">
      <c r="A9" s="246"/>
      <c r="B9" s="381" t="s">
        <v>235</v>
      </c>
      <c r="C9" s="382"/>
      <c r="D9" s="382"/>
      <c r="E9" s="382"/>
      <c r="F9" s="382"/>
      <c r="G9" s="383"/>
    </row>
    <row r="10" spans="1:7" ht="27" customHeight="1" x14ac:dyDescent="0.25">
      <c r="A10" s="285"/>
      <c r="B10" s="234"/>
      <c r="C10" s="141" t="s">
        <v>236</v>
      </c>
      <c r="D10" s="234"/>
      <c r="E10" s="247"/>
      <c r="F10" s="286"/>
      <c r="G10" s="232">
        <v>0</v>
      </c>
    </row>
    <row r="11" spans="1:7" x14ac:dyDescent="0.25">
      <c r="A11" s="285"/>
      <c r="B11" s="358" t="s">
        <v>237</v>
      </c>
      <c r="C11" s="358"/>
      <c r="D11" s="358"/>
      <c r="E11" s="384"/>
      <c r="F11" s="361"/>
      <c r="G11" s="361"/>
    </row>
    <row r="12" spans="1:7" s="165" customFormat="1" ht="89.25" customHeight="1" x14ac:dyDescent="0.25">
      <c r="A12" s="285">
        <v>1</v>
      </c>
      <c r="B12" s="141" t="str">
        <f>'Прил.5 Расчет СМР и ОБ'!B27</f>
        <v>БЦ.54.24</v>
      </c>
      <c r="C12" s="248" t="str">
        <f>'Прил.5 Расчет СМР и ОБ'!C27</f>
        <v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v>
      </c>
      <c r="D12" s="249" t="str">
        <f>'Прил.5 Расчет СМР и ОБ'!D27</f>
        <v>шт</v>
      </c>
      <c r="E12" s="250">
        <f>'Прил.5 Расчет СМР и ОБ'!E27</f>
        <v>1</v>
      </c>
      <c r="F12" s="219">
        <f>'Прил.5 Расчет СМР и ОБ'!F27</f>
        <v>43258.79</v>
      </c>
      <c r="G12" s="232">
        <f>ROUND(E12*F12,2)</f>
        <v>43258.79</v>
      </c>
    </row>
    <row r="13" spans="1:7" ht="25.5" customHeight="1" x14ac:dyDescent="0.25">
      <c r="A13" s="285"/>
      <c r="B13" s="141"/>
      <c r="C13" s="141" t="s">
        <v>238</v>
      </c>
      <c r="D13" s="141"/>
      <c r="E13" s="288"/>
      <c r="F13" s="286"/>
      <c r="G13" s="232">
        <f>SUM(G12:G12)</f>
        <v>43258.79</v>
      </c>
    </row>
    <row r="14" spans="1:7" ht="19.5" customHeight="1" x14ac:dyDescent="0.25">
      <c r="A14" s="285"/>
      <c r="B14" s="141"/>
      <c r="C14" s="141" t="s">
        <v>239</v>
      </c>
      <c r="D14" s="141"/>
      <c r="E14" s="288"/>
      <c r="F14" s="286"/>
      <c r="G14" s="232">
        <f>G10+G13</f>
        <v>43258.79</v>
      </c>
    </row>
    <row r="15" spans="1:7" x14ac:dyDescent="0.25">
      <c r="A15" s="251"/>
      <c r="B15" s="252"/>
      <c r="C15" s="251"/>
      <c r="D15" s="251"/>
      <c r="E15" s="251"/>
      <c r="F15" s="251"/>
      <c r="G15" s="251"/>
    </row>
    <row r="16" spans="1:7" x14ac:dyDescent="0.25">
      <c r="A16" s="4" t="s">
        <v>231</v>
      </c>
      <c r="B16" s="14"/>
      <c r="C16" s="14"/>
      <c r="D16" s="251"/>
      <c r="E16" s="251"/>
      <c r="F16" s="251"/>
      <c r="G16" s="251"/>
    </row>
    <row r="17" spans="1:7" x14ac:dyDescent="0.25">
      <c r="A17" s="244" t="s">
        <v>68</v>
      </c>
      <c r="B17" s="14"/>
      <c r="C17" s="14"/>
      <c r="D17" s="251"/>
      <c r="E17" s="251"/>
      <c r="F17" s="251"/>
      <c r="G17" s="251"/>
    </row>
    <row r="18" spans="1:7" x14ac:dyDescent="0.25">
      <c r="A18" s="4"/>
      <c r="B18" s="14"/>
      <c r="C18" s="14"/>
      <c r="D18" s="251"/>
      <c r="E18" s="251"/>
      <c r="F18" s="251"/>
      <c r="G18" s="251"/>
    </row>
    <row r="19" spans="1:7" x14ac:dyDescent="0.25">
      <c r="A19" s="4" t="s">
        <v>232</v>
      </c>
      <c r="B19" s="14"/>
      <c r="C19" s="14"/>
      <c r="D19" s="251"/>
      <c r="E19" s="251"/>
      <c r="F19" s="251"/>
      <c r="G19" s="251"/>
    </row>
    <row r="20" spans="1:7" x14ac:dyDescent="0.25">
      <c r="A20" s="244" t="s">
        <v>70</v>
      </c>
      <c r="B20" s="14"/>
      <c r="C20" s="14"/>
      <c r="D20" s="251"/>
      <c r="E20" s="251"/>
      <c r="F20" s="251"/>
      <c r="G20" s="251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17"/>
  <sheetViews>
    <sheetView view="pageBreakPreview" workbookViewId="0">
      <selection activeCell="D22" sqref="D22"/>
    </sheetView>
  </sheetViews>
  <sheetFormatPr defaultRowHeight="15" x14ac:dyDescent="0.25"/>
  <cols>
    <col min="1" max="1" width="12.7109375" style="314" customWidth="1"/>
    <col min="2" max="2" width="16.42578125" style="314" customWidth="1"/>
    <col min="3" max="3" width="37.140625" style="314" customWidth="1"/>
    <col min="4" max="4" width="49" style="314" customWidth="1"/>
    <col min="5" max="5" width="9.140625" style="314" customWidth="1"/>
  </cols>
  <sheetData>
    <row r="1" spans="1:4" ht="15.75" customHeight="1" x14ac:dyDescent="0.25">
      <c r="A1" s="313"/>
      <c r="B1" s="313"/>
      <c r="C1" s="313"/>
      <c r="D1" s="313" t="s">
        <v>240</v>
      </c>
    </row>
    <row r="2" spans="1:4" ht="15.75" customHeight="1" x14ac:dyDescent="0.25">
      <c r="A2" s="313"/>
      <c r="B2" s="313"/>
      <c r="C2" s="313"/>
      <c r="D2" s="313"/>
    </row>
    <row r="3" spans="1:4" ht="15.75" customHeight="1" x14ac:dyDescent="0.25">
      <c r="A3" s="313"/>
      <c r="B3" s="315" t="s">
        <v>241</v>
      </c>
      <c r="C3" s="313"/>
      <c r="D3" s="313"/>
    </row>
    <row r="4" spans="1:4" ht="15.75" customHeight="1" x14ac:dyDescent="0.25">
      <c r="A4" s="313"/>
      <c r="B4" s="313"/>
      <c r="C4" s="313"/>
      <c r="D4" s="313"/>
    </row>
    <row r="5" spans="1:4" ht="31.5" customHeight="1" x14ac:dyDescent="0.25">
      <c r="A5" s="386" t="s">
        <v>242</v>
      </c>
      <c r="B5" s="386"/>
      <c r="C5" s="386"/>
      <c r="D5" s="316" t="str">
        <f>'Прил.5 Расчет СМР и ОБ'!D6:J6</f>
        <v>Постоянная часть ПС, АРМ ПС 110 кВ</v>
      </c>
    </row>
    <row r="6" spans="1:4" ht="15.75" customHeight="1" x14ac:dyDescent="0.25">
      <c r="A6" s="313" t="s">
        <v>394</v>
      </c>
      <c r="B6" s="313"/>
      <c r="C6" s="313"/>
      <c r="D6" s="313"/>
    </row>
    <row r="7" spans="1:4" ht="15.75" customHeight="1" x14ac:dyDescent="0.25">
      <c r="A7" s="313"/>
      <c r="B7" s="313"/>
      <c r="C7" s="313"/>
      <c r="D7" s="313"/>
    </row>
    <row r="8" spans="1:4" x14ac:dyDescent="0.25">
      <c r="A8" s="346" t="s">
        <v>5</v>
      </c>
      <c r="B8" s="346" t="s">
        <v>6</v>
      </c>
      <c r="C8" s="346" t="s">
        <v>243</v>
      </c>
      <c r="D8" s="346" t="s">
        <v>244</v>
      </c>
    </row>
    <row r="9" spans="1:4" x14ac:dyDescent="0.25">
      <c r="A9" s="346"/>
      <c r="B9" s="346"/>
      <c r="C9" s="346"/>
      <c r="D9" s="346"/>
    </row>
    <row r="10" spans="1:4" ht="15.75" customHeight="1" x14ac:dyDescent="0.25">
      <c r="A10" s="317">
        <v>1</v>
      </c>
      <c r="B10" s="317">
        <v>2</v>
      </c>
      <c r="C10" s="317">
        <v>3</v>
      </c>
      <c r="D10" s="317">
        <v>4</v>
      </c>
    </row>
    <row r="11" spans="1:4" ht="63" customHeight="1" x14ac:dyDescent="0.25">
      <c r="A11" s="326" t="s">
        <v>403</v>
      </c>
      <c r="B11" s="326" t="s">
        <v>402</v>
      </c>
      <c r="C11" s="327" t="s">
        <v>406</v>
      </c>
      <c r="D11" s="318">
        <f>'Прил.4 РМ'!C41/1000</f>
        <v>310.79019999999997</v>
      </c>
    </row>
    <row r="13" spans="1:4" x14ac:dyDescent="0.25">
      <c r="A13" s="319" t="s">
        <v>245</v>
      </c>
      <c r="B13" s="320"/>
      <c r="C13" s="320"/>
      <c r="D13" s="321"/>
    </row>
    <row r="14" spans="1:4" x14ac:dyDescent="0.25">
      <c r="A14" s="322" t="s">
        <v>68</v>
      </c>
      <c r="B14" s="320"/>
      <c r="C14" s="320"/>
      <c r="D14" s="321"/>
    </row>
    <row r="15" spans="1:4" x14ac:dyDescent="0.25">
      <c r="A15" s="319"/>
      <c r="B15" s="320"/>
      <c r="C15" s="320"/>
      <c r="D15" s="321"/>
    </row>
    <row r="16" spans="1:4" x14ac:dyDescent="0.25">
      <c r="A16" s="319" t="s">
        <v>69</v>
      </c>
      <c r="B16" s="320"/>
      <c r="C16" s="320"/>
      <c r="D16" s="321"/>
    </row>
    <row r="17" spans="1:4" x14ac:dyDescent="0.25">
      <c r="A17" s="322" t="s">
        <v>70</v>
      </c>
      <c r="B17" s="320"/>
      <c r="C17" s="320"/>
      <c r="D17" s="32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5" t="s">
        <v>246</v>
      </c>
      <c r="C4" s="335"/>
      <c r="D4" s="335"/>
    </row>
    <row r="5" spans="2:5" ht="18.75" customHeight="1" x14ac:dyDescent="0.25">
      <c r="B5" s="253"/>
    </row>
    <row r="6" spans="2:5" ht="15.75" customHeight="1" x14ac:dyDescent="0.25">
      <c r="B6" s="336" t="s">
        <v>247</v>
      </c>
      <c r="C6" s="336"/>
      <c r="D6" s="336"/>
    </row>
    <row r="7" spans="2:5" x14ac:dyDescent="0.25">
      <c r="B7" s="387"/>
      <c r="C7" s="387"/>
      <c r="D7" s="387"/>
      <c r="E7" s="387"/>
    </row>
    <row r="8" spans="2:5" x14ac:dyDescent="0.25">
      <c r="B8" s="289"/>
      <c r="C8" s="289"/>
      <c r="D8" s="289"/>
      <c r="E8" s="289"/>
    </row>
    <row r="9" spans="2:5" ht="47.25" customHeight="1" x14ac:dyDescent="0.25">
      <c r="B9" s="275" t="s">
        <v>248</v>
      </c>
      <c r="C9" s="275" t="s">
        <v>249</v>
      </c>
      <c r="D9" s="275" t="s">
        <v>250</v>
      </c>
    </row>
    <row r="10" spans="2:5" ht="15.75" customHeight="1" x14ac:dyDescent="0.25">
      <c r="B10" s="275">
        <v>1</v>
      </c>
      <c r="C10" s="275">
        <v>2</v>
      </c>
      <c r="D10" s="275">
        <v>3</v>
      </c>
    </row>
    <row r="11" spans="2:5" ht="45" customHeight="1" x14ac:dyDescent="0.25">
      <c r="B11" s="275" t="s">
        <v>251</v>
      </c>
      <c r="C11" s="275" t="s">
        <v>252</v>
      </c>
      <c r="D11" s="275">
        <v>44.29</v>
      </c>
    </row>
    <row r="12" spans="2:5" ht="29.25" customHeight="1" x14ac:dyDescent="0.25">
      <c r="B12" s="275" t="s">
        <v>253</v>
      </c>
      <c r="C12" s="275" t="s">
        <v>252</v>
      </c>
      <c r="D12" s="275">
        <v>13.47</v>
      </c>
    </row>
    <row r="13" spans="2:5" ht="29.25" customHeight="1" x14ac:dyDescent="0.25">
      <c r="B13" s="275" t="s">
        <v>254</v>
      </c>
      <c r="C13" s="275" t="s">
        <v>252</v>
      </c>
      <c r="D13" s="275">
        <v>8.0399999999999991</v>
      </c>
    </row>
    <row r="14" spans="2:5" ht="30.75" customHeight="1" x14ac:dyDescent="0.25">
      <c r="B14" s="275" t="s">
        <v>255</v>
      </c>
      <c r="C14" s="169" t="s">
        <v>256</v>
      </c>
      <c r="D14" s="275">
        <v>6.26</v>
      </c>
    </row>
    <row r="15" spans="2:5" ht="89.25" customHeight="1" x14ac:dyDescent="0.25">
      <c r="B15" s="275" t="s">
        <v>257</v>
      </c>
      <c r="C15" s="275" t="s">
        <v>258</v>
      </c>
      <c r="D15" s="254">
        <v>3.9E-2</v>
      </c>
    </row>
    <row r="16" spans="2:5" ht="78.75" customHeight="1" x14ac:dyDescent="0.25">
      <c r="B16" s="275" t="s">
        <v>259</v>
      </c>
      <c r="C16" s="275" t="s">
        <v>260</v>
      </c>
      <c r="D16" s="254">
        <v>2.1000000000000001E-2</v>
      </c>
    </row>
    <row r="17" spans="2:4" ht="34.5" customHeight="1" x14ac:dyDescent="0.25">
      <c r="B17" s="275"/>
      <c r="C17" s="275"/>
      <c r="D17" s="275"/>
    </row>
    <row r="18" spans="2:4" ht="31.5" customHeight="1" x14ac:dyDescent="0.25">
      <c r="B18" s="275" t="s">
        <v>97</v>
      </c>
      <c r="C18" s="275" t="s">
        <v>261</v>
      </c>
      <c r="D18" s="254">
        <v>2.1399999999999999E-2</v>
      </c>
    </row>
    <row r="19" spans="2:4" ht="31.5" customHeight="1" x14ac:dyDescent="0.25">
      <c r="B19" s="275" t="s">
        <v>194</v>
      </c>
      <c r="C19" s="275" t="s">
        <v>262</v>
      </c>
      <c r="D19" s="254">
        <v>2E-3</v>
      </c>
    </row>
    <row r="20" spans="2:4" ht="24" customHeight="1" x14ac:dyDescent="0.25">
      <c r="B20" s="275" t="s">
        <v>100</v>
      </c>
      <c r="C20" s="275" t="s">
        <v>263</v>
      </c>
      <c r="D20" s="254">
        <v>0.03</v>
      </c>
    </row>
    <row r="21" spans="2:4" ht="18.75" customHeight="1" x14ac:dyDescent="0.25">
      <c r="B21" s="255"/>
    </row>
    <row r="22" spans="2:4" ht="18.75" customHeight="1" x14ac:dyDescent="0.25">
      <c r="B22" s="255"/>
    </row>
    <row r="23" spans="2:4" ht="18.75" customHeight="1" x14ac:dyDescent="0.25">
      <c r="B23" s="255"/>
    </row>
    <row r="24" spans="2:4" ht="18.75" customHeight="1" x14ac:dyDescent="0.25">
      <c r="B24" s="255"/>
    </row>
    <row r="27" spans="2:4" x14ac:dyDescent="0.25">
      <c r="B27" s="4" t="s">
        <v>264</v>
      </c>
      <c r="C27" s="14"/>
    </row>
    <row r="28" spans="2:4" x14ac:dyDescent="0.25">
      <c r="B28" s="244" t="s">
        <v>68</v>
      </c>
      <c r="C28" s="14"/>
    </row>
    <row r="29" spans="2:4" x14ac:dyDescent="0.25">
      <c r="B29" s="4"/>
      <c r="C29" s="14"/>
    </row>
    <row r="30" spans="2:4" x14ac:dyDescent="0.25">
      <c r="B30" s="4" t="s">
        <v>232</v>
      </c>
      <c r="C30" s="14"/>
    </row>
    <row r="31" spans="2:4" x14ac:dyDescent="0.25">
      <c r="B31" s="244" t="s">
        <v>70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tabSelected="1" view="pageBreakPreview" workbookViewId="0">
      <selection activeCell="E7" sqref="E7"/>
    </sheetView>
  </sheetViews>
  <sheetFormatPr defaultRowHeight="15" x14ac:dyDescent="0.25"/>
  <cols>
    <col min="1" max="1" width="9.140625" style="256" customWidth="1"/>
    <col min="2" max="2" width="44.85546875" style="256" customWidth="1"/>
    <col min="3" max="3" width="13" style="256" customWidth="1"/>
    <col min="4" max="4" width="22.85546875" style="256" customWidth="1"/>
    <col min="5" max="5" width="21.5703125" style="256" customWidth="1"/>
    <col min="6" max="6" width="43.85546875" style="256" customWidth="1"/>
    <col min="7" max="7" width="9.140625" style="256" customWidth="1"/>
  </cols>
  <sheetData>
    <row r="2" spans="1:7" ht="17.25" customHeight="1" x14ac:dyDescent="0.25">
      <c r="A2" s="336" t="s">
        <v>265</v>
      </c>
      <c r="B2" s="336"/>
      <c r="C2" s="336"/>
      <c r="D2" s="336"/>
      <c r="E2" s="336"/>
      <c r="F2" s="336"/>
    </row>
    <row r="4" spans="1:7" ht="18" customHeight="1" x14ac:dyDescent="0.25">
      <c r="A4" s="257" t="s">
        <v>266</v>
      </c>
      <c r="B4" s="258"/>
      <c r="C4" s="258"/>
      <c r="D4" s="258"/>
      <c r="E4" s="258"/>
      <c r="F4" s="258"/>
      <c r="G4" s="258"/>
    </row>
    <row r="5" spans="1:7" ht="15.75" customHeight="1" x14ac:dyDescent="0.25">
      <c r="A5" s="259" t="s">
        <v>13</v>
      </c>
      <c r="B5" s="259" t="s">
        <v>267</v>
      </c>
      <c r="C5" s="259" t="s">
        <v>268</v>
      </c>
      <c r="D5" s="259" t="s">
        <v>269</v>
      </c>
      <c r="E5" s="259" t="s">
        <v>270</v>
      </c>
      <c r="F5" s="259" t="s">
        <v>271</v>
      </c>
      <c r="G5" s="258"/>
    </row>
    <row r="6" spans="1:7" ht="15.75" customHeight="1" x14ac:dyDescent="0.25">
      <c r="A6" s="259">
        <v>1</v>
      </c>
      <c r="B6" s="259">
        <v>2</v>
      </c>
      <c r="C6" s="259">
        <v>3</v>
      </c>
      <c r="D6" s="259">
        <v>4</v>
      </c>
      <c r="E6" s="259">
        <v>5</v>
      </c>
      <c r="F6" s="259">
        <v>6</v>
      </c>
      <c r="G6" s="258"/>
    </row>
    <row r="7" spans="1:7" ht="110.25" customHeight="1" x14ac:dyDescent="0.25">
      <c r="A7" s="260" t="s">
        <v>272</v>
      </c>
      <c r="B7" s="261" t="s">
        <v>273</v>
      </c>
      <c r="C7" s="262" t="s">
        <v>274</v>
      </c>
      <c r="D7" s="262" t="s">
        <v>275</v>
      </c>
      <c r="E7" s="263">
        <v>47872.94</v>
      </c>
      <c r="F7" s="261" t="s">
        <v>276</v>
      </c>
      <c r="G7" s="258"/>
    </row>
    <row r="8" spans="1:7" ht="31.5" customHeight="1" x14ac:dyDescent="0.25">
      <c r="A8" s="260" t="s">
        <v>277</v>
      </c>
      <c r="B8" s="261" t="s">
        <v>278</v>
      </c>
      <c r="C8" s="262" t="s">
        <v>279</v>
      </c>
      <c r="D8" s="262" t="s">
        <v>280</v>
      </c>
      <c r="E8" s="263">
        <f>1973/12</f>
        <v>164.41666666666666</v>
      </c>
      <c r="F8" s="264" t="s">
        <v>281</v>
      </c>
      <c r="G8" s="265"/>
    </row>
    <row r="9" spans="1:7" ht="15.75" customHeight="1" x14ac:dyDescent="0.25">
      <c r="A9" s="260" t="s">
        <v>282</v>
      </c>
      <c r="B9" s="261" t="s">
        <v>283</v>
      </c>
      <c r="C9" s="262" t="s">
        <v>284</v>
      </c>
      <c r="D9" s="262" t="s">
        <v>275</v>
      </c>
      <c r="E9" s="263">
        <v>1</v>
      </c>
      <c r="F9" s="264"/>
      <c r="G9" s="266"/>
    </row>
    <row r="10" spans="1:7" ht="15.75" customHeight="1" x14ac:dyDescent="0.25">
      <c r="A10" s="260" t="s">
        <v>285</v>
      </c>
      <c r="B10" s="261" t="s">
        <v>286</v>
      </c>
      <c r="C10" s="262"/>
      <c r="D10" s="262"/>
      <c r="E10" s="267">
        <v>3.9</v>
      </c>
      <c r="F10" s="264" t="s">
        <v>287</v>
      </c>
      <c r="G10" s="266"/>
    </row>
    <row r="11" spans="1:7" ht="78.75" customHeight="1" x14ac:dyDescent="0.25">
      <c r="A11" s="260" t="s">
        <v>288</v>
      </c>
      <c r="B11" s="261" t="s">
        <v>289</v>
      </c>
      <c r="C11" s="262" t="s">
        <v>290</v>
      </c>
      <c r="D11" s="262" t="s">
        <v>275</v>
      </c>
      <c r="E11" s="268">
        <v>1.3240000000000001</v>
      </c>
      <c r="F11" s="261" t="s">
        <v>291</v>
      </c>
      <c r="G11" s="258"/>
    </row>
    <row r="12" spans="1:7" ht="78.75" customHeight="1" x14ac:dyDescent="0.25">
      <c r="A12" s="260" t="s">
        <v>292</v>
      </c>
      <c r="B12" s="269" t="s">
        <v>293</v>
      </c>
      <c r="C12" s="262" t="s">
        <v>294</v>
      </c>
      <c r="D12" s="262" t="s">
        <v>275</v>
      </c>
      <c r="E12" s="270">
        <v>1.139</v>
      </c>
      <c r="F12" s="271" t="s">
        <v>295</v>
      </c>
      <c r="G12" s="266" t="s">
        <v>296</v>
      </c>
    </row>
    <row r="13" spans="1:7" ht="63" customHeight="1" x14ac:dyDescent="0.25">
      <c r="A13" s="260" t="s">
        <v>297</v>
      </c>
      <c r="B13" s="272" t="s">
        <v>298</v>
      </c>
      <c r="C13" s="262" t="s">
        <v>299</v>
      </c>
      <c r="D13" s="262" t="s">
        <v>300</v>
      </c>
      <c r="E13" s="273">
        <f>((E7*E9/E8)*E11)*E12</f>
        <v>439.09244974661942</v>
      </c>
      <c r="F13" s="261" t="s">
        <v>301</v>
      </c>
      <c r="G13" s="258"/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5" customFormat="1" ht="29.45" customHeight="1" x14ac:dyDescent="0.2">
      <c r="A1" s="388" t="s">
        <v>302</v>
      </c>
      <c r="B1" s="388"/>
      <c r="C1" s="388"/>
      <c r="D1" s="388"/>
      <c r="E1" s="388"/>
      <c r="F1" s="388"/>
      <c r="G1" s="388"/>
      <c r="H1" s="388"/>
      <c r="I1" s="388"/>
    </row>
    <row r="2" spans="1:13" s="35" customFormat="1" ht="13.5" customHeight="1" x14ac:dyDescent="0.2">
      <c r="A2" s="36"/>
      <c r="B2" s="36"/>
      <c r="C2" s="36"/>
      <c r="D2" s="36"/>
      <c r="E2" s="36"/>
      <c r="F2" s="36"/>
      <c r="G2" s="36"/>
      <c r="H2" s="36"/>
      <c r="I2" s="36"/>
    </row>
    <row r="3" spans="1:13" s="35" customFormat="1" ht="34.5" customHeight="1" x14ac:dyDescent="0.2">
      <c r="A3" s="331" t="e">
        <f>#REF!</f>
        <v>#REF!</v>
      </c>
      <c r="B3" s="331"/>
      <c r="C3" s="331"/>
      <c r="D3" s="331"/>
      <c r="E3" s="331"/>
      <c r="F3" s="331"/>
      <c r="G3" s="331"/>
      <c r="H3" s="331"/>
      <c r="I3" s="331"/>
    </row>
    <row r="4" spans="1:13" s="4" customFormat="1" ht="15.75" customHeight="1" x14ac:dyDescent="0.2">
      <c r="A4" s="340"/>
      <c r="B4" s="340"/>
      <c r="C4" s="340"/>
      <c r="D4" s="340"/>
      <c r="E4" s="340"/>
      <c r="F4" s="340"/>
      <c r="G4" s="340"/>
      <c r="H4" s="340"/>
      <c r="I4" s="340"/>
    </row>
    <row r="5" spans="1:13" s="37" customFormat="1" ht="36.6" customHeight="1" x14ac:dyDescent="0.35">
      <c r="A5" s="389" t="s">
        <v>13</v>
      </c>
      <c r="B5" s="389" t="s">
        <v>303</v>
      </c>
      <c r="C5" s="389" t="s">
        <v>304</v>
      </c>
      <c r="D5" s="389" t="s">
        <v>305</v>
      </c>
      <c r="E5" s="385" t="s">
        <v>306</v>
      </c>
      <c r="F5" s="385"/>
      <c r="G5" s="385"/>
      <c r="H5" s="385"/>
      <c r="I5" s="385"/>
    </row>
    <row r="6" spans="1:13" s="32" customFormat="1" ht="31.5" customHeight="1" x14ac:dyDescent="0.2">
      <c r="A6" s="389"/>
      <c r="B6" s="389"/>
      <c r="C6" s="389"/>
      <c r="D6" s="389"/>
      <c r="E6" s="38" t="s">
        <v>112</v>
      </c>
      <c r="F6" s="38" t="s">
        <v>113</v>
      </c>
      <c r="G6" s="38" t="s">
        <v>43</v>
      </c>
      <c r="H6" s="38" t="s">
        <v>307</v>
      </c>
      <c r="I6" s="38" t="s">
        <v>308</v>
      </c>
    </row>
    <row r="7" spans="1:13" s="32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2" customFormat="1" ht="13.15" customHeight="1" x14ac:dyDescent="0.2">
      <c r="A8" s="39">
        <v>1</v>
      </c>
      <c r="B8" s="40"/>
      <c r="C8" s="9" t="s">
        <v>92</v>
      </c>
      <c r="D8" s="41"/>
      <c r="E8" s="34">
        <f>'4.3 Отдел 2. Тех.характеристики'!H4/1000</f>
        <v>3.98509</v>
      </c>
      <c r="F8" s="34">
        <f>'4.3 Отдел 2. Тех.характеристики'!I4/1000</f>
        <v>3.1536300000000002</v>
      </c>
      <c r="G8" s="34">
        <f>'4.3 Отдел 2. Тех.характеристики'!J4/1000</f>
        <v>94.532139999999998</v>
      </c>
      <c r="H8" s="34"/>
      <c r="I8" s="34">
        <f>E8+F8+G8</f>
        <v>101.67086</v>
      </c>
      <c r="K8" s="42"/>
      <c r="L8" s="42"/>
      <c r="M8" s="42"/>
    </row>
    <row r="9" spans="1:13" s="32" customFormat="1" ht="38.25" customHeight="1" x14ac:dyDescent="0.2">
      <c r="A9" s="39">
        <v>2</v>
      </c>
      <c r="B9" s="9" t="s">
        <v>309</v>
      </c>
      <c r="C9" s="9" t="s">
        <v>310</v>
      </c>
      <c r="D9" s="158">
        <v>3.9E-2</v>
      </c>
      <c r="E9" s="34">
        <f>E8*D9</f>
        <v>0.15541851000000001</v>
      </c>
      <c r="F9" s="34">
        <f>F8*D9</f>
        <v>0.12299157000000001</v>
      </c>
      <c r="G9" s="34"/>
      <c r="H9" s="34"/>
      <c r="I9" s="34">
        <f>E9+F9</f>
        <v>0.27841008</v>
      </c>
    </row>
    <row r="10" spans="1:13" s="32" customFormat="1" ht="13.15" customHeight="1" x14ac:dyDescent="0.2">
      <c r="A10" s="39"/>
      <c r="B10" s="9"/>
      <c r="C10" s="9"/>
      <c r="D10" s="18"/>
      <c r="E10" s="34"/>
      <c r="F10" s="34"/>
      <c r="G10" s="34"/>
      <c r="H10" s="34"/>
      <c r="I10" s="34"/>
    </row>
    <row r="11" spans="1:13" s="32" customFormat="1" ht="51" customHeight="1" x14ac:dyDescent="0.2">
      <c r="A11" s="39">
        <v>3</v>
      </c>
      <c r="B11" s="9" t="s">
        <v>311</v>
      </c>
      <c r="C11" s="9" t="s">
        <v>259</v>
      </c>
      <c r="D11" s="158">
        <v>2.1000000000000001E-2</v>
      </c>
      <c r="E11" s="34">
        <f>(E8+E9)*D11</f>
        <v>8.6950678710000007E-2</v>
      </c>
      <c r="F11" s="34"/>
      <c r="G11" s="34"/>
      <c r="H11" s="34" t="s">
        <v>129</v>
      </c>
      <c r="I11" s="34">
        <f>E11</f>
        <v>8.6950678710000007E-2</v>
      </c>
    </row>
    <row r="12" spans="1:13" s="32" customFormat="1" ht="45" customHeight="1" x14ac:dyDescent="0.2">
      <c r="A12" s="39">
        <v>4</v>
      </c>
      <c r="B12" s="9" t="s">
        <v>312</v>
      </c>
      <c r="C12" s="9" t="s">
        <v>313</v>
      </c>
      <c r="D12" s="18">
        <v>5.6000000000000001E-2</v>
      </c>
      <c r="E12" s="34"/>
      <c r="F12" s="34"/>
      <c r="G12" s="34"/>
      <c r="H12" s="34">
        <f>(G8+F8)*D12</f>
        <v>5.4704031200000003</v>
      </c>
      <c r="I12" s="34">
        <f>H12</f>
        <v>5.4704031200000003</v>
      </c>
      <c r="J12" s="43" t="s">
        <v>314</v>
      </c>
    </row>
    <row r="13" spans="1:13" s="32" customFormat="1" ht="13.15" customHeight="1" x14ac:dyDescent="0.2">
      <c r="A13" s="39"/>
      <c r="B13" s="9"/>
      <c r="C13" s="9"/>
      <c r="D13" s="18"/>
      <c r="E13" s="34"/>
      <c r="F13" s="34"/>
      <c r="G13" s="34"/>
      <c r="H13" s="34"/>
      <c r="I13" s="34"/>
    </row>
    <row r="14" spans="1:13" s="32" customFormat="1" ht="39.6" customHeight="1" x14ac:dyDescent="0.2">
      <c r="A14" s="39">
        <v>5</v>
      </c>
      <c r="B14" s="9" t="s">
        <v>261</v>
      </c>
      <c r="C14" s="9" t="s">
        <v>315</v>
      </c>
      <c r="D14" s="158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4"/>
      <c r="F14" s="34"/>
      <c r="G14" s="34"/>
      <c r="H14" s="34">
        <f>(I8+I9+I11+I12)*D14*1</f>
        <v>2.3006417510043939</v>
      </c>
      <c r="I14" s="34">
        <f>H14</f>
        <v>2.3006417510043939</v>
      </c>
      <c r="J14" s="44">
        <f>(I8+I9+I11+I12)/1000</f>
        <v>0.10750662387871</v>
      </c>
    </row>
    <row r="15" spans="1:13" s="32" customFormat="1" ht="13.15" customHeight="1" x14ac:dyDescent="0.2">
      <c r="A15" s="39"/>
      <c r="B15" s="9"/>
      <c r="C15" s="9"/>
      <c r="D15" s="18"/>
      <c r="E15" s="34"/>
      <c r="F15" s="34"/>
      <c r="G15" s="34"/>
      <c r="H15" s="34"/>
      <c r="I15" s="34"/>
    </row>
    <row r="16" spans="1:13" s="32" customFormat="1" ht="39.6" customHeight="1" x14ac:dyDescent="0.2">
      <c r="A16" s="39">
        <v>6</v>
      </c>
      <c r="B16" s="9" t="s">
        <v>316</v>
      </c>
      <c r="C16" s="9" t="s">
        <v>317</v>
      </c>
      <c r="D16" s="18">
        <v>0</v>
      </c>
      <c r="E16" s="34"/>
      <c r="F16" s="34"/>
      <c r="G16" s="34"/>
      <c r="H16" s="34">
        <f>(E8+F8)*D16</f>
        <v>0</v>
      </c>
      <c r="I16" s="34">
        <f>H16</f>
        <v>0</v>
      </c>
      <c r="J16" s="43" t="s">
        <v>318</v>
      </c>
    </row>
    <row r="17" spans="1:10" s="32" customFormat="1" ht="81.75" customHeight="1" x14ac:dyDescent="0.2">
      <c r="A17" s="39">
        <v>7</v>
      </c>
      <c r="B17" s="9" t="s">
        <v>316</v>
      </c>
      <c r="C17" s="142" t="s">
        <v>319</v>
      </c>
      <c r="D17" s="18">
        <v>0</v>
      </c>
      <c r="E17" s="34"/>
      <c r="F17" s="34"/>
      <c r="G17" s="34"/>
      <c r="H17" s="34">
        <f>(E9+F9)*D17</f>
        <v>0</v>
      </c>
      <c r="I17" s="34">
        <f>H17</f>
        <v>0</v>
      </c>
      <c r="J17" s="43"/>
    </row>
    <row r="18" spans="1:10" s="32" customFormat="1" ht="13.15" customHeight="1" x14ac:dyDescent="0.2">
      <c r="A18" s="39"/>
      <c r="B18" s="9"/>
      <c r="C18" s="9"/>
      <c r="D18" s="18"/>
      <c r="E18" s="34"/>
      <c r="F18" s="34"/>
      <c r="G18" s="34"/>
      <c r="H18" s="34"/>
      <c r="I18" s="34"/>
    </row>
    <row r="19" spans="1:10" s="46" customFormat="1" ht="13.15" customHeight="1" x14ac:dyDescent="0.2">
      <c r="A19" s="39">
        <v>8</v>
      </c>
      <c r="B19" s="9"/>
      <c r="C19" s="9" t="s">
        <v>320</v>
      </c>
      <c r="D19" s="45"/>
      <c r="E19" s="34">
        <f>SUM(E8:E18)</f>
        <v>4.2274591887100001</v>
      </c>
      <c r="F19" s="34"/>
      <c r="G19" s="34">
        <f>SUM(G8:G18)</f>
        <v>94.532139999999998</v>
      </c>
      <c r="H19" s="34">
        <f>SUM(H8:H18)</f>
        <v>7.7710448710043938</v>
      </c>
      <c r="I19" s="34">
        <f>SUM(I8:I18)</f>
        <v>109.80726562971439</v>
      </c>
    </row>
    <row r="20" spans="1:10" s="32" customFormat="1" ht="51" customHeight="1" x14ac:dyDescent="0.2">
      <c r="A20" s="39">
        <v>9</v>
      </c>
      <c r="B20" s="141" t="s">
        <v>321</v>
      </c>
      <c r="C20" s="9" t="s">
        <v>100</v>
      </c>
      <c r="D20" s="47">
        <v>0.03</v>
      </c>
      <c r="E20" s="34">
        <f>E19*3%</f>
        <v>0.12682377566129999</v>
      </c>
      <c r="F20" s="34"/>
      <c r="G20" s="34">
        <f>G19*3%</f>
        <v>2.8359641999999998</v>
      </c>
      <c r="H20" s="34">
        <f>H19*3%</f>
        <v>0.23313134613013181</v>
      </c>
      <c r="I20" s="34">
        <f>I19*3%</f>
        <v>3.2942179688914317</v>
      </c>
    </row>
    <row r="21" spans="1:10" s="35" customFormat="1" ht="13.15" customHeight="1" x14ac:dyDescent="0.2">
      <c r="A21" s="39">
        <v>10</v>
      </c>
      <c r="B21" s="9"/>
      <c r="C21" s="9" t="s">
        <v>322</v>
      </c>
      <c r="D21" s="48"/>
      <c r="E21" s="34"/>
      <c r="F21" s="34"/>
      <c r="G21" s="34"/>
      <c r="H21" s="34"/>
      <c r="I21" s="34">
        <f>I19+I20</f>
        <v>113.10148359860582</v>
      </c>
    </row>
    <row r="22" spans="1:10" s="35" customFormat="1" ht="13.15" customHeight="1" x14ac:dyDescent="0.2">
      <c r="A22" s="49"/>
      <c r="B22" s="50"/>
      <c r="C22" s="50"/>
      <c r="D22" s="51"/>
      <c r="E22" s="52"/>
      <c r="F22" s="52"/>
      <c r="G22" s="52"/>
      <c r="H22" s="52"/>
      <c r="I22" s="52"/>
    </row>
    <row r="23" spans="1:10" x14ac:dyDescent="0.25">
      <c r="A23" s="4" t="s">
        <v>103</v>
      </c>
      <c r="B23" s="53"/>
      <c r="C23" s="4"/>
      <c r="D23" s="32"/>
      <c r="E23" s="32"/>
      <c r="F23" s="32"/>
      <c r="G23" s="32"/>
      <c r="H23" s="32"/>
      <c r="I23" s="32"/>
    </row>
    <row r="24" spans="1:10" x14ac:dyDescent="0.25">
      <c r="A24" s="33" t="s">
        <v>104</v>
      </c>
      <c r="B24" s="53"/>
      <c r="C24" s="4"/>
      <c r="D24" s="32"/>
      <c r="E24" s="32"/>
      <c r="F24" s="32"/>
      <c r="G24" s="32"/>
      <c r="H24" s="32"/>
      <c r="I24" s="32"/>
    </row>
    <row r="25" spans="1:10" x14ac:dyDescent="0.25">
      <c r="A25" s="4"/>
      <c r="B25" s="53"/>
      <c r="C25" s="4"/>
      <c r="D25" s="32"/>
      <c r="E25" s="32"/>
      <c r="F25" s="32"/>
      <c r="G25" s="32"/>
      <c r="H25" s="32"/>
      <c r="I25" s="32"/>
    </row>
    <row r="26" spans="1:10" x14ac:dyDescent="0.25">
      <c r="A26" s="4" t="s">
        <v>105</v>
      </c>
      <c r="B26" s="53"/>
      <c r="C26" s="4"/>
      <c r="D26" s="32"/>
      <c r="E26" s="32"/>
      <c r="F26" s="32"/>
      <c r="G26" s="32"/>
      <c r="H26" s="32"/>
      <c r="I26" s="32"/>
    </row>
    <row r="27" spans="1:10" x14ac:dyDescent="0.25">
      <c r="A27" s="33" t="s">
        <v>106</v>
      </c>
      <c r="B27" s="53"/>
      <c r="C27" s="4"/>
      <c r="D27" s="32"/>
      <c r="E27" s="32"/>
      <c r="F27" s="32"/>
      <c r="G27" s="32"/>
      <c r="H27" s="32"/>
      <c r="I27" s="32"/>
    </row>
    <row r="28" spans="1:10" x14ac:dyDescent="0.25">
      <c r="B28" s="54"/>
    </row>
    <row r="29" spans="1:10" x14ac:dyDescent="0.25">
      <c r="B29" s="54"/>
    </row>
    <row r="30" spans="1:10" x14ac:dyDescent="0.25">
      <c r="B30" s="54"/>
    </row>
    <row r="31" spans="1:10" x14ac:dyDescent="0.25">
      <c r="B31" s="54"/>
    </row>
    <row r="32" spans="1:10" x14ac:dyDescent="0.25">
      <c r="B32" s="54"/>
    </row>
    <row r="33" spans="2:2" x14ac:dyDescent="0.25">
      <c r="B33" s="54"/>
    </row>
    <row r="34" spans="2:2" x14ac:dyDescent="0.25">
      <c r="B34" s="54"/>
    </row>
    <row r="35" spans="2:2" x14ac:dyDescent="0.25">
      <c r="B35" s="54"/>
    </row>
    <row r="36" spans="2:2" x14ac:dyDescent="0.25">
      <c r="B36" s="54"/>
    </row>
    <row r="37" spans="2:2" x14ac:dyDescent="0.25">
      <c r="B37" s="54"/>
    </row>
    <row r="38" spans="2:2" x14ac:dyDescent="0.25">
      <c r="B38" s="54"/>
    </row>
    <row r="39" spans="2:2" x14ac:dyDescent="0.25">
      <c r="B39" s="54"/>
    </row>
    <row r="40" spans="2:2" x14ac:dyDescent="0.25">
      <c r="B40" s="54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5" customWidth="1"/>
    <col min="3" max="3" width="66.42578125" style="55" customWidth="1"/>
    <col min="4" max="4" width="12.7109375" style="55" customWidth="1" outlineLevel="1"/>
    <col min="5" max="5" width="13.7109375" style="55" customWidth="1" outlineLevel="1"/>
    <col min="6" max="6" width="12.28515625" style="55" customWidth="1" outlineLevel="1"/>
    <col min="7" max="7" width="14.42578125" style="56" customWidth="1" outlineLevel="1"/>
    <col min="8" max="8" width="12.7109375" style="56" customWidth="1" outlineLevel="1"/>
    <col min="9" max="9" width="17.42578125" style="56" customWidth="1"/>
    <col min="10" max="10" width="12.7109375" style="55" customWidth="1"/>
    <col min="11" max="11" width="14.28515625" style="55" customWidth="1"/>
    <col min="12" max="12" width="14.5703125" style="55" customWidth="1"/>
    <col min="13" max="13" width="14.28515625" style="55" customWidth="1"/>
    <col min="14" max="14" width="12.7109375" style="55" customWidth="1"/>
    <col min="15" max="15" width="26.140625" style="55" customWidth="1"/>
    <col min="16" max="16" width="15.7109375" style="57" customWidth="1"/>
    <col min="17" max="17" width="9.28515625" style="57"/>
  </cols>
  <sheetData>
    <row r="2" spans="1:16" x14ac:dyDescent="0.25">
      <c r="N2" s="391" t="s">
        <v>323</v>
      </c>
      <c r="O2" s="391"/>
    </row>
    <row r="3" spans="1:16" x14ac:dyDescent="0.25">
      <c r="A3" s="392" t="s">
        <v>324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</row>
    <row r="5" spans="1:16" s="55" customFormat="1" ht="37.5" customHeight="1" x14ac:dyDescent="0.25">
      <c r="A5" s="393" t="s">
        <v>325</v>
      </c>
      <c r="B5" s="396" t="s">
        <v>326</v>
      </c>
      <c r="C5" s="399" t="s">
        <v>327</v>
      </c>
      <c r="D5" s="402" t="s">
        <v>328</v>
      </c>
      <c r="E5" s="403"/>
      <c r="F5" s="403"/>
      <c r="G5" s="403"/>
      <c r="H5" s="403"/>
      <c r="I5" s="402" t="s">
        <v>329</v>
      </c>
      <c r="J5" s="403"/>
      <c r="K5" s="403"/>
      <c r="L5" s="403"/>
      <c r="M5" s="403"/>
      <c r="N5" s="403"/>
      <c r="O5" s="58" t="s">
        <v>330</v>
      </c>
    </row>
    <row r="6" spans="1:16" s="61" customFormat="1" ht="150" customHeight="1" x14ac:dyDescent="0.25">
      <c r="A6" s="394"/>
      <c r="B6" s="397"/>
      <c r="C6" s="400"/>
      <c r="D6" s="399" t="s">
        <v>331</v>
      </c>
      <c r="E6" s="404" t="s">
        <v>332</v>
      </c>
      <c r="F6" s="405"/>
      <c r="G6" s="406"/>
      <c r="H6" s="59" t="s">
        <v>333</v>
      </c>
      <c r="I6" s="407" t="s">
        <v>334</v>
      </c>
      <c r="J6" s="407" t="s">
        <v>331</v>
      </c>
      <c r="K6" s="408" t="s">
        <v>332</v>
      </c>
      <c r="L6" s="408"/>
      <c r="M6" s="408"/>
      <c r="N6" s="59" t="s">
        <v>333</v>
      </c>
      <c r="O6" s="60" t="s">
        <v>335</v>
      </c>
    </row>
    <row r="7" spans="1:16" s="61" customFormat="1" ht="30.75" customHeight="1" x14ac:dyDescent="0.25">
      <c r="A7" s="395"/>
      <c r="B7" s="398"/>
      <c r="C7" s="401"/>
      <c r="D7" s="401"/>
      <c r="E7" s="58" t="s">
        <v>112</v>
      </c>
      <c r="F7" s="58" t="s">
        <v>113</v>
      </c>
      <c r="G7" s="58" t="s">
        <v>43</v>
      </c>
      <c r="H7" s="62" t="s">
        <v>336</v>
      </c>
      <c r="I7" s="407"/>
      <c r="J7" s="407"/>
      <c r="K7" s="58" t="s">
        <v>112</v>
      </c>
      <c r="L7" s="58" t="s">
        <v>113</v>
      </c>
      <c r="M7" s="58" t="s">
        <v>43</v>
      </c>
      <c r="N7" s="62" t="s">
        <v>336</v>
      </c>
      <c r="O7" s="58" t="s">
        <v>337</v>
      </c>
    </row>
    <row r="8" spans="1:16" s="61" customFormat="1" x14ac:dyDescent="0.25">
      <c r="A8" s="63">
        <v>1</v>
      </c>
      <c r="B8" s="63">
        <v>2</v>
      </c>
      <c r="C8" s="63">
        <v>3</v>
      </c>
      <c r="D8" s="63">
        <v>4</v>
      </c>
      <c r="E8" s="63">
        <v>5</v>
      </c>
      <c r="F8" s="63">
        <v>6</v>
      </c>
      <c r="G8" s="63">
        <v>7</v>
      </c>
      <c r="H8" s="63">
        <v>8</v>
      </c>
      <c r="I8" s="63">
        <v>9</v>
      </c>
      <c r="J8" s="63">
        <v>10</v>
      </c>
      <c r="K8" s="63">
        <v>11</v>
      </c>
      <c r="L8" s="63">
        <v>12</v>
      </c>
      <c r="M8" s="63">
        <v>13</v>
      </c>
      <c r="N8" s="63">
        <v>14</v>
      </c>
      <c r="O8" s="63">
        <v>15</v>
      </c>
    </row>
    <row r="9" spans="1:16" s="61" customFormat="1" ht="102.75" customHeight="1" x14ac:dyDescent="0.25">
      <c r="A9" s="63">
        <v>1</v>
      </c>
      <c r="B9" s="393" t="s">
        <v>338</v>
      </c>
      <c r="C9" s="64" t="s">
        <v>339</v>
      </c>
      <c r="D9" s="65">
        <f t="shared" ref="D9:D15" si="0">SUM(E9:G9)</f>
        <v>583.41863000000001</v>
      </c>
      <c r="E9" s="66">
        <f>340656.93/1000</f>
        <v>340.65692999999999</v>
      </c>
      <c r="F9" s="66">
        <f>242761.7/1000</f>
        <v>242.76170000000002</v>
      </c>
      <c r="G9" s="66">
        <v>0</v>
      </c>
      <c r="H9" s="65">
        <f>(713.49*0.8)/1000</f>
        <v>0.57079200000000008</v>
      </c>
      <c r="I9" s="65">
        <v>11656.266250000001</v>
      </c>
      <c r="J9" s="65">
        <f t="shared" ref="J9:J15" si="1">K9+L9+M9</f>
        <v>3553.0194566999999</v>
      </c>
      <c r="K9" s="66">
        <f>E9*H22</f>
        <v>2074.6007036999999</v>
      </c>
      <c r="L9" s="66">
        <f>F9*H22</f>
        <v>1478.4187530000002</v>
      </c>
      <c r="M9" s="66">
        <f>G9*H24</f>
        <v>0</v>
      </c>
      <c r="N9" s="65">
        <f>H9*H25</f>
        <v>6.48990504</v>
      </c>
      <c r="O9" s="67">
        <f t="shared" ref="O9:O15" si="2">N9/(L9+M9)</f>
        <v>4.3897610381569609E-3</v>
      </c>
    </row>
    <row r="10" spans="1:16" s="61" customFormat="1" ht="54.75" customHeight="1" x14ac:dyDescent="0.25">
      <c r="A10" s="62">
        <v>2</v>
      </c>
      <c r="B10" s="395"/>
      <c r="C10" s="68" t="s">
        <v>340</v>
      </c>
      <c r="D10" s="65">
        <f t="shared" si="0"/>
        <v>2228.558</v>
      </c>
      <c r="E10" s="65">
        <f>430700/1000</f>
        <v>430.7</v>
      </c>
      <c r="F10" s="65">
        <f>1797858/1000</f>
        <v>1797.8579999999999</v>
      </c>
      <c r="G10" s="65">
        <v>0</v>
      </c>
      <c r="H10" s="65">
        <f>1685/1000</f>
        <v>1.6850000000000001</v>
      </c>
      <c r="I10" s="65">
        <f>15834377.63/1000</f>
        <v>15834.377630000001</v>
      </c>
      <c r="J10" s="65">
        <f t="shared" si="1"/>
        <v>14351.91352</v>
      </c>
      <c r="K10" s="66">
        <f>E10*I22</f>
        <v>2773.7080000000001</v>
      </c>
      <c r="L10" s="66">
        <f>F10*I22</f>
        <v>11578.20552</v>
      </c>
      <c r="M10" s="66">
        <f>G10*I24</f>
        <v>0</v>
      </c>
      <c r="N10" s="65">
        <f>H10*I25</f>
        <v>14.1877</v>
      </c>
      <c r="O10" s="67">
        <f t="shared" si="2"/>
        <v>1.225379872165199E-3</v>
      </c>
      <c r="P10" s="69"/>
    </row>
    <row r="11" spans="1:16" s="61" customFormat="1" ht="24.6" customHeight="1" x14ac:dyDescent="0.25">
      <c r="A11" s="63">
        <v>3</v>
      </c>
      <c r="B11" s="393" t="s">
        <v>341</v>
      </c>
      <c r="C11" s="68" t="s">
        <v>342</v>
      </c>
      <c r="D11" s="65">
        <f t="shared" si="0"/>
        <v>22378.080000000002</v>
      </c>
      <c r="E11" s="66">
        <v>15858.44</v>
      </c>
      <c r="F11" s="66">
        <v>6519.64</v>
      </c>
      <c r="G11" s="66">
        <v>0</v>
      </c>
      <c r="H11" s="65">
        <v>9.7100000000000009</v>
      </c>
      <c r="I11" s="65">
        <v>170961.79</v>
      </c>
      <c r="J11" s="65">
        <f t="shared" si="1"/>
        <v>129121.52160000001</v>
      </c>
      <c r="K11" s="65">
        <f>E11*J22</f>
        <v>91503.198799999998</v>
      </c>
      <c r="L11" s="65">
        <f>F11*J22</f>
        <v>37618.322800000002</v>
      </c>
      <c r="M11" s="65">
        <f>G11*J24</f>
        <v>0</v>
      </c>
      <c r="N11" s="65">
        <f>H11*J25</f>
        <v>154.48610000000002</v>
      </c>
      <c r="O11" s="67">
        <f t="shared" si="2"/>
        <v>4.1066716562919176E-3</v>
      </c>
    </row>
    <row r="12" spans="1:16" s="61" customFormat="1" ht="31.9" customHeight="1" x14ac:dyDescent="0.25">
      <c r="A12" s="62">
        <v>4</v>
      </c>
      <c r="B12" s="395"/>
      <c r="C12" s="68" t="s">
        <v>343</v>
      </c>
      <c r="D12" s="65">
        <f t="shared" si="0"/>
        <v>93405.18</v>
      </c>
      <c r="E12" s="66">
        <v>53163.12</v>
      </c>
      <c r="F12" s="66">
        <v>40153.81</v>
      </c>
      <c r="G12" s="66">
        <v>88.25</v>
      </c>
      <c r="H12" s="65">
        <v>33.76</v>
      </c>
      <c r="I12" s="65">
        <v>725870.83</v>
      </c>
      <c r="J12" s="65">
        <f t="shared" si="1"/>
        <v>538845.47</v>
      </c>
      <c r="K12" s="65">
        <v>306751.18</v>
      </c>
      <c r="L12" s="65">
        <v>231687.44</v>
      </c>
      <c r="M12" s="65">
        <v>406.85</v>
      </c>
      <c r="N12" s="65">
        <v>537.07000000000005</v>
      </c>
      <c r="O12" s="67">
        <f t="shared" si="2"/>
        <v>2.3140164284093331E-3</v>
      </c>
    </row>
    <row r="13" spans="1:16" s="61" customFormat="1" ht="60" customHeight="1" x14ac:dyDescent="0.25">
      <c r="A13" s="63">
        <v>5</v>
      </c>
      <c r="B13" s="393" t="s">
        <v>344</v>
      </c>
      <c r="C13" s="64" t="s">
        <v>345</v>
      </c>
      <c r="D13" s="65">
        <f t="shared" si="0"/>
        <v>52119.83</v>
      </c>
      <c r="E13" s="66">
        <v>15198.48</v>
      </c>
      <c r="F13" s="66">
        <v>31977.3</v>
      </c>
      <c r="G13" s="66">
        <v>4944.05</v>
      </c>
      <c r="H13" s="65">
        <v>16.13</v>
      </c>
      <c r="I13" s="65">
        <v>2024759.04</v>
      </c>
      <c r="J13" s="65">
        <f t="shared" si="1"/>
        <v>267889.86340000003</v>
      </c>
      <c r="K13" s="66">
        <f>E13*L22</f>
        <v>79488.050400000007</v>
      </c>
      <c r="L13" s="66">
        <f>F13*L22</f>
        <v>167241.27900000001</v>
      </c>
      <c r="M13" s="66">
        <f>G13*L24</f>
        <v>21160.534000000003</v>
      </c>
      <c r="N13" s="65">
        <f>H13*L25</f>
        <v>231.46549999999999</v>
      </c>
      <c r="O13" s="67">
        <f t="shared" si="2"/>
        <v>1.228573633736741E-3</v>
      </c>
    </row>
    <row r="14" spans="1:16" s="61" customFormat="1" ht="39.6" customHeight="1" x14ac:dyDescent="0.25">
      <c r="A14" s="62">
        <v>6</v>
      </c>
      <c r="B14" s="395"/>
      <c r="C14" s="68" t="s">
        <v>346</v>
      </c>
      <c r="D14" s="65">
        <f t="shared" si="0"/>
        <v>89613.6</v>
      </c>
      <c r="E14" s="65">
        <v>44598.73</v>
      </c>
      <c r="F14" s="65">
        <v>40017</v>
      </c>
      <c r="G14" s="65">
        <v>4997.87</v>
      </c>
      <c r="H14" s="65">
        <f>7.69+81.8</f>
        <v>89.49</v>
      </c>
      <c r="I14" s="65">
        <v>738823.57</v>
      </c>
      <c r="J14" s="65">
        <f t="shared" si="1"/>
        <v>511472.85759999999</v>
      </c>
      <c r="K14" s="66">
        <f>E14*M22</f>
        <v>257334.6721</v>
      </c>
      <c r="L14" s="66">
        <f>F14*M22</f>
        <v>230898.09</v>
      </c>
      <c r="M14" s="66">
        <f>G14*M24</f>
        <v>23240.095500000003</v>
      </c>
      <c r="N14" s="65">
        <f>H14*M25</f>
        <v>1423.7858999999999</v>
      </c>
      <c r="O14" s="67">
        <f t="shared" si="2"/>
        <v>5.6024083795152453E-3</v>
      </c>
    </row>
    <row r="15" spans="1:16" s="61" customFormat="1" ht="46.15" customHeight="1" x14ac:dyDescent="0.25">
      <c r="A15" s="63">
        <v>7</v>
      </c>
      <c r="B15" s="70" t="s">
        <v>347</v>
      </c>
      <c r="C15" s="68" t="s">
        <v>348</v>
      </c>
      <c r="D15" s="65">
        <f t="shared" si="0"/>
        <v>981651.63000000012</v>
      </c>
      <c r="E15" s="66">
        <v>448398.51</v>
      </c>
      <c r="F15" s="66">
        <v>486091.33</v>
      </c>
      <c r="G15" s="66">
        <v>47161.79</v>
      </c>
      <c r="H15" s="65">
        <v>143.03</v>
      </c>
      <c r="I15" s="65">
        <v>16001185.93</v>
      </c>
      <c r="J15" s="65">
        <f t="shared" si="1"/>
        <v>6269109.2307000002</v>
      </c>
      <c r="K15" s="65">
        <f>123094.59*N22+325303.92*N23</f>
        <v>2908258.6863000002</v>
      </c>
      <c r="L15" s="65">
        <f>110226.08*N22+375865.25*N23</f>
        <v>3158998.0832000002</v>
      </c>
      <c r="M15" s="65">
        <f>G15*N24</f>
        <v>201852.46120000002</v>
      </c>
      <c r="N15" s="65">
        <f>H15*N25</f>
        <v>1185.7186999999999</v>
      </c>
      <c r="O15" s="67">
        <f t="shared" si="2"/>
        <v>3.5280316227560241E-4</v>
      </c>
    </row>
    <row r="16" spans="1:16" s="61" customFormat="1" ht="24" customHeight="1" x14ac:dyDescent="0.25">
      <c r="A16" s="71"/>
      <c r="B16" s="71"/>
      <c r="C16" s="72" t="s">
        <v>349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>
        <f>(O9+O10+O11+O12+O13+O14+O15)/7</f>
        <v>2.7456591672215713E-3</v>
      </c>
    </row>
    <row r="17" spans="1:15" s="61" customFormat="1" ht="18.75" customHeight="1" x14ac:dyDescent="0.25">
      <c r="A17" s="75"/>
      <c r="B17" s="75"/>
      <c r="C17" s="76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</row>
    <row r="18" spans="1:15" ht="21" customHeight="1" x14ac:dyDescent="0.25">
      <c r="C18" s="79" t="s">
        <v>350</v>
      </c>
    </row>
    <row r="19" spans="1:15" ht="30.75" customHeight="1" x14ac:dyDescent="0.25">
      <c r="L19" s="80"/>
    </row>
    <row r="20" spans="1:15" ht="15" customHeight="1" outlineLevel="1" x14ac:dyDescent="0.25">
      <c r="G20" s="390" t="s">
        <v>351</v>
      </c>
      <c r="H20" s="390"/>
      <c r="I20" s="390"/>
      <c r="J20" s="390"/>
      <c r="K20" s="390"/>
      <c r="L20" s="390"/>
      <c r="M20" s="390"/>
      <c r="N20" s="390"/>
      <c r="O20" s="57"/>
    </row>
    <row r="21" spans="1:15" ht="15.75" customHeight="1" outlineLevel="1" x14ac:dyDescent="0.25">
      <c r="G21" s="81"/>
      <c r="H21" s="81" t="s">
        <v>352</v>
      </c>
      <c r="I21" s="81" t="s">
        <v>353</v>
      </c>
      <c r="J21" s="82" t="s">
        <v>354</v>
      </c>
      <c r="K21" s="83" t="s">
        <v>355</v>
      </c>
      <c r="L21" s="81" t="s">
        <v>356</v>
      </c>
      <c r="M21" s="81" t="s">
        <v>357</v>
      </c>
      <c r="N21" s="82" t="s">
        <v>358</v>
      </c>
      <c r="O21" s="84"/>
    </row>
    <row r="22" spans="1:15" ht="15.75" customHeight="1" outlineLevel="1" x14ac:dyDescent="0.25">
      <c r="G22" s="410" t="s">
        <v>359</v>
      </c>
      <c r="H22" s="409">
        <v>6.09</v>
      </c>
      <c r="I22" s="411">
        <v>6.44</v>
      </c>
      <c r="J22" s="409">
        <v>5.77</v>
      </c>
      <c r="K22" s="411">
        <v>5.77</v>
      </c>
      <c r="L22" s="409">
        <v>5.23</v>
      </c>
      <c r="M22" s="409">
        <v>5.77</v>
      </c>
      <c r="N22" s="85">
        <v>6.29</v>
      </c>
      <c r="O22" s="56" t="s">
        <v>360</v>
      </c>
    </row>
    <row r="23" spans="1:15" ht="15.75" customHeight="1" outlineLevel="1" x14ac:dyDescent="0.25">
      <c r="G23" s="410"/>
      <c r="H23" s="409"/>
      <c r="I23" s="411"/>
      <c r="J23" s="409"/>
      <c r="K23" s="411"/>
      <c r="L23" s="409"/>
      <c r="M23" s="409"/>
      <c r="N23" s="85">
        <v>6.56</v>
      </c>
      <c r="O23" s="56" t="s">
        <v>361</v>
      </c>
    </row>
    <row r="24" spans="1:15" ht="15.75" customHeight="1" outlineLevel="1" x14ac:dyDescent="0.25">
      <c r="G24" s="86" t="s">
        <v>362</v>
      </c>
      <c r="H24" s="87">
        <v>4.46</v>
      </c>
      <c r="I24" s="88">
        <v>4.28</v>
      </c>
      <c r="J24" s="89">
        <v>4.6500000000000004</v>
      </c>
      <c r="K24" s="83">
        <v>4.6100000000000003</v>
      </c>
      <c r="L24" s="87">
        <v>4.28</v>
      </c>
      <c r="M24" s="85">
        <v>4.6500000000000004</v>
      </c>
      <c r="N24" s="85">
        <v>4.28</v>
      </c>
      <c r="O24" s="84"/>
    </row>
    <row r="25" spans="1:15" ht="15.75" customHeight="1" outlineLevel="1" x14ac:dyDescent="0.25">
      <c r="G25" s="86" t="s">
        <v>336</v>
      </c>
      <c r="H25" s="87">
        <v>11.37</v>
      </c>
      <c r="I25" s="90">
        <v>8.42</v>
      </c>
      <c r="J25" s="89">
        <v>15.91</v>
      </c>
      <c r="K25" s="83">
        <v>15.91</v>
      </c>
      <c r="L25" s="87">
        <v>14.35</v>
      </c>
      <c r="M25" s="85">
        <v>15.91</v>
      </c>
      <c r="N25" s="85">
        <v>8.2899999999999991</v>
      </c>
      <c r="O25" s="84"/>
    </row>
    <row r="26" spans="1:15" s="55" customFormat="1" ht="31.5" customHeight="1" outlineLevel="1" x14ac:dyDescent="0.25">
      <c r="G26" s="86" t="s">
        <v>363</v>
      </c>
      <c r="H26" s="87">
        <v>3.83</v>
      </c>
      <c r="I26" s="88">
        <v>3.95</v>
      </c>
      <c r="J26" s="89">
        <v>4.1500000000000004</v>
      </c>
      <c r="K26" s="83">
        <v>3.83</v>
      </c>
      <c r="L26" s="83">
        <v>3.95</v>
      </c>
      <c r="M26" s="85">
        <v>4.09</v>
      </c>
      <c r="N26" s="85">
        <v>3.95</v>
      </c>
      <c r="O26" s="84"/>
    </row>
    <row r="27" spans="1:15" s="55" customFormat="1" ht="31.5" customHeight="1" outlineLevel="1" x14ac:dyDescent="0.25">
      <c r="G27" s="86" t="s">
        <v>364</v>
      </c>
      <c r="H27" s="87">
        <v>3.91</v>
      </c>
      <c r="I27" s="88">
        <v>3.99</v>
      </c>
      <c r="J27" s="89">
        <v>4.2300000000000004</v>
      </c>
      <c r="K27" s="83">
        <v>3.91</v>
      </c>
      <c r="L27" s="83">
        <v>3.99</v>
      </c>
      <c r="M27" s="85">
        <v>4.17</v>
      </c>
      <c r="N27" s="85">
        <v>3.99</v>
      </c>
      <c r="O27" s="84"/>
    </row>
    <row r="28" spans="1:15" s="55" customFormat="1" ht="15.75" customHeight="1" outlineLevel="1" x14ac:dyDescent="0.25">
      <c r="G28" s="86" t="s">
        <v>307</v>
      </c>
      <c r="H28" s="87">
        <v>8.7899999999999991</v>
      </c>
      <c r="I28" s="87">
        <v>8.7899999999999991</v>
      </c>
      <c r="J28" s="89">
        <v>9.19</v>
      </c>
      <c r="K28" s="83">
        <v>9.1</v>
      </c>
      <c r="L28" s="87">
        <v>8.42</v>
      </c>
      <c r="M28" s="85">
        <v>9.19</v>
      </c>
      <c r="N28" s="85">
        <v>8.42</v>
      </c>
      <c r="O28" s="84"/>
    </row>
    <row r="29" spans="1:15" s="55" customFormat="1" x14ac:dyDescent="0.25">
      <c r="G29" s="56"/>
      <c r="H29" s="56"/>
      <c r="I29" s="56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92" customWidth="1"/>
    <col min="2" max="2" width="9.85546875" style="92" customWidth="1"/>
    <col min="3" max="3" width="65.140625" style="92" customWidth="1"/>
    <col min="4" max="4" width="18.7109375" style="92" customWidth="1"/>
    <col min="5" max="5" width="17.7109375" style="92" customWidth="1"/>
    <col min="6" max="6" width="12.7109375" style="92" customWidth="1"/>
    <col min="7" max="7" width="14.28515625" style="92" customWidth="1"/>
    <col min="8" max="8" width="13.85546875" style="92" customWidth="1"/>
    <col min="9" max="9" width="17.140625" style="92" customWidth="1"/>
    <col min="10" max="10" width="14.42578125" style="92" customWidth="1"/>
    <col min="11" max="12" width="12.7109375" style="92" customWidth="1"/>
    <col min="13" max="13" width="15.7109375" style="92" customWidth="1"/>
    <col min="14" max="14" width="18.42578125" style="92" customWidth="1"/>
    <col min="15" max="15" width="18.7109375" style="92" customWidth="1"/>
    <col min="16" max="16" width="18" style="92" customWidth="1"/>
    <col min="17" max="17" width="17" style="92" customWidth="1"/>
    <col min="18" max="18" width="16.5703125" style="93" customWidth="1"/>
    <col min="19" max="19" width="9.28515625" style="57"/>
  </cols>
  <sheetData>
    <row r="2" spans="1:18" ht="18.75" customHeight="1" x14ac:dyDescent="0.25">
      <c r="A2" s="427" t="s">
        <v>365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</row>
    <row r="4" spans="1:18" ht="36.75" customHeight="1" x14ac:dyDescent="0.25">
      <c r="A4" s="393" t="s">
        <v>325</v>
      </c>
      <c r="B4" s="396" t="s">
        <v>326</v>
      </c>
      <c r="C4" s="399" t="s">
        <v>366</v>
      </c>
      <c r="D4" s="399" t="s">
        <v>367</v>
      </c>
      <c r="E4" s="402" t="s">
        <v>368</v>
      </c>
      <c r="F4" s="403"/>
      <c r="G4" s="403"/>
      <c r="H4" s="403"/>
      <c r="I4" s="403"/>
      <c r="J4" s="403"/>
      <c r="K4" s="403"/>
      <c r="L4" s="403"/>
      <c r="M4" s="403"/>
      <c r="N4" s="428" t="s">
        <v>369</v>
      </c>
      <c r="O4" s="429"/>
      <c r="P4" s="429"/>
      <c r="Q4" s="429"/>
      <c r="R4" s="430"/>
    </row>
    <row r="5" spans="1:18" ht="60" customHeight="1" x14ac:dyDescent="0.25">
      <c r="A5" s="394"/>
      <c r="B5" s="397"/>
      <c r="C5" s="400"/>
      <c r="D5" s="400"/>
      <c r="E5" s="407" t="s">
        <v>370</v>
      </c>
      <c r="F5" s="407" t="s">
        <v>371</v>
      </c>
      <c r="G5" s="404" t="s">
        <v>332</v>
      </c>
      <c r="H5" s="405"/>
      <c r="I5" s="405"/>
      <c r="J5" s="406"/>
      <c r="K5" s="407" t="s">
        <v>372</v>
      </c>
      <c r="L5" s="407"/>
      <c r="M5" s="407"/>
      <c r="N5" s="94" t="s">
        <v>373</v>
      </c>
      <c r="O5" s="94" t="s">
        <v>374</v>
      </c>
      <c r="P5" s="95" t="s">
        <v>375</v>
      </c>
      <c r="Q5" s="96" t="s">
        <v>376</v>
      </c>
      <c r="R5" s="95" t="s">
        <v>377</v>
      </c>
    </row>
    <row r="6" spans="1:18" ht="49.5" customHeight="1" x14ac:dyDescent="0.25">
      <c r="A6" s="395"/>
      <c r="B6" s="398"/>
      <c r="C6" s="401"/>
      <c r="D6" s="401"/>
      <c r="E6" s="407"/>
      <c r="F6" s="407"/>
      <c r="G6" s="58" t="s">
        <v>112</v>
      </c>
      <c r="H6" s="58" t="s">
        <v>113</v>
      </c>
      <c r="I6" s="97" t="s">
        <v>43</v>
      </c>
      <c r="J6" s="97" t="s">
        <v>307</v>
      </c>
      <c r="K6" s="58" t="s">
        <v>373</v>
      </c>
      <c r="L6" s="58" t="s">
        <v>374</v>
      </c>
      <c r="M6" s="58" t="s">
        <v>375</v>
      </c>
      <c r="N6" s="97" t="s">
        <v>378</v>
      </c>
      <c r="O6" s="97" t="s">
        <v>379</v>
      </c>
      <c r="P6" s="97" t="s">
        <v>380</v>
      </c>
      <c r="Q6" s="98" t="s">
        <v>381</v>
      </c>
      <c r="R6" s="99" t="s">
        <v>382</v>
      </c>
    </row>
    <row r="7" spans="1:18" ht="16.5" customHeight="1" x14ac:dyDescent="0.25">
      <c r="A7" s="100"/>
      <c r="B7" s="101"/>
      <c r="C7" s="102"/>
      <c r="D7" s="102"/>
      <c r="E7" s="91"/>
      <c r="F7" s="91"/>
      <c r="G7" s="91"/>
      <c r="H7" s="91"/>
      <c r="I7" s="102"/>
      <c r="J7" s="102"/>
      <c r="K7" s="91"/>
      <c r="L7" s="91"/>
      <c r="M7" s="91"/>
      <c r="N7" s="102"/>
      <c r="O7" s="102"/>
      <c r="P7" s="102"/>
      <c r="Q7" s="98"/>
      <c r="R7" s="103"/>
    </row>
    <row r="8" spans="1:18" x14ac:dyDescent="0.25">
      <c r="A8" s="100">
        <v>1</v>
      </c>
      <c r="B8" s="100"/>
      <c r="C8" s="100">
        <v>2</v>
      </c>
      <c r="D8" s="100">
        <v>3</v>
      </c>
      <c r="E8" s="100">
        <v>4</v>
      </c>
      <c r="F8" s="100">
        <v>5</v>
      </c>
      <c r="G8" s="100">
        <v>6</v>
      </c>
      <c r="H8" s="100">
        <v>7</v>
      </c>
      <c r="I8" s="100">
        <v>8</v>
      </c>
      <c r="J8" s="100">
        <v>9</v>
      </c>
      <c r="K8" s="100">
        <v>10</v>
      </c>
      <c r="L8" s="100">
        <v>11</v>
      </c>
      <c r="M8" s="100">
        <v>12</v>
      </c>
      <c r="N8" s="100">
        <v>13</v>
      </c>
      <c r="O8" s="100">
        <v>14</v>
      </c>
      <c r="P8" s="100">
        <v>15</v>
      </c>
      <c r="Q8" s="100">
        <v>16</v>
      </c>
      <c r="R8" s="100">
        <v>17</v>
      </c>
    </row>
    <row r="9" spans="1:18" ht="102.6" customHeight="1" x14ac:dyDescent="0.25">
      <c r="A9" s="393">
        <v>1</v>
      </c>
      <c r="B9" s="393" t="s">
        <v>383</v>
      </c>
      <c r="C9" s="420" t="s">
        <v>339</v>
      </c>
      <c r="D9" s="104" t="s">
        <v>384</v>
      </c>
      <c r="E9" s="105">
        <v>11656.266250000001</v>
      </c>
      <c r="F9" s="105">
        <f t="shared" ref="F9:F14" si="0">G9+H9+I9</f>
        <v>9442.6878704999999</v>
      </c>
      <c r="G9" s="105">
        <f>G10*E28</f>
        <v>2331.6699567000001</v>
      </c>
      <c r="H9" s="105">
        <f>H10*E28</f>
        <v>1695.3600215999998</v>
      </c>
      <c r="I9" s="105">
        <f>I10*E30</f>
        <v>5415.6578921999999</v>
      </c>
      <c r="J9" s="105"/>
      <c r="K9" s="105">
        <f>K10*1.19*E33</f>
        <v>136.37044035299999</v>
      </c>
      <c r="L9" s="105">
        <v>0</v>
      </c>
      <c r="M9" s="105">
        <f>M10*1.266*E34</f>
        <v>66.539350027799998</v>
      </c>
      <c r="N9" s="106">
        <f t="shared" ref="N9:N22" si="1">K9/(G9+H9)</f>
        <v>3.3863775806945544E-2</v>
      </c>
      <c r="O9" s="106">
        <f t="shared" ref="O9:O22" si="2">L9/(G9+H9)</f>
        <v>0</v>
      </c>
      <c r="P9" s="106">
        <f t="shared" ref="P9:P22" si="3">M9/(G9+H9)</f>
        <v>1.6523182192919608E-2</v>
      </c>
      <c r="Q9" s="107">
        <v>0</v>
      </c>
      <c r="R9" s="108">
        <f>N9+O9+P9+Q9</f>
        <v>5.0386957999865152E-2</v>
      </c>
    </row>
    <row r="10" spans="1:18" ht="72.599999999999994" hidden="1" customHeight="1" x14ac:dyDescent="0.25">
      <c r="A10" s="395"/>
      <c r="B10" s="394"/>
      <c r="C10" s="421"/>
      <c r="D10" s="104" t="s">
        <v>385</v>
      </c>
      <c r="E10" s="105">
        <v>2179.8248199999998</v>
      </c>
      <c r="F10" s="105">
        <f t="shared" si="0"/>
        <v>1875.52594</v>
      </c>
      <c r="G10" s="105">
        <f>382868.63/1000</f>
        <v>382.86863</v>
      </c>
      <c r="H10" s="105">
        <f>278384.24/1000</f>
        <v>278.38423999999998</v>
      </c>
      <c r="I10" s="105">
        <f>1214273.07/1000</f>
        <v>1214.27307</v>
      </c>
      <c r="J10" s="105"/>
      <c r="K10" s="105">
        <f>29920.89/1000</f>
        <v>29.92089</v>
      </c>
      <c r="L10" s="105">
        <v>0</v>
      </c>
      <c r="M10" s="105">
        <f>13442.13/1000</f>
        <v>13.442129999999999</v>
      </c>
      <c r="N10" s="106">
        <f t="shared" si="1"/>
        <v>4.5248786595058557E-2</v>
      </c>
      <c r="O10" s="106">
        <f t="shared" si="2"/>
        <v>0</v>
      </c>
      <c r="P10" s="106">
        <f t="shared" si="3"/>
        <v>2.0328274718868136E-2</v>
      </c>
      <c r="Q10" s="107">
        <v>0</v>
      </c>
      <c r="R10" s="108"/>
    </row>
    <row r="11" spans="1:18" ht="192.75" customHeight="1" x14ac:dyDescent="0.25">
      <c r="A11" s="393">
        <v>2</v>
      </c>
      <c r="B11" s="394"/>
      <c r="C11" s="420" t="s">
        <v>386</v>
      </c>
      <c r="D11" s="109" t="s">
        <v>384</v>
      </c>
      <c r="E11" s="105">
        <v>688044.21</v>
      </c>
      <c r="F11" s="105">
        <f t="shared" si="0"/>
        <v>521424.06839999999</v>
      </c>
      <c r="G11" s="105">
        <f>G12*F28</f>
        <v>99804.705000000002</v>
      </c>
      <c r="H11" s="105">
        <f>H12*F28</f>
        <v>246917.90759999998</v>
      </c>
      <c r="I11" s="105">
        <f>I12*F30</f>
        <v>174701.45580000003</v>
      </c>
      <c r="J11" s="105"/>
      <c r="K11" s="105">
        <f>K12*1.19*F33</f>
        <v>8486.4829769999997</v>
      </c>
      <c r="L11" s="105">
        <f>L12*1.19*F33</f>
        <v>11572.501647000001</v>
      </c>
      <c r="M11" s="105">
        <f>M12*1.266*F34</f>
        <v>3883.6190735999999</v>
      </c>
      <c r="N11" s="106">
        <f t="shared" si="1"/>
        <v>2.4476289311970878E-2</v>
      </c>
      <c r="O11" s="106">
        <f t="shared" si="2"/>
        <v>3.3376829853179302E-2</v>
      </c>
      <c r="P11" s="106">
        <f t="shared" si="3"/>
        <v>1.1200939692042456E-2</v>
      </c>
      <c r="Q11" s="107">
        <v>0</v>
      </c>
      <c r="R11" s="108">
        <f>N11+O11+P11+Q11</f>
        <v>6.9054058857192638E-2</v>
      </c>
    </row>
    <row r="12" spans="1:18" ht="100.9" hidden="1" customHeight="1" x14ac:dyDescent="0.25">
      <c r="A12" s="395"/>
      <c r="B12" s="395"/>
      <c r="C12" s="421"/>
      <c r="D12" s="109" t="s">
        <v>385</v>
      </c>
      <c r="E12" s="105">
        <v>116471.93</v>
      </c>
      <c r="F12" s="105">
        <f t="shared" si="0"/>
        <v>91466.75</v>
      </c>
      <c r="G12" s="105">
        <v>15053.5</v>
      </c>
      <c r="H12" s="105">
        <v>37242.519999999997</v>
      </c>
      <c r="I12" s="105">
        <v>39170.730000000003</v>
      </c>
      <c r="J12" s="105"/>
      <c r="K12" s="105">
        <v>1862.01</v>
      </c>
      <c r="L12" s="105">
        <v>2539.11</v>
      </c>
      <c r="M12" s="105">
        <v>784.56</v>
      </c>
      <c r="N12" s="106">
        <f t="shared" si="1"/>
        <v>3.5605195194586513E-2</v>
      </c>
      <c r="O12" s="106">
        <f t="shared" si="2"/>
        <v>4.8552643203058285E-2</v>
      </c>
      <c r="P12" s="106">
        <f t="shared" si="3"/>
        <v>1.5002288893112708E-2</v>
      </c>
      <c r="Q12" s="107">
        <v>0</v>
      </c>
      <c r="R12" s="108"/>
    </row>
    <row r="13" spans="1:18" ht="49.15" customHeight="1" x14ac:dyDescent="0.25">
      <c r="A13" s="393">
        <v>3</v>
      </c>
      <c r="B13" s="393" t="s">
        <v>341</v>
      </c>
      <c r="C13" s="423" t="s">
        <v>342</v>
      </c>
      <c r="D13" s="104" t="s">
        <v>387</v>
      </c>
      <c r="E13" s="105">
        <v>170961.79</v>
      </c>
      <c r="F13" s="105">
        <f t="shared" si="0"/>
        <v>129121.52160000001</v>
      </c>
      <c r="G13" s="105">
        <f>G14*G28</f>
        <v>91503.198799999998</v>
      </c>
      <c r="H13" s="105">
        <f>H14*G28</f>
        <v>37618.322800000002</v>
      </c>
      <c r="I13" s="105">
        <f>I14*G30</f>
        <v>0</v>
      </c>
      <c r="J13" s="105"/>
      <c r="K13" s="65">
        <f>K14*1.19*G33</f>
        <v>1996.481088</v>
      </c>
      <c r="L13" s="65">
        <f>L14*1.19*G33</f>
        <v>2500.7293079999995</v>
      </c>
      <c r="M13" s="65">
        <f>M14*1.266*G34</f>
        <v>200.53819800000002</v>
      </c>
      <c r="N13" s="106">
        <f t="shared" si="1"/>
        <v>1.5462031915832069E-2</v>
      </c>
      <c r="O13" s="106">
        <f t="shared" si="2"/>
        <v>1.936725401786157E-2</v>
      </c>
      <c r="P13" s="106">
        <f t="shared" si="3"/>
        <v>1.5530966140659234E-3</v>
      </c>
      <c r="Q13" s="107">
        <v>4.5614105389631997E-3</v>
      </c>
      <c r="R13" s="108">
        <f>N13+O13+P13+Q13</f>
        <v>4.0943793086722767E-2</v>
      </c>
    </row>
    <row r="14" spans="1:18" ht="57" hidden="1" customHeight="1" x14ac:dyDescent="0.25">
      <c r="A14" s="395"/>
      <c r="B14" s="394"/>
      <c r="C14" s="424"/>
      <c r="D14" s="104" t="s">
        <v>385</v>
      </c>
      <c r="E14" s="105">
        <v>29033.31</v>
      </c>
      <c r="F14" s="105">
        <f t="shared" si="0"/>
        <v>22378.080000000002</v>
      </c>
      <c r="G14" s="105">
        <v>15858.44</v>
      </c>
      <c r="H14" s="105">
        <v>6519.64</v>
      </c>
      <c r="I14" s="105">
        <v>0</v>
      </c>
      <c r="J14" s="105"/>
      <c r="K14" s="65">
        <v>420.48</v>
      </c>
      <c r="L14" s="65">
        <v>526.67999999999995</v>
      </c>
      <c r="M14" s="65">
        <v>39.700000000000003</v>
      </c>
      <c r="N14" s="106">
        <f t="shared" si="1"/>
        <v>1.8789815748267949E-2</v>
      </c>
      <c r="O14" s="106">
        <f t="shared" si="2"/>
        <v>2.3535531198386989E-2</v>
      </c>
      <c r="P14" s="106">
        <f t="shared" si="3"/>
        <v>1.7740574705247278E-3</v>
      </c>
      <c r="Q14" s="107">
        <v>4.9753003421204997E-3</v>
      </c>
      <c r="R14" s="108"/>
    </row>
    <row r="15" spans="1:18" ht="67.900000000000006" customHeight="1" x14ac:dyDescent="0.25">
      <c r="A15" s="393">
        <v>4</v>
      </c>
      <c r="B15" s="394"/>
      <c r="C15" s="425" t="s">
        <v>343</v>
      </c>
      <c r="D15" s="110" t="s">
        <v>387</v>
      </c>
      <c r="E15" s="105">
        <v>725870.83</v>
      </c>
      <c r="F15" s="105">
        <v>551588.679</v>
      </c>
      <c r="G15" s="105">
        <v>319494.33</v>
      </c>
      <c r="H15" s="105">
        <v>231687.44</v>
      </c>
      <c r="I15" s="105">
        <v>406.85</v>
      </c>
      <c r="J15" s="105"/>
      <c r="K15" s="105">
        <v>12415.71</v>
      </c>
      <c r="L15" s="105">
        <v>14808.286339</v>
      </c>
      <c r="M15" s="105">
        <v>3822.96</v>
      </c>
      <c r="N15" s="106">
        <f t="shared" si="1"/>
        <v>2.2525618000754994E-2</v>
      </c>
      <c r="O15" s="106">
        <f t="shared" si="2"/>
        <v>2.6866429814977371E-2</v>
      </c>
      <c r="P15" s="106">
        <f t="shared" si="3"/>
        <v>6.9359333128887765E-3</v>
      </c>
      <c r="Q15" s="107">
        <v>3.5515340532281999E-3</v>
      </c>
      <c r="R15" s="108">
        <f>N15+O15+P15+Q15</f>
        <v>5.9879515181849342E-2</v>
      </c>
    </row>
    <row r="16" spans="1:18" ht="67.900000000000006" hidden="1" customHeight="1" x14ac:dyDescent="0.25">
      <c r="A16" s="395"/>
      <c r="B16" s="395"/>
      <c r="C16" s="426"/>
      <c r="D16" s="110" t="s">
        <v>385</v>
      </c>
      <c r="E16" s="105">
        <v>125177.97</v>
      </c>
      <c r="F16" s="105">
        <v>95613.7</v>
      </c>
      <c r="G16" s="105">
        <v>55371.64</v>
      </c>
      <c r="H16" s="105">
        <v>40153.81</v>
      </c>
      <c r="I16" s="105">
        <v>88.25</v>
      </c>
      <c r="J16" s="105"/>
      <c r="K16" s="105">
        <v>2724.12</v>
      </c>
      <c r="L16" s="105">
        <v>3249.07</v>
      </c>
      <c r="M16" s="105">
        <v>772.31</v>
      </c>
      <c r="N16" s="106">
        <f t="shared" si="1"/>
        <v>2.8517217139516222E-2</v>
      </c>
      <c r="O16" s="106">
        <f t="shared" si="2"/>
        <v>3.4012611298873757E-2</v>
      </c>
      <c r="P16" s="106">
        <f t="shared" si="3"/>
        <v>8.084861154802201E-3</v>
      </c>
      <c r="Q16" s="107">
        <v>3.8737899135989E-3</v>
      </c>
      <c r="R16" s="108"/>
    </row>
    <row r="17" spans="1:18" ht="67.900000000000006" customHeight="1" x14ac:dyDescent="0.25">
      <c r="A17" s="393">
        <v>5</v>
      </c>
      <c r="B17" s="408" t="s">
        <v>344</v>
      </c>
      <c r="C17" s="420" t="s">
        <v>388</v>
      </c>
      <c r="D17" s="104" t="s">
        <v>389</v>
      </c>
      <c r="E17" s="105">
        <v>561932.85</v>
      </c>
      <c r="F17" s="105">
        <f>G17+H17+I17</f>
        <v>399667.21620000002</v>
      </c>
      <c r="G17" s="105">
        <f>G18*I28</f>
        <v>163785.29599999997</v>
      </c>
      <c r="H17" s="105">
        <f>H18*I28</f>
        <v>147763.611</v>
      </c>
      <c r="I17" s="105">
        <f>I18*I30</f>
        <v>88118.309200000003</v>
      </c>
      <c r="J17" s="105"/>
      <c r="K17" s="105">
        <f>K18*1.19*I33</f>
        <v>19215.596995</v>
      </c>
      <c r="L17" s="105">
        <f>L18*1.19*I33</f>
        <v>0</v>
      </c>
      <c r="M17" s="105">
        <f>M18*1.266*I34</f>
        <v>1734.8322096000002</v>
      </c>
      <c r="N17" s="106">
        <f t="shared" si="1"/>
        <v>6.1677626090981597E-2</v>
      </c>
      <c r="O17" s="106">
        <f t="shared" si="2"/>
        <v>0</v>
      </c>
      <c r="P17" s="106">
        <f t="shared" si="3"/>
        <v>5.5684105147574799E-3</v>
      </c>
      <c r="Q17" s="107">
        <v>5.5643872525604002E-3</v>
      </c>
      <c r="R17" s="108">
        <f>N17+O17+P17+Q17</f>
        <v>7.2810423858299472E-2</v>
      </c>
    </row>
    <row r="18" spans="1:18" ht="67.900000000000006" hidden="1" customHeight="1" x14ac:dyDescent="0.25">
      <c r="A18" s="395"/>
      <c r="B18" s="408"/>
      <c r="C18" s="421"/>
      <c r="D18" s="104" t="s">
        <v>385</v>
      </c>
      <c r="E18" s="105">
        <v>94393.09</v>
      </c>
      <c r="F18" s="105">
        <f>G18+H18+I18</f>
        <v>69651.209999999992</v>
      </c>
      <c r="G18" s="105">
        <v>25792.959999999999</v>
      </c>
      <c r="H18" s="105">
        <v>23269.86</v>
      </c>
      <c r="I18" s="105">
        <v>20588.39</v>
      </c>
      <c r="J18" s="105"/>
      <c r="K18" s="105">
        <v>4087.99</v>
      </c>
      <c r="L18" s="105">
        <v>0</v>
      </c>
      <c r="M18" s="105">
        <v>343.44</v>
      </c>
      <c r="N18" s="106">
        <f t="shared" si="1"/>
        <v>8.3321545724440615E-2</v>
      </c>
      <c r="O18" s="106">
        <f t="shared" si="2"/>
        <v>0</v>
      </c>
      <c r="P18" s="106">
        <f t="shared" si="3"/>
        <v>7.0000052993284935E-3</v>
      </c>
      <c r="Q18" s="107">
        <v>9.4728844648146997E-3</v>
      </c>
      <c r="R18" s="108"/>
    </row>
    <row r="19" spans="1:18" ht="67.900000000000006" customHeight="1" x14ac:dyDescent="0.25">
      <c r="A19" s="393">
        <v>6</v>
      </c>
      <c r="B19" s="408"/>
      <c r="C19" s="420" t="s">
        <v>346</v>
      </c>
      <c r="D19" s="110" t="s">
        <v>387</v>
      </c>
      <c r="E19" s="105">
        <v>738823.57</v>
      </c>
      <c r="F19" s="105">
        <v>511472.86</v>
      </c>
      <c r="G19" s="105">
        <v>257334.67</v>
      </c>
      <c r="H19" s="105">
        <v>230898.09</v>
      </c>
      <c r="I19" s="105">
        <v>23240.1</v>
      </c>
      <c r="J19" s="105"/>
      <c r="K19" s="105">
        <v>19584.188309000001</v>
      </c>
      <c r="L19" s="105">
        <v>0</v>
      </c>
      <c r="M19" s="105">
        <v>2539.5687809999999</v>
      </c>
      <c r="N19" s="106">
        <f t="shared" si="1"/>
        <v>4.0112401119908464E-2</v>
      </c>
      <c r="O19" s="106">
        <f t="shared" si="2"/>
        <v>0</v>
      </c>
      <c r="P19" s="106">
        <f t="shared" si="3"/>
        <v>5.2015534168579755E-3</v>
      </c>
      <c r="Q19" s="107">
        <v>5.1286902198045999E-3</v>
      </c>
      <c r="R19" s="108">
        <f>N19+O19+P19+Q19</f>
        <v>5.0442644756571037E-2</v>
      </c>
    </row>
    <row r="20" spans="1:18" ht="67.900000000000006" hidden="1" customHeight="1" x14ac:dyDescent="0.25">
      <c r="A20" s="395"/>
      <c r="B20" s="408"/>
      <c r="C20" s="421"/>
      <c r="D20" s="110" t="s">
        <v>385</v>
      </c>
      <c r="E20" s="105">
        <v>128717.35</v>
      </c>
      <c r="F20" s="105">
        <v>89613.6</v>
      </c>
      <c r="G20" s="105">
        <v>44598.73</v>
      </c>
      <c r="H20" s="105">
        <v>40017</v>
      </c>
      <c r="I20" s="105">
        <v>4997.87</v>
      </c>
      <c r="J20" s="105"/>
      <c r="K20" s="105">
        <v>4023.79</v>
      </c>
      <c r="L20" s="105">
        <v>0</v>
      </c>
      <c r="M20" s="105">
        <v>481.05</v>
      </c>
      <c r="N20" s="106">
        <f t="shared" si="1"/>
        <v>4.7553687712674694E-2</v>
      </c>
      <c r="O20" s="106">
        <f t="shared" si="2"/>
        <v>0</v>
      </c>
      <c r="P20" s="106">
        <f t="shared" si="3"/>
        <v>5.685113158038109E-3</v>
      </c>
      <c r="Q20" s="107">
        <v>5.5940533914911996E-3</v>
      </c>
      <c r="R20" s="108"/>
    </row>
    <row r="21" spans="1:18" ht="67.900000000000006" customHeight="1" x14ac:dyDescent="0.25">
      <c r="A21" s="393">
        <v>7</v>
      </c>
      <c r="B21" s="393" t="s">
        <v>347</v>
      </c>
      <c r="C21" s="420" t="s">
        <v>348</v>
      </c>
      <c r="D21" s="110" t="s">
        <v>390</v>
      </c>
      <c r="E21" s="105">
        <v>16001185.93</v>
      </c>
      <c r="F21" s="105">
        <f>G21+H21+I21+J21</f>
        <v>6269109.2307000002</v>
      </c>
      <c r="G21" s="105">
        <f>123094.59*K28+325303.92*K29</f>
        <v>2908258.6863000002</v>
      </c>
      <c r="H21" s="105">
        <f>110226.08*K28+375865.25*K29</f>
        <v>3158998.0832000002</v>
      </c>
      <c r="I21" s="105">
        <f>I22*K30</f>
        <v>201852.46120000002</v>
      </c>
      <c r="J21" s="105">
        <f>J22*K35</f>
        <v>0</v>
      </c>
      <c r="K21" s="105">
        <f>K22*K33*1.19</f>
        <v>48825.362634999998</v>
      </c>
      <c r="L21" s="105">
        <f>L22*1.19*K33</f>
        <v>73238.020449999996</v>
      </c>
      <c r="M21" s="105">
        <f>M22*K34*1.266</f>
        <v>11514.883123800002</v>
      </c>
      <c r="N21" s="106">
        <f t="shared" si="1"/>
        <v>8.0473539343916163E-3</v>
      </c>
      <c r="O21" s="106">
        <f t="shared" si="2"/>
        <v>1.2071027027925754E-2</v>
      </c>
      <c r="P21" s="106">
        <f t="shared" si="3"/>
        <v>1.8978730522309735E-3</v>
      </c>
      <c r="Q21" s="107">
        <v>5.9210415358545E-4</v>
      </c>
      <c r="R21" s="108">
        <f>N21+O21+P21+Q21</f>
        <v>2.2608358168133794E-2</v>
      </c>
    </row>
    <row r="22" spans="1:18" ht="67.900000000000006" hidden="1" customHeight="1" x14ac:dyDescent="0.25">
      <c r="A22" s="395"/>
      <c r="B22" s="395"/>
      <c r="C22" s="421"/>
      <c r="D22" s="111" t="s">
        <v>385</v>
      </c>
      <c r="E22" s="112">
        <v>2195184.4700000002</v>
      </c>
      <c r="F22" s="112">
        <f>G22+H22+I22+J22</f>
        <v>981651.63000000012</v>
      </c>
      <c r="G22" s="112">
        <f>123094.59+325303.92</f>
        <v>448398.51</v>
      </c>
      <c r="H22" s="112">
        <f>110226.08+375865.25</f>
        <v>486091.33</v>
      </c>
      <c r="I22" s="112">
        <v>47161.79</v>
      </c>
      <c r="J22" s="112">
        <v>0</v>
      </c>
      <c r="K22" s="112">
        <v>10387.27</v>
      </c>
      <c r="L22" s="112">
        <v>15580.9</v>
      </c>
      <c r="M22" s="112">
        <v>2279.5700000000002</v>
      </c>
      <c r="N22" s="113">
        <f t="shared" si="1"/>
        <v>1.1115444551007637E-2</v>
      </c>
      <c r="O22" s="113">
        <f t="shared" si="2"/>
        <v>1.6673161475998496E-2</v>
      </c>
      <c r="P22" s="113">
        <f t="shared" si="3"/>
        <v>2.4393737656901652E-3</v>
      </c>
      <c r="Q22" s="114">
        <v>7.7662380726578996E-4</v>
      </c>
      <c r="R22" s="115"/>
    </row>
    <row r="23" spans="1:18" ht="67.900000000000006" customHeight="1" x14ac:dyDescent="0.25">
      <c r="A23" s="116"/>
      <c r="B23" s="116"/>
      <c r="C23" s="117" t="s">
        <v>391</v>
      </c>
      <c r="D23" s="118"/>
      <c r="E23" s="119"/>
      <c r="F23" s="119"/>
      <c r="G23" s="119"/>
      <c r="H23" s="119"/>
      <c r="I23" s="119"/>
      <c r="J23" s="119"/>
      <c r="K23" s="119"/>
      <c r="L23" s="119"/>
      <c r="M23" s="119"/>
      <c r="N23" s="120">
        <f>(N9+N11+N13+N15+N17+N19+N21)/7</f>
        <v>2.9452156597255023E-2</v>
      </c>
      <c r="O23" s="120">
        <f>(O9+O11+O13+O15+O17+O19+O21)/7</f>
        <v>1.3097362959134858E-2</v>
      </c>
      <c r="P23" s="120">
        <f>(P9+P11+P13+P15+P17+P19+P21)/7</f>
        <v>6.9829983993947428E-3</v>
      </c>
      <c r="Q23" s="120">
        <f>(Q9+Q11+Q13+Q15+Q17+Q19+Q21)/7</f>
        <v>2.7711608883059786E-3</v>
      </c>
      <c r="R23" s="120">
        <f>N23+O23+P23+Q23</f>
        <v>5.2303678844090602E-2</v>
      </c>
    </row>
    <row r="24" spans="1:18" ht="67.900000000000006" customHeight="1" x14ac:dyDescent="0.25">
      <c r="A24" s="121"/>
      <c r="B24" s="121"/>
      <c r="C24" s="122"/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5"/>
      <c r="O24" s="125"/>
      <c r="P24" s="125"/>
      <c r="Q24" s="77"/>
    </row>
    <row r="26" spans="1:18" ht="14.45" customHeight="1" outlineLevel="1" x14ac:dyDescent="0.25">
      <c r="D26" s="422" t="s">
        <v>392</v>
      </c>
      <c r="E26" s="422"/>
      <c r="F26" s="422"/>
      <c r="G26" s="422"/>
      <c r="H26" s="422"/>
      <c r="I26" s="422"/>
      <c r="J26" s="422"/>
      <c r="K26" s="422"/>
      <c r="L26" s="126"/>
      <c r="R26" s="127"/>
    </row>
    <row r="27" spans="1:18" outlineLevel="1" x14ac:dyDescent="0.25">
      <c r="D27" s="128"/>
      <c r="E27" s="128" t="s">
        <v>352</v>
      </c>
      <c r="F27" s="128" t="s">
        <v>353</v>
      </c>
      <c r="G27" s="128" t="s">
        <v>354</v>
      </c>
      <c r="H27" s="129" t="s">
        <v>355</v>
      </c>
      <c r="I27" s="129" t="s">
        <v>356</v>
      </c>
      <c r="J27" s="129" t="s">
        <v>357</v>
      </c>
      <c r="K27" s="116" t="s">
        <v>358</v>
      </c>
      <c r="L27" s="57"/>
    </row>
    <row r="28" spans="1:18" outlineLevel="1" x14ac:dyDescent="0.25">
      <c r="D28" s="416" t="s">
        <v>359</v>
      </c>
      <c r="E28" s="414">
        <v>6.09</v>
      </c>
      <c r="F28" s="418">
        <v>6.63</v>
      </c>
      <c r="G28" s="414">
        <v>5.77</v>
      </c>
      <c r="H28" s="412">
        <v>5.77</v>
      </c>
      <c r="I28" s="412">
        <v>6.35</v>
      </c>
      <c r="J28" s="414">
        <v>5.77</v>
      </c>
      <c r="K28" s="130">
        <v>6.29</v>
      </c>
      <c r="L28" s="92" t="s">
        <v>360</v>
      </c>
      <c r="M28" s="57"/>
    </row>
    <row r="29" spans="1:18" outlineLevel="1" x14ac:dyDescent="0.25">
      <c r="D29" s="417"/>
      <c r="E29" s="415"/>
      <c r="F29" s="419"/>
      <c r="G29" s="415"/>
      <c r="H29" s="413"/>
      <c r="I29" s="413"/>
      <c r="J29" s="415"/>
      <c r="K29" s="130">
        <v>6.56</v>
      </c>
      <c r="L29" s="92" t="s">
        <v>361</v>
      </c>
      <c r="M29" s="57"/>
    </row>
    <row r="30" spans="1:18" outlineLevel="1" x14ac:dyDescent="0.25">
      <c r="D30" s="131" t="s">
        <v>362</v>
      </c>
      <c r="E30" s="132">
        <v>4.46</v>
      </c>
      <c r="F30" s="128">
        <v>4.46</v>
      </c>
      <c r="G30" s="133">
        <v>4.6500000000000004</v>
      </c>
      <c r="H30" s="129">
        <v>4.6100000000000003</v>
      </c>
      <c r="I30" s="129">
        <v>4.28</v>
      </c>
      <c r="J30" s="130">
        <v>4.6500000000000004</v>
      </c>
      <c r="K30" s="130">
        <v>4.28</v>
      </c>
      <c r="L30" s="57"/>
    </row>
    <row r="31" spans="1:18" s="92" customFormat="1" outlineLevel="1" x14ac:dyDescent="0.25">
      <c r="D31" s="416" t="s">
        <v>336</v>
      </c>
      <c r="E31" s="414">
        <v>11.37</v>
      </c>
      <c r="F31" s="418">
        <v>13.56</v>
      </c>
      <c r="G31" s="414">
        <v>15.91</v>
      </c>
      <c r="H31" s="412">
        <v>15.91</v>
      </c>
      <c r="I31" s="412">
        <v>14.03</v>
      </c>
      <c r="J31" s="414">
        <v>15.91</v>
      </c>
      <c r="K31" s="130">
        <v>8.2899999999999991</v>
      </c>
      <c r="L31" s="92" t="s">
        <v>360</v>
      </c>
      <c r="R31" s="121"/>
    </row>
    <row r="32" spans="1:18" s="92" customFormat="1" outlineLevel="1" x14ac:dyDescent="0.25">
      <c r="D32" s="417"/>
      <c r="E32" s="415"/>
      <c r="F32" s="419"/>
      <c r="G32" s="415"/>
      <c r="H32" s="413"/>
      <c r="I32" s="413"/>
      <c r="J32" s="415"/>
      <c r="K32" s="130">
        <v>11.84</v>
      </c>
      <c r="L32" s="92" t="s">
        <v>361</v>
      </c>
      <c r="R32" s="121"/>
    </row>
    <row r="33" spans="4:18" s="92" customFormat="1" ht="15" customHeight="1" outlineLevel="1" x14ac:dyDescent="0.25">
      <c r="D33" s="134" t="s">
        <v>363</v>
      </c>
      <c r="E33" s="135">
        <v>3.83</v>
      </c>
      <c r="F33" s="136">
        <v>3.83</v>
      </c>
      <c r="G33" s="137">
        <v>3.99</v>
      </c>
      <c r="H33" s="138">
        <v>3.83</v>
      </c>
      <c r="I33" s="138">
        <v>3.95</v>
      </c>
      <c r="J33" s="139">
        <v>4.09</v>
      </c>
      <c r="K33" s="130">
        <v>3.95</v>
      </c>
      <c r="L33" s="92" t="s">
        <v>393</v>
      </c>
      <c r="R33" s="121"/>
    </row>
    <row r="34" spans="4:18" s="92" customFormat="1" outlineLevel="1" x14ac:dyDescent="0.25">
      <c r="D34" s="134" t="s">
        <v>364</v>
      </c>
      <c r="E34" s="135">
        <v>3.91</v>
      </c>
      <c r="F34" s="136">
        <v>3.91</v>
      </c>
      <c r="G34" s="137">
        <v>3.99</v>
      </c>
      <c r="H34" s="138">
        <v>3.91</v>
      </c>
      <c r="I34" s="138">
        <v>3.99</v>
      </c>
      <c r="J34" s="139">
        <v>4.17</v>
      </c>
      <c r="K34" s="130">
        <v>3.99</v>
      </c>
      <c r="L34" s="92" t="s">
        <v>393</v>
      </c>
      <c r="R34" s="121"/>
    </row>
    <row r="35" spans="4:18" s="92" customFormat="1" outlineLevel="1" x14ac:dyDescent="0.25">
      <c r="D35" s="131" t="s">
        <v>307</v>
      </c>
      <c r="E35" s="132">
        <v>8.7899999999999991</v>
      </c>
      <c r="F35" s="128">
        <v>8.7899999999999991</v>
      </c>
      <c r="G35" s="133">
        <v>9.19</v>
      </c>
      <c r="H35" s="129">
        <v>9.1</v>
      </c>
      <c r="I35" s="129">
        <v>8.42</v>
      </c>
      <c r="J35" s="130">
        <v>9.19</v>
      </c>
      <c r="K35" s="130">
        <v>8.42</v>
      </c>
      <c r="R35" s="121"/>
    </row>
    <row r="36" spans="4:18" s="92" customFormat="1" x14ac:dyDescent="0.25">
      <c r="R36" s="121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8" t="s">
        <v>10</v>
      </c>
      <c r="B2" s="328"/>
      <c r="C2" s="328"/>
      <c r="D2" s="328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1"/>
    </row>
    <row r="5" spans="1:4" x14ac:dyDescent="0.25">
      <c r="A5" s="6"/>
      <c r="B5" s="1"/>
      <c r="C5" s="1"/>
    </row>
    <row r="6" spans="1:4" x14ac:dyDescent="0.25">
      <c r="A6" s="328" t="s">
        <v>12</v>
      </c>
      <c r="B6" s="328"/>
      <c r="C6" s="328"/>
      <c r="D6" s="328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>
        <f>'4.5 РМ'!B36/1000</f>
        <v>54.924724898605838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>
        <f>'4.5 РМ'!B32/1000</f>
        <v>0</v>
      </c>
    </row>
    <row r="12" spans="1:4" ht="25.5" hidden="1" customHeight="1" outlineLevel="1" x14ac:dyDescent="0.25">
      <c r="A12" s="8" t="s">
        <v>22</v>
      </c>
      <c r="B12" s="9" t="s">
        <v>23</v>
      </c>
      <c r="C12" s="3">
        <f>'4.5 РМ'!B23/1000</f>
        <v>43.258789999999998</v>
      </c>
    </row>
    <row r="13" spans="1:4" ht="26.45" hidden="1" customHeight="1" outlineLevel="1" x14ac:dyDescent="0.25">
      <c r="A13" s="8" t="s">
        <v>24</v>
      </c>
      <c r="B13" s="9" t="s">
        <v>25</v>
      </c>
      <c r="C13" s="3">
        <f>'4.5 РМ'!B36/1000</f>
        <v>54.924724898605838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2" t="s">
        <v>5</v>
      </c>
      <c r="B15" s="333" t="s">
        <v>15</v>
      </c>
      <c r="C15" s="333"/>
      <c r="D15" s="333"/>
    </row>
    <row r="16" spans="1:4" x14ac:dyDescent="0.25">
      <c r="A16" s="332"/>
      <c r="B16" s="332" t="s">
        <v>17</v>
      </c>
      <c r="C16" s="333" t="s">
        <v>28</v>
      </c>
      <c r="D16" s="333"/>
    </row>
    <row r="17" spans="1:4" ht="39" customHeight="1" x14ac:dyDescent="0.25">
      <c r="A17" s="332"/>
      <c r="B17" s="332"/>
      <c r="C17" s="10" t="s">
        <v>21</v>
      </c>
      <c r="D17" s="11" t="s">
        <v>23</v>
      </c>
    </row>
    <row r="18" spans="1:4" x14ac:dyDescent="0.25">
      <c r="A18" s="143" t="str">
        <f>B4</f>
        <v>И5-05-02</v>
      </c>
      <c r="B18" s="12">
        <f>C9</f>
        <v>54.924724898605838</v>
      </c>
      <c r="C18" s="12">
        <f>C11</f>
        <v>0</v>
      </c>
      <c r="D18" s="12">
        <f>C12</f>
        <v>43.258789999999998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4" t="s">
        <v>29</v>
      </c>
      <c r="B2" s="334"/>
      <c r="C2" s="334"/>
      <c r="D2" s="334"/>
    </row>
    <row r="3" spans="1:10" x14ac:dyDescent="0.25">
      <c r="H3" s="147" t="s">
        <v>30</v>
      </c>
      <c r="I3" s="147" t="s">
        <v>31</v>
      </c>
      <c r="J3" s="147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40">
        <v>3985.09</v>
      </c>
      <c r="I4" s="140">
        <v>3153.63</v>
      </c>
      <c r="J4" s="140">
        <v>94532.14</v>
      </c>
    </row>
    <row r="5" spans="1:10" ht="102" customHeight="1" x14ac:dyDescent="0.25">
      <c r="A5" s="2">
        <v>1</v>
      </c>
      <c r="B5" s="9" t="s">
        <v>37</v>
      </c>
      <c r="C5" s="153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3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44">
        <v>3</v>
      </c>
      <c r="B7" s="154" t="s">
        <v>41</v>
      </c>
      <c r="C7" s="155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45">
        <v>4</v>
      </c>
      <c r="B8" s="156" t="s">
        <v>43</v>
      </c>
      <c r="C8" s="157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6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view="pageBreakPreview" topLeftCell="A2" zoomScale="55" zoomScaleNormal="55" zoomScaleSheetLayoutView="55" workbookViewId="0">
      <selection activeCell="D25" sqref="D25"/>
    </sheetView>
  </sheetViews>
  <sheetFormatPr defaultColWidth="9.140625" defaultRowHeight="15.75" x14ac:dyDescent="0.25"/>
  <cols>
    <col min="1" max="2" width="9.140625" style="165"/>
    <col min="3" max="3" width="36.85546875" style="165" customWidth="1"/>
    <col min="4" max="4" width="36.5703125" style="165" customWidth="1"/>
    <col min="5" max="5" width="17.5703125" style="165" customWidth="1"/>
    <col min="6" max="6" width="18.7109375" style="165" customWidth="1"/>
    <col min="7" max="7" width="9.140625" style="165"/>
  </cols>
  <sheetData>
    <row r="3" spans="2:4" x14ac:dyDescent="0.25">
      <c r="B3" s="335" t="s">
        <v>45</v>
      </c>
      <c r="C3" s="335"/>
      <c r="D3" s="335"/>
    </row>
    <row r="4" spans="2:4" x14ac:dyDescent="0.25">
      <c r="B4" s="336" t="s">
        <v>46</v>
      </c>
      <c r="C4" s="336"/>
      <c r="D4" s="336"/>
    </row>
    <row r="5" spans="2:4" x14ac:dyDescent="0.25">
      <c r="B5" s="166"/>
      <c r="C5" s="166"/>
      <c r="D5" s="166"/>
    </row>
    <row r="6" spans="2:4" x14ac:dyDescent="0.25">
      <c r="B6" s="166"/>
      <c r="C6" s="166"/>
      <c r="D6" s="166"/>
    </row>
    <row r="7" spans="2:4" ht="42.75" customHeight="1" x14ac:dyDescent="0.25">
      <c r="B7" s="337" t="s">
        <v>398</v>
      </c>
      <c r="C7" s="338"/>
      <c r="D7" s="338"/>
    </row>
    <row r="8" spans="2:4" ht="31.5" customHeight="1" x14ac:dyDescent="0.25">
      <c r="B8" s="338" t="s">
        <v>411</v>
      </c>
      <c r="C8" s="338"/>
      <c r="D8" s="338"/>
    </row>
    <row r="9" spans="2:4" x14ac:dyDescent="0.25">
      <c r="B9" s="339" t="s">
        <v>394</v>
      </c>
      <c r="C9" s="338"/>
      <c r="D9" s="338"/>
    </row>
    <row r="10" spans="2:4" x14ac:dyDescent="0.25">
      <c r="B10" s="274"/>
    </row>
    <row r="11" spans="2:4" x14ac:dyDescent="0.25">
      <c r="B11" s="275" t="s">
        <v>33</v>
      </c>
      <c r="C11" s="275" t="s">
        <v>47</v>
      </c>
      <c r="D11" s="167" t="s">
        <v>48</v>
      </c>
    </row>
    <row r="12" spans="2:4" ht="157.5" customHeight="1" x14ac:dyDescent="0.25">
      <c r="B12" s="275">
        <v>1</v>
      </c>
      <c r="C12" s="167" t="s">
        <v>49</v>
      </c>
      <c r="D12" s="326" t="s">
        <v>404</v>
      </c>
    </row>
    <row r="13" spans="2:4" ht="31.5" customHeight="1" x14ac:dyDescent="0.25">
      <c r="B13" s="275">
        <v>2</v>
      </c>
      <c r="C13" s="167" t="s">
        <v>50</v>
      </c>
      <c r="D13" s="325" t="s">
        <v>405</v>
      </c>
    </row>
    <row r="14" spans="2:4" x14ac:dyDescent="0.25">
      <c r="B14" s="275">
        <v>3</v>
      </c>
      <c r="C14" s="167" t="s">
        <v>51</v>
      </c>
      <c r="D14" s="325" t="s">
        <v>396</v>
      </c>
    </row>
    <row r="15" spans="2:4" x14ac:dyDescent="0.25">
      <c r="B15" s="275">
        <v>4</v>
      </c>
      <c r="C15" s="167" t="s">
        <v>52</v>
      </c>
      <c r="D15" s="323">
        <v>1</v>
      </c>
    </row>
    <row r="16" spans="2:4" ht="94.5" customHeight="1" x14ac:dyDescent="0.25">
      <c r="B16" s="275">
        <v>5</v>
      </c>
      <c r="C16" s="169" t="s">
        <v>53</v>
      </c>
      <c r="D16" s="325" t="s">
        <v>395</v>
      </c>
    </row>
    <row r="17" spans="2:6" ht="78.75" customHeight="1" x14ac:dyDescent="0.25">
      <c r="B17" s="275">
        <v>6</v>
      </c>
      <c r="C17" s="169" t="s">
        <v>54</v>
      </c>
      <c r="D17" s="170">
        <f>D18+D19</f>
        <v>204.04563520000002</v>
      </c>
    </row>
    <row r="18" spans="2:6" x14ac:dyDescent="0.25">
      <c r="B18" s="171" t="s">
        <v>55</v>
      </c>
      <c r="C18" s="167" t="s">
        <v>56</v>
      </c>
      <c r="D18" s="170">
        <f>'Прил.2 Расч стоим'!F14</f>
        <v>2.8922617000000002</v>
      </c>
    </row>
    <row r="19" spans="2:6" ht="15.75" customHeight="1" x14ac:dyDescent="0.25">
      <c r="B19" s="171" t="s">
        <v>57</v>
      </c>
      <c r="C19" s="167" t="s">
        <v>58</v>
      </c>
      <c r="D19" s="170">
        <f>'Прил.2 Расч стоим'!H14</f>
        <v>201.15337350000001</v>
      </c>
    </row>
    <row r="20" spans="2:6" ht="16.5" customHeight="1" x14ac:dyDescent="0.25">
      <c r="B20" s="171" t="s">
        <v>59</v>
      </c>
      <c r="C20" s="167" t="s">
        <v>60</v>
      </c>
      <c r="D20" s="170"/>
      <c r="F20" s="172"/>
    </row>
    <row r="21" spans="2:6" ht="35.25" customHeight="1" x14ac:dyDescent="0.25">
      <c r="B21" s="171" t="s">
        <v>61</v>
      </c>
      <c r="C21" s="173" t="s">
        <v>62</v>
      </c>
      <c r="D21" s="170"/>
    </row>
    <row r="22" spans="2:6" x14ac:dyDescent="0.25">
      <c r="B22" s="275">
        <v>7</v>
      </c>
      <c r="C22" s="173" t="s">
        <v>63</v>
      </c>
      <c r="D22" s="174" t="s">
        <v>412</v>
      </c>
    </row>
    <row r="23" spans="2:6" ht="123" customHeight="1" x14ac:dyDescent="0.25">
      <c r="B23" s="275">
        <v>8</v>
      </c>
      <c r="C23" s="175" t="s">
        <v>64</v>
      </c>
      <c r="D23" s="170">
        <f>D17</f>
        <v>204.04563520000002</v>
      </c>
    </row>
    <row r="24" spans="2:6" ht="60.75" customHeight="1" x14ac:dyDescent="0.25">
      <c r="B24" s="275">
        <v>9</v>
      </c>
      <c r="C24" s="169" t="s">
        <v>65</v>
      </c>
      <c r="D24" s="170">
        <f>D17/D15</f>
        <v>204.04563520000002</v>
      </c>
    </row>
    <row r="25" spans="2:6" ht="118.5" customHeight="1" x14ac:dyDescent="0.25">
      <c r="B25" s="275">
        <v>10</v>
      </c>
      <c r="C25" s="167" t="s">
        <v>66</v>
      </c>
      <c r="D25" s="167"/>
    </row>
    <row r="26" spans="2:6" x14ac:dyDescent="0.25">
      <c r="B26" s="176"/>
      <c r="C26" s="177"/>
      <c r="D26" s="177"/>
    </row>
    <row r="27" spans="2:6" ht="37.5" customHeight="1" x14ac:dyDescent="0.25">
      <c r="B27" s="178"/>
    </row>
    <row r="28" spans="2:6" x14ac:dyDescent="0.25">
      <c r="B28" s="165" t="s">
        <v>67</v>
      </c>
    </row>
    <row r="29" spans="2:6" x14ac:dyDescent="0.25">
      <c r="B29" s="178" t="s">
        <v>68</v>
      </c>
    </row>
    <row r="31" spans="2:6" x14ac:dyDescent="0.25">
      <c r="B31" s="165" t="s">
        <v>69</v>
      </c>
    </row>
    <row r="32" spans="2:6" x14ac:dyDescent="0.25">
      <c r="B32" s="178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4" customWidth="1"/>
    <col min="2" max="2" width="20.5703125" style="14" customWidth="1"/>
    <col min="3" max="3" width="10.5703125" style="14" customWidth="1"/>
    <col min="4" max="4" width="10.85546875" style="14" customWidth="1"/>
    <col min="5" max="5" width="17.42578125" style="14" customWidth="1"/>
    <col min="6" max="8" width="9.140625" style="14"/>
    <col min="9" max="9" width="9.28515625" style="14" customWidth="1"/>
    <col min="10" max="10" width="10.140625" style="14" customWidth="1"/>
    <col min="11" max="11" width="9.140625" style="14"/>
    <col min="12" max="12" width="9.140625" style="5"/>
  </cols>
  <sheetData>
    <row r="1" spans="1:10" s="26" customFormat="1" ht="29.45" customHeight="1" x14ac:dyDescent="0.2">
      <c r="A1" s="334" t="s">
        <v>71</v>
      </c>
      <c r="B1" s="334"/>
      <c r="C1" s="334"/>
      <c r="D1" s="334"/>
    </row>
    <row r="2" spans="1:10" x14ac:dyDescent="0.25">
      <c r="A2" s="340" t="str">
        <f>'4.1 Отдел 1'!A10</f>
        <v>И5-05-02</v>
      </c>
      <c r="B2" s="340"/>
      <c r="C2" s="340"/>
      <c r="D2" s="340"/>
    </row>
    <row r="3" spans="1:10" x14ac:dyDescent="0.25">
      <c r="A3" s="341"/>
      <c r="B3" s="341"/>
      <c r="C3" s="341"/>
      <c r="D3" s="341"/>
    </row>
    <row r="4" spans="1:10" ht="51.75" customHeight="1" x14ac:dyDescent="0.25">
      <c r="A4" s="331" t="e">
        <f>#REF!</f>
        <v>#REF!</v>
      </c>
      <c r="B4" s="331"/>
      <c r="C4" s="331"/>
      <c r="D4" s="331"/>
    </row>
    <row r="5" spans="1:10" ht="15" customHeight="1" x14ac:dyDescent="0.25">
      <c r="A5" s="331"/>
      <c r="B5" s="342"/>
      <c r="C5" s="342"/>
      <c r="D5" s="342"/>
    </row>
    <row r="6" spans="1:10" x14ac:dyDescent="0.25">
      <c r="A6" s="4"/>
      <c r="B6" s="4"/>
      <c r="C6" s="4"/>
      <c r="D6" s="4"/>
    </row>
    <row r="7" spans="1:10" ht="52.9" customHeight="1" x14ac:dyDescent="0.25">
      <c r="A7" s="8" t="s">
        <v>72</v>
      </c>
      <c r="B7" s="2" t="s">
        <v>73</v>
      </c>
      <c r="C7" s="2" t="s">
        <v>74</v>
      </c>
      <c r="D7" s="2" t="s">
        <v>75</v>
      </c>
    </row>
    <row r="8" spans="1:10" x14ac:dyDescent="0.25">
      <c r="A8" s="27" t="s">
        <v>76</v>
      </c>
      <c r="B8" s="28">
        <f>'Прил.5 Расчет СМР и ОБ'!G15</f>
        <v>39.14</v>
      </c>
      <c r="C8" s="29">
        <f t="shared" ref="C8:C15" si="0">B8/$B$21</f>
        <v>2.028210469587207E-2</v>
      </c>
      <c r="D8" s="29">
        <f t="shared" ref="D8:D15" si="1">B8/$B$35</f>
        <v>7.1261167119643593E-4</v>
      </c>
      <c r="I8" s="30"/>
      <c r="J8" s="30"/>
    </row>
    <row r="9" spans="1:10" x14ac:dyDescent="0.25">
      <c r="A9" s="27" t="s">
        <v>77</v>
      </c>
      <c r="B9" s="28">
        <f>'Прил.5 Расчет СМР и ОБ'!G21</f>
        <v>63.08</v>
      </c>
      <c r="C9" s="29">
        <f t="shared" si="0"/>
        <v>3.2687663878784114E-2</v>
      </c>
      <c r="D9" s="29">
        <f t="shared" si="1"/>
        <v>1.1484809458117316E-3</v>
      </c>
      <c r="I9" s="30"/>
      <c r="J9" s="30"/>
    </row>
    <row r="10" spans="1:10" x14ac:dyDescent="0.25">
      <c r="A10" s="27" t="s">
        <v>78</v>
      </c>
      <c r="B10" s="28">
        <f>'Прил.5 Расчет СМР и ОБ'!G23</f>
        <v>4.5</v>
      </c>
      <c r="C10" s="29">
        <f t="shared" si="0"/>
        <v>2.3318720268631662E-3</v>
      </c>
      <c r="D10" s="29">
        <f t="shared" si="1"/>
        <v>8.1930314777311228E-5</v>
      </c>
      <c r="I10" s="30"/>
      <c r="J10" s="30"/>
    </row>
    <row r="11" spans="1:10" x14ac:dyDescent="0.25">
      <c r="A11" s="27" t="s">
        <v>79</v>
      </c>
      <c r="B11" s="28">
        <f>B9+B10</f>
        <v>67.58</v>
      </c>
      <c r="C11" s="29">
        <f t="shared" si="0"/>
        <v>3.5019535905647277E-2</v>
      </c>
      <c r="D11" s="29">
        <f t="shared" si="1"/>
        <v>1.2304112605890428E-3</v>
      </c>
      <c r="I11" s="30"/>
      <c r="J11" s="30"/>
    </row>
    <row r="12" spans="1:10" x14ac:dyDescent="0.25">
      <c r="A12" s="27" t="s">
        <v>80</v>
      </c>
      <c r="B12" s="28">
        <f>'Прил.5 Расчет СМР и ОБ'!G17</f>
        <v>23.28</v>
      </c>
      <c r="C12" s="29">
        <f t="shared" si="0"/>
        <v>1.206355128563878E-2</v>
      </c>
      <c r="D12" s="29">
        <f t="shared" si="1"/>
        <v>4.2385282844795678E-4</v>
      </c>
      <c r="I12" s="30"/>
      <c r="J12" s="30"/>
    </row>
    <row r="13" spans="1:10" x14ac:dyDescent="0.25">
      <c r="A13" s="27" t="s">
        <v>81</v>
      </c>
      <c r="B13" s="28">
        <f>'Прил.5 Расчет СМР и ОБ'!G41</f>
        <v>199.95</v>
      </c>
      <c r="C13" s="29">
        <f t="shared" si="0"/>
        <v>0.10361284706028667</v>
      </c>
      <c r="D13" s="29">
        <f t="shared" si="1"/>
        <v>3.6404369866051955E-3</v>
      </c>
      <c r="I13" s="30"/>
      <c r="J13" s="30"/>
    </row>
    <row r="14" spans="1:10" x14ac:dyDescent="0.25">
      <c r="A14" s="27" t="s">
        <v>82</v>
      </c>
      <c r="B14" s="28">
        <f>'Прил.5 Расчет СМР и ОБ'!G51</f>
        <v>24.06</v>
      </c>
      <c r="C14" s="29">
        <f t="shared" si="0"/>
        <v>1.2467742436961728E-2</v>
      </c>
      <c r="D14" s="29">
        <f t="shared" si="1"/>
        <v>4.3805408300935737E-4</v>
      </c>
      <c r="I14" s="30"/>
      <c r="J14" s="30"/>
    </row>
    <row r="15" spans="1:10" x14ac:dyDescent="0.25">
      <c r="A15" s="27" t="s">
        <v>83</v>
      </c>
      <c r="B15" s="28">
        <f>B13+B14</f>
        <v>224.01</v>
      </c>
      <c r="C15" s="29">
        <f t="shared" si="0"/>
        <v>0.11608058949724841</v>
      </c>
      <c r="D15" s="29">
        <f t="shared" si="1"/>
        <v>4.0784910696145529E-3</v>
      </c>
      <c r="I15" s="30"/>
      <c r="J15" s="30"/>
    </row>
    <row r="16" spans="1:10" x14ac:dyDescent="0.25">
      <c r="A16" s="27" t="s">
        <v>84</v>
      </c>
      <c r="B16" s="28">
        <f>B8+B11+B15</f>
        <v>330.73</v>
      </c>
      <c r="C16" s="29"/>
      <c r="D16" s="29"/>
      <c r="I16" s="30"/>
      <c r="J16" s="30"/>
    </row>
    <row r="17" spans="1:10" x14ac:dyDescent="0.25">
      <c r="A17" s="27" t="s">
        <v>85</v>
      </c>
      <c r="B17" s="28">
        <f>'Прил.5 Расчет СМР и ОБ'!G55</f>
        <v>569.17999999999995</v>
      </c>
      <c r="C17" s="29">
        <f>B17/$B$21</f>
        <v>0.29494553783332816</v>
      </c>
      <c r="D17" s="29">
        <f>B17/$B$35</f>
        <v>1.0362910347766667E-2</v>
      </c>
      <c r="I17" s="30"/>
      <c r="J17" s="30"/>
    </row>
    <row r="18" spans="1:10" x14ac:dyDescent="0.25">
      <c r="A18" s="27" t="s">
        <v>86</v>
      </c>
      <c r="B18" s="31">
        <f>B17/(B8+B12)</f>
        <v>9.1185517462351804</v>
      </c>
      <c r="C18" s="29"/>
      <c r="D18" s="29"/>
      <c r="I18" s="30"/>
      <c r="J18" s="30"/>
    </row>
    <row r="19" spans="1:10" x14ac:dyDescent="0.25">
      <c r="A19" s="27" t="s">
        <v>87</v>
      </c>
      <c r="B19" s="28">
        <f>'Прил.5 Расчет СМР и ОБ'!G54</f>
        <v>1029.8699999999999</v>
      </c>
      <c r="C19" s="29">
        <f>B19/$B$21</f>
        <v>0.53367223206790415</v>
      </c>
      <c r="D19" s="29">
        <f>B19/$B$35</f>
        <v>1.8750571839935445E-2</v>
      </c>
      <c r="I19" s="30"/>
      <c r="J19" s="30"/>
    </row>
    <row r="20" spans="1:10" x14ac:dyDescent="0.25">
      <c r="A20" s="27" t="s">
        <v>88</v>
      </c>
      <c r="B20" s="31">
        <f>B19/(B8+B12)</f>
        <v>16.49903876962512</v>
      </c>
      <c r="C20" s="29"/>
      <c r="D20" s="29"/>
      <c r="J20" s="30"/>
    </row>
    <row r="21" spans="1:10" x14ac:dyDescent="0.25">
      <c r="A21" s="27" t="s">
        <v>89</v>
      </c>
      <c r="B21" s="28">
        <f>B16+B17+B19</f>
        <v>1929.7799999999997</v>
      </c>
      <c r="C21" s="29">
        <f>B21/$B$21</f>
        <v>1</v>
      </c>
      <c r="D21" s="29">
        <f>B21/$B$35</f>
        <v>3.5134996189102145E-2</v>
      </c>
      <c r="J21" s="30"/>
    </row>
    <row r="22" spans="1:10" ht="26.45" customHeight="1" x14ac:dyDescent="0.25">
      <c r="A22" s="27" t="s">
        <v>90</v>
      </c>
      <c r="B22" s="28">
        <f>'Прил.6 Расчет ОБ'!G14</f>
        <v>43258.79</v>
      </c>
      <c r="C22" s="29"/>
      <c r="D22" s="29">
        <f>B22/$B$35</f>
        <v>0.78760139590791178</v>
      </c>
      <c r="J22" s="30"/>
    </row>
    <row r="23" spans="1:10" ht="26.45" customHeight="1" x14ac:dyDescent="0.25">
      <c r="A23" s="27" t="s">
        <v>91</v>
      </c>
      <c r="B23" s="28">
        <f>'Прил.6 Расчет ОБ'!G13</f>
        <v>43258.79</v>
      </c>
      <c r="C23" s="29"/>
      <c r="D23" s="29">
        <f>B23/$B$35</f>
        <v>0.78760139590791178</v>
      </c>
      <c r="J23" s="30"/>
    </row>
    <row r="24" spans="1:10" x14ac:dyDescent="0.25">
      <c r="A24" s="27" t="s">
        <v>92</v>
      </c>
      <c r="B24" s="28">
        <f>'Прил.5 Расчет СМР и ОБ'!G57</f>
        <v>45188.57</v>
      </c>
      <c r="C24" s="29"/>
      <c r="D24" s="29">
        <f>B24/$B$35</f>
        <v>0.82273639209701399</v>
      </c>
      <c r="J24" s="30"/>
    </row>
    <row r="25" spans="1:10" ht="26.45" customHeight="1" x14ac:dyDescent="0.25">
      <c r="A25" s="27" t="s">
        <v>93</v>
      </c>
      <c r="B25" s="28"/>
      <c r="C25" s="29"/>
      <c r="D25" s="29"/>
      <c r="J25" s="30"/>
    </row>
    <row r="26" spans="1:10" x14ac:dyDescent="0.25">
      <c r="A26" s="27" t="s">
        <v>94</v>
      </c>
      <c r="B26" s="28">
        <f>'4.7 Прил.6 Расчет Прочие'!I9*1000</f>
        <v>278.41007999999999</v>
      </c>
      <c r="C26" s="29"/>
      <c r="D26" s="29">
        <f>B26/$B$35</f>
        <v>5.0689389981280891E-3</v>
      </c>
      <c r="J26" s="30"/>
    </row>
    <row r="27" spans="1:10" x14ac:dyDescent="0.25">
      <c r="A27" s="27" t="s">
        <v>95</v>
      </c>
      <c r="B27" s="28">
        <f>'4.7 Прил.6 Расчет Прочие'!I11*1000</f>
        <v>86.950678710000005</v>
      </c>
      <c r="C27" s="29"/>
      <c r="D27" s="29">
        <f>B27/$B$35</f>
        <v>1.5830881059580343E-3</v>
      </c>
      <c r="J27" s="30"/>
    </row>
    <row r="28" spans="1:10" x14ac:dyDescent="0.25">
      <c r="A28" s="27" t="s">
        <v>96</v>
      </c>
      <c r="B28" s="28">
        <f>'4.7 Прил.6 Расчет Прочие'!I12*1000</f>
        <v>5470.4031199999999</v>
      </c>
      <c r="C28" s="29"/>
      <c r="D28" s="29">
        <f>B28/$B$35</f>
        <v>9.959818879564121E-2</v>
      </c>
      <c r="J28" s="30"/>
    </row>
    <row r="29" spans="1:10" x14ac:dyDescent="0.25">
      <c r="A29" s="27"/>
      <c r="B29" s="28"/>
      <c r="C29" s="29"/>
      <c r="D29" s="29"/>
      <c r="J29" s="30"/>
    </row>
    <row r="30" spans="1:10" x14ac:dyDescent="0.25">
      <c r="A30" s="27" t="s">
        <v>97</v>
      </c>
      <c r="B30" s="28">
        <f>'4.7 Прил.6 Расчет Прочие'!I14*1000</f>
        <v>2300.6417510043939</v>
      </c>
      <c r="C30" s="29"/>
      <c r="D30" s="29">
        <f>B30/$B$35</f>
        <v>4.188717841102544E-2</v>
      </c>
      <c r="J30" s="30"/>
    </row>
    <row r="31" spans="1:10" x14ac:dyDescent="0.25">
      <c r="A31" s="27"/>
      <c r="B31" s="28"/>
      <c r="C31" s="29"/>
      <c r="D31" s="29"/>
      <c r="J31" s="30"/>
    </row>
    <row r="32" spans="1:10" x14ac:dyDescent="0.25">
      <c r="A32" s="27" t="s">
        <v>98</v>
      </c>
      <c r="B32" s="28">
        <f>'4.7 Прил.6 Расчет Прочие'!I16*1000</f>
        <v>0</v>
      </c>
      <c r="C32" s="29"/>
      <c r="D32" s="29">
        <f>B32/$B$35</f>
        <v>0</v>
      </c>
      <c r="J32" s="30"/>
    </row>
    <row r="33" spans="1:10" ht="26.45" customHeight="1" x14ac:dyDescent="0.25">
      <c r="A33" s="27" t="s">
        <v>99</v>
      </c>
      <c r="B33" s="28">
        <f>B24+B26+B27+B28+B30+B32</f>
        <v>53324.975629714405</v>
      </c>
      <c r="C33" s="29"/>
      <c r="D33" s="29">
        <f>B33/$B$35</f>
        <v>0.97087378640776689</v>
      </c>
      <c r="J33" s="30"/>
    </row>
    <row r="34" spans="1:10" x14ac:dyDescent="0.25">
      <c r="A34" s="27" t="s">
        <v>100</v>
      </c>
      <c r="B34" s="28">
        <f>B33*3%</f>
        <v>1599.7492688914322</v>
      </c>
      <c r="C34" s="29"/>
      <c r="D34" s="29">
        <f>B34/$B$35</f>
        <v>2.9126213592233007E-2</v>
      </c>
      <c r="J34" s="30"/>
    </row>
    <row r="35" spans="1:10" x14ac:dyDescent="0.25">
      <c r="A35" s="27" t="s">
        <v>101</v>
      </c>
      <c r="B35" s="28">
        <f>B33+B34</f>
        <v>54924.72489860584</v>
      </c>
      <c r="C35" s="29"/>
      <c r="D35" s="29">
        <f>B35/$B$35</f>
        <v>1</v>
      </c>
      <c r="J35" s="30"/>
    </row>
    <row r="36" spans="1:10" x14ac:dyDescent="0.25">
      <c r="A36" s="27" t="s">
        <v>102</v>
      </c>
      <c r="B36" s="28">
        <f>B35</f>
        <v>54924.72489860584</v>
      </c>
      <c r="C36" s="29"/>
      <c r="D36" s="29"/>
    </row>
    <row r="37" spans="1:10" x14ac:dyDescent="0.25">
      <c r="A37" s="32"/>
      <c r="B37" s="32"/>
      <c r="C37" s="32"/>
      <c r="D37" s="32"/>
    </row>
    <row r="38" spans="1:10" x14ac:dyDescent="0.25">
      <c r="A38" s="4" t="s">
        <v>103</v>
      </c>
      <c r="B38" s="32"/>
      <c r="C38" s="32"/>
      <c r="D38" s="32"/>
    </row>
    <row r="39" spans="1:10" x14ac:dyDescent="0.25">
      <c r="A39" s="33" t="s">
        <v>104</v>
      </c>
      <c r="B39" s="32"/>
      <c r="C39" s="32"/>
      <c r="D39" s="32"/>
    </row>
    <row r="40" spans="1:10" x14ac:dyDescent="0.25">
      <c r="A40" s="4"/>
      <c r="B40" s="32"/>
      <c r="C40" s="32"/>
      <c r="D40" s="32"/>
    </row>
    <row r="41" spans="1:10" x14ac:dyDescent="0.25">
      <c r="A41" s="4" t="s">
        <v>105</v>
      </c>
      <c r="B41" s="32"/>
      <c r="C41" s="32"/>
      <c r="D41" s="32"/>
    </row>
    <row r="42" spans="1:10" x14ac:dyDescent="0.25">
      <c r="A42" s="33" t="s">
        <v>106</v>
      </c>
      <c r="B42" s="32"/>
      <c r="C42" s="32"/>
      <c r="D42" s="32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22"/>
  <sheetViews>
    <sheetView view="pageBreakPreview" zoomScale="70" zoomScaleNormal="70" workbookViewId="0">
      <selection activeCell="J15" sqref="J15"/>
    </sheetView>
  </sheetViews>
  <sheetFormatPr defaultColWidth="9.140625" defaultRowHeight="15.75" x14ac:dyDescent="0.25"/>
  <cols>
    <col min="1" max="1" width="5.5703125" style="165" customWidth="1"/>
    <col min="2" max="2" width="9.140625" style="165"/>
    <col min="3" max="3" width="35.28515625" style="165" customWidth="1"/>
    <col min="4" max="4" width="13.85546875" style="165" customWidth="1"/>
    <col min="5" max="5" width="24.85546875" style="165" customWidth="1"/>
    <col min="6" max="6" width="15.5703125" style="165" customWidth="1"/>
    <col min="7" max="7" width="14.85546875" style="165" customWidth="1"/>
    <col min="8" max="8" width="16.7109375" style="165" customWidth="1"/>
    <col min="9" max="10" width="13" style="165" customWidth="1"/>
    <col min="11" max="11" width="18" style="165" customWidth="1"/>
    <col min="12" max="12" width="9.140625" style="165"/>
  </cols>
  <sheetData>
    <row r="3" spans="2:12" x14ac:dyDescent="0.25">
      <c r="B3" s="335" t="s">
        <v>107</v>
      </c>
      <c r="C3" s="335"/>
      <c r="D3" s="335"/>
      <c r="E3" s="335"/>
      <c r="F3" s="335"/>
      <c r="G3" s="335"/>
      <c r="H3" s="335"/>
      <c r="I3" s="335"/>
      <c r="J3" s="335"/>
      <c r="K3" s="178"/>
    </row>
    <row r="4" spans="2:12" x14ac:dyDescent="0.25">
      <c r="B4" s="336" t="s">
        <v>108</v>
      </c>
      <c r="C4" s="336"/>
      <c r="D4" s="336"/>
      <c r="E4" s="336"/>
      <c r="F4" s="336"/>
      <c r="G4" s="336"/>
      <c r="H4" s="336"/>
      <c r="I4" s="336"/>
      <c r="J4" s="336"/>
      <c r="K4" s="336"/>
    </row>
    <row r="5" spans="2:12" x14ac:dyDescent="0.25">
      <c r="B5" s="166"/>
      <c r="C5" s="166"/>
      <c r="D5" s="166"/>
      <c r="E5" s="166"/>
      <c r="F5" s="166"/>
      <c r="G5" s="166"/>
      <c r="H5" s="166"/>
      <c r="I5" s="166"/>
      <c r="J5" s="166"/>
      <c r="K5" s="166"/>
    </row>
    <row r="6" spans="2:12" ht="15.75" customHeight="1" x14ac:dyDescent="0.25">
      <c r="B6" s="345" t="s">
        <v>399</v>
      </c>
      <c r="C6" s="345"/>
      <c r="D6" s="345"/>
      <c r="E6" s="345"/>
      <c r="F6" s="345"/>
      <c r="G6" s="345"/>
      <c r="H6" s="345"/>
      <c r="I6" s="345"/>
      <c r="J6" s="345"/>
      <c r="K6" s="178"/>
      <c r="L6" s="179"/>
    </row>
    <row r="7" spans="2:12" x14ac:dyDescent="0.25">
      <c r="B7" s="339" t="s">
        <v>394</v>
      </c>
      <c r="C7" s="338"/>
      <c r="D7" s="338"/>
      <c r="E7" s="338"/>
      <c r="F7" s="338"/>
      <c r="G7" s="338"/>
      <c r="H7" s="338"/>
      <c r="I7" s="338"/>
      <c r="J7" s="338"/>
      <c r="K7" s="338"/>
      <c r="L7" s="179"/>
    </row>
    <row r="8" spans="2:12" x14ac:dyDescent="0.25">
      <c r="B8" s="274"/>
    </row>
    <row r="9" spans="2:12" ht="15.75" customHeight="1" x14ac:dyDescent="0.25">
      <c r="B9" s="346" t="s">
        <v>33</v>
      </c>
      <c r="C9" s="346" t="s">
        <v>109</v>
      </c>
      <c r="D9" s="346" t="s">
        <v>48</v>
      </c>
      <c r="E9" s="346"/>
      <c r="F9" s="346"/>
      <c r="G9" s="346"/>
      <c r="H9" s="346"/>
      <c r="I9" s="346"/>
      <c r="J9" s="346"/>
    </row>
    <row r="10" spans="2:12" ht="15.75" customHeight="1" x14ac:dyDescent="0.25">
      <c r="B10" s="346"/>
      <c r="C10" s="346"/>
      <c r="D10" s="346" t="s">
        <v>110</v>
      </c>
      <c r="E10" s="346" t="s">
        <v>111</v>
      </c>
      <c r="F10" s="346" t="s">
        <v>408</v>
      </c>
      <c r="G10" s="346"/>
      <c r="H10" s="346"/>
      <c r="I10" s="346"/>
      <c r="J10" s="346"/>
    </row>
    <row r="11" spans="2:12" ht="31.5" customHeight="1" x14ac:dyDescent="0.25">
      <c r="B11" s="346"/>
      <c r="C11" s="346"/>
      <c r="D11" s="346"/>
      <c r="E11" s="346"/>
      <c r="F11" s="275" t="s">
        <v>112</v>
      </c>
      <c r="G11" s="275" t="s">
        <v>113</v>
      </c>
      <c r="H11" s="275" t="s">
        <v>43</v>
      </c>
      <c r="I11" s="275" t="s">
        <v>114</v>
      </c>
      <c r="J11" s="275" t="s">
        <v>115</v>
      </c>
    </row>
    <row r="12" spans="2:12" ht="47.25" customHeight="1" x14ac:dyDescent="0.25">
      <c r="B12" s="276"/>
      <c r="C12" s="293" t="s">
        <v>410</v>
      </c>
      <c r="D12" s="180"/>
      <c r="E12" s="168"/>
      <c r="F12" s="431">
        <v>2.8922617000000002</v>
      </c>
      <c r="G12" s="432"/>
      <c r="H12" s="181">
        <v>201.15337350000001</v>
      </c>
      <c r="I12" s="182"/>
      <c r="J12" s="183">
        <v>204.04563520000002</v>
      </c>
    </row>
    <row r="13" spans="2:12" ht="15.75" customHeight="1" x14ac:dyDescent="0.25">
      <c r="B13" s="343" t="s">
        <v>116</v>
      </c>
      <c r="C13" s="343"/>
      <c r="D13" s="343"/>
      <c r="E13" s="343"/>
      <c r="F13" s="184"/>
      <c r="G13" s="184"/>
      <c r="H13" s="184"/>
      <c r="I13" s="185"/>
      <c r="J13" s="186"/>
    </row>
    <row r="14" spans="2:12" ht="28.5" customHeight="1" x14ac:dyDescent="0.25">
      <c r="B14" s="343" t="s">
        <v>409</v>
      </c>
      <c r="C14" s="343"/>
      <c r="D14" s="343"/>
      <c r="E14" s="343"/>
      <c r="F14" s="433">
        <f>F12</f>
        <v>2.8922617000000002</v>
      </c>
      <c r="G14" s="434"/>
      <c r="H14" s="184">
        <f>H12</f>
        <v>201.15337350000001</v>
      </c>
      <c r="I14" s="185"/>
      <c r="J14" s="186">
        <f>J12</f>
        <v>204.04563520000002</v>
      </c>
    </row>
    <row r="18" spans="2:2" x14ac:dyDescent="0.25">
      <c r="B18" s="165" t="s">
        <v>67</v>
      </c>
    </row>
    <row r="19" spans="2:2" x14ac:dyDescent="0.25">
      <c r="B19" s="178" t="s">
        <v>68</v>
      </c>
    </row>
    <row r="21" spans="2:2" x14ac:dyDescent="0.25">
      <c r="B21" s="165" t="s">
        <v>69</v>
      </c>
    </row>
    <row r="22" spans="2:2" x14ac:dyDescent="0.25">
      <c r="B22" s="178" t="s">
        <v>70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43"/>
  <sheetViews>
    <sheetView view="pageBreakPreview" topLeftCell="A7" workbookViewId="0">
      <selection activeCell="C19" sqref="C19"/>
    </sheetView>
  </sheetViews>
  <sheetFormatPr defaultColWidth="9.140625" defaultRowHeight="15.75" x14ac:dyDescent="0.25"/>
  <cols>
    <col min="1" max="1" width="9.140625" style="165"/>
    <col min="2" max="2" width="12.5703125" style="165" customWidth="1"/>
    <col min="3" max="3" width="22.42578125" style="165" customWidth="1"/>
    <col min="4" max="4" width="49.7109375" style="165" customWidth="1"/>
    <col min="5" max="5" width="10.140625" style="187" customWidth="1"/>
    <col min="6" max="6" width="20.7109375" style="165" customWidth="1"/>
    <col min="7" max="7" width="16.140625" style="165" customWidth="1"/>
    <col min="8" max="8" width="16.7109375" style="165" customWidth="1"/>
    <col min="9" max="9" width="9.140625" style="165"/>
  </cols>
  <sheetData>
    <row r="2" spans="1:11" x14ac:dyDescent="0.25">
      <c r="A2" s="335" t="s">
        <v>117</v>
      </c>
      <c r="B2" s="335"/>
      <c r="C2" s="335"/>
      <c r="D2" s="335"/>
      <c r="E2" s="335"/>
      <c r="F2" s="335"/>
      <c r="G2" s="335"/>
      <c r="H2" s="335"/>
    </row>
    <row r="3" spans="1:11" x14ac:dyDescent="0.25">
      <c r="A3" s="336" t="s">
        <v>118</v>
      </c>
      <c r="B3" s="336"/>
      <c r="C3" s="336"/>
      <c r="D3" s="336"/>
      <c r="E3" s="336"/>
      <c r="F3" s="336"/>
      <c r="G3" s="336"/>
      <c r="H3" s="336"/>
    </row>
    <row r="4" spans="1:11" x14ac:dyDescent="0.25">
      <c r="A4" s="274"/>
    </row>
    <row r="5" spans="1:11" x14ac:dyDescent="0.25">
      <c r="A5" s="344" t="s">
        <v>400</v>
      </c>
      <c r="B5" s="345"/>
      <c r="C5" s="345"/>
      <c r="D5" s="345"/>
      <c r="E5" s="345"/>
      <c r="F5" s="345"/>
      <c r="G5" s="345"/>
      <c r="H5" s="345"/>
    </row>
    <row r="6" spans="1:11" x14ac:dyDescent="0.25">
      <c r="A6" s="188"/>
      <c r="B6" s="188"/>
      <c r="C6" s="188"/>
      <c r="D6" s="188"/>
      <c r="E6" s="166"/>
      <c r="F6" s="188"/>
      <c r="G6" s="188"/>
      <c r="H6" s="188"/>
    </row>
    <row r="7" spans="1:11" ht="38.25" customHeight="1" x14ac:dyDescent="0.25">
      <c r="A7" s="346" t="s">
        <v>119</v>
      </c>
      <c r="B7" s="346" t="s">
        <v>120</v>
      </c>
      <c r="C7" s="346" t="s">
        <v>121</v>
      </c>
      <c r="D7" s="346" t="s">
        <v>122</v>
      </c>
      <c r="E7" s="346" t="s">
        <v>123</v>
      </c>
      <c r="F7" s="346" t="s">
        <v>124</v>
      </c>
      <c r="G7" s="346" t="s">
        <v>73</v>
      </c>
      <c r="H7" s="346"/>
    </row>
    <row r="8" spans="1:11" ht="40.5" customHeight="1" x14ac:dyDescent="0.25">
      <c r="A8" s="346"/>
      <c r="B8" s="346"/>
      <c r="C8" s="346"/>
      <c r="D8" s="346"/>
      <c r="E8" s="346"/>
      <c r="F8" s="346"/>
      <c r="G8" s="275" t="s">
        <v>125</v>
      </c>
      <c r="H8" s="275" t="s">
        <v>126</v>
      </c>
    </row>
    <row r="9" spans="1:11" x14ac:dyDescent="0.25">
      <c r="A9" s="189">
        <v>1</v>
      </c>
      <c r="B9" s="189"/>
      <c r="C9" s="189">
        <v>2</v>
      </c>
      <c r="D9" s="189" t="s">
        <v>127</v>
      </c>
      <c r="E9" s="189">
        <v>4</v>
      </c>
      <c r="F9" s="189">
        <v>5</v>
      </c>
      <c r="G9" s="189">
        <v>6</v>
      </c>
      <c r="H9" s="189">
        <v>7</v>
      </c>
    </row>
    <row r="10" spans="1:11" s="191" customFormat="1" x14ac:dyDescent="0.25">
      <c r="A10" s="347" t="s">
        <v>128</v>
      </c>
      <c r="B10" s="348"/>
      <c r="C10" s="349"/>
      <c r="D10" s="349"/>
      <c r="E10" s="348"/>
      <c r="F10" s="190">
        <f>SUM(F11:F12)</f>
        <v>4.1200352347833764</v>
      </c>
      <c r="G10" s="190"/>
      <c r="H10" s="190">
        <f>SUM(H11:H12)</f>
        <v>39.14</v>
      </c>
      <c r="I10" s="165"/>
      <c r="J10" s="165"/>
      <c r="K10" s="165"/>
    </row>
    <row r="11" spans="1:11" x14ac:dyDescent="0.25">
      <c r="A11" s="192">
        <v>1</v>
      </c>
      <c r="B11" s="193" t="s">
        <v>129</v>
      </c>
      <c r="C11" s="194" t="s">
        <v>130</v>
      </c>
      <c r="D11" s="195" t="s">
        <v>131</v>
      </c>
      <c r="E11" s="196" t="s">
        <v>132</v>
      </c>
      <c r="F11" s="192">
        <v>3.6668166916904381</v>
      </c>
      <c r="G11" s="197">
        <v>9.6199999999999992</v>
      </c>
      <c r="H11" s="197">
        <f>ROUND(F11*G11,2)</f>
        <v>35.270000000000003</v>
      </c>
    </row>
    <row r="12" spans="1:11" x14ac:dyDescent="0.25">
      <c r="A12" s="192">
        <v>2</v>
      </c>
      <c r="B12" s="193" t="s">
        <v>129</v>
      </c>
      <c r="C12" s="194" t="s">
        <v>133</v>
      </c>
      <c r="D12" s="195" t="s">
        <v>134</v>
      </c>
      <c r="E12" s="196" t="s">
        <v>132</v>
      </c>
      <c r="F12" s="192">
        <v>0.45321854309293819</v>
      </c>
      <c r="G12" s="197">
        <v>8.5299999999999994</v>
      </c>
      <c r="H12" s="197">
        <f>ROUND(F12*G12,2)</f>
        <v>3.87</v>
      </c>
    </row>
    <row r="13" spans="1:11" x14ac:dyDescent="0.25">
      <c r="A13" s="347" t="s">
        <v>135</v>
      </c>
      <c r="B13" s="348"/>
      <c r="C13" s="349"/>
      <c r="D13" s="349"/>
      <c r="E13" s="348"/>
      <c r="F13" s="277">
        <f>F14</f>
        <v>1.01</v>
      </c>
      <c r="G13" s="190"/>
      <c r="H13" s="190">
        <f>H14</f>
        <v>23.28</v>
      </c>
    </row>
    <row r="14" spans="1:11" x14ac:dyDescent="0.25">
      <c r="A14" s="192">
        <v>3</v>
      </c>
      <c r="B14" s="192" t="s">
        <v>129</v>
      </c>
      <c r="C14" s="195">
        <v>2</v>
      </c>
      <c r="D14" s="195" t="s">
        <v>135</v>
      </c>
      <c r="E14" s="196" t="s">
        <v>132</v>
      </c>
      <c r="F14" s="324">
        <v>1.01</v>
      </c>
      <c r="G14" s="197"/>
      <c r="H14" s="197">
        <v>23.28</v>
      </c>
    </row>
    <row r="15" spans="1:11" s="191" customFormat="1" x14ac:dyDescent="0.25">
      <c r="A15" s="347" t="s">
        <v>136</v>
      </c>
      <c r="B15" s="348"/>
      <c r="C15" s="349"/>
      <c r="D15" s="349"/>
      <c r="E15" s="348"/>
      <c r="F15" s="277"/>
      <c r="G15" s="190"/>
      <c r="H15" s="190">
        <f>SUM(H16:H17)</f>
        <v>67.58</v>
      </c>
      <c r="I15" s="165"/>
      <c r="J15" s="165"/>
      <c r="K15" s="165"/>
    </row>
    <row r="16" spans="1:11" x14ac:dyDescent="0.25">
      <c r="A16" s="192">
        <v>4</v>
      </c>
      <c r="B16" s="192" t="s">
        <v>129</v>
      </c>
      <c r="C16" s="195" t="s">
        <v>137</v>
      </c>
      <c r="D16" s="195" t="s">
        <v>138</v>
      </c>
      <c r="E16" s="196" t="s">
        <v>139</v>
      </c>
      <c r="F16" s="324">
        <v>0.96000100912589725</v>
      </c>
      <c r="G16" s="197">
        <v>65.709999999999994</v>
      </c>
      <c r="H16" s="197">
        <f>ROUND(F16*G16,2)</f>
        <v>63.08</v>
      </c>
    </row>
    <row r="17" spans="1:11" s="191" customFormat="1" x14ac:dyDescent="0.25">
      <c r="A17" s="192">
        <v>5</v>
      </c>
      <c r="B17" s="192" t="s">
        <v>129</v>
      </c>
      <c r="C17" s="195" t="s">
        <v>140</v>
      </c>
      <c r="D17" s="195" t="s">
        <v>141</v>
      </c>
      <c r="E17" s="196" t="s">
        <v>139</v>
      </c>
      <c r="F17" s="324">
        <v>5.0006474175976041E-2</v>
      </c>
      <c r="G17" s="197">
        <v>89.99</v>
      </c>
      <c r="H17" s="197">
        <f>ROUND(F17*G17,2)</f>
        <v>4.5</v>
      </c>
      <c r="I17" s="165"/>
      <c r="J17" s="165"/>
      <c r="K17" s="165"/>
    </row>
    <row r="18" spans="1:11" x14ac:dyDescent="0.25">
      <c r="A18" s="347" t="s">
        <v>43</v>
      </c>
      <c r="B18" s="348"/>
      <c r="C18" s="349"/>
      <c r="D18" s="349"/>
      <c r="E18" s="348"/>
      <c r="F18" s="277"/>
      <c r="G18" s="190"/>
      <c r="H18" s="190">
        <f>SUM(H19:H19)</f>
        <v>43258.79</v>
      </c>
    </row>
    <row r="19" spans="1:11" s="191" customFormat="1" ht="94.5" customHeight="1" x14ac:dyDescent="0.25">
      <c r="A19" s="192">
        <v>6</v>
      </c>
      <c r="B19" s="192" t="s">
        <v>129</v>
      </c>
      <c r="C19" s="195" t="s">
        <v>407</v>
      </c>
      <c r="D19" s="195" t="s">
        <v>142</v>
      </c>
      <c r="E19" s="196" t="s">
        <v>143</v>
      </c>
      <c r="F19" s="192">
        <v>1</v>
      </c>
      <c r="G19" s="197">
        <v>43258.79</v>
      </c>
      <c r="H19" s="197">
        <f>ROUND(F19*G19,2)</f>
        <v>43258.79</v>
      </c>
      <c r="I19" s="165"/>
      <c r="J19" s="165"/>
      <c r="K19" s="165"/>
    </row>
    <row r="20" spans="1:11" x14ac:dyDescent="0.25">
      <c r="A20" s="347" t="s">
        <v>144</v>
      </c>
      <c r="B20" s="348"/>
      <c r="C20" s="349"/>
      <c r="D20" s="349"/>
      <c r="E20" s="348"/>
      <c r="F20" s="277"/>
      <c r="G20" s="190"/>
      <c r="H20" s="190">
        <f>SUM(H21:H36)</f>
        <v>224.01</v>
      </c>
    </row>
    <row r="21" spans="1:11" ht="31.5" customHeight="1" x14ac:dyDescent="0.25">
      <c r="A21" s="192">
        <v>7</v>
      </c>
      <c r="B21" s="192" t="s">
        <v>129</v>
      </c>
      <c r="C21" s="195" t="s">
        <v>145</v>
      </c>
      <c r="D21" s="195" t="s">
        <v>146</v>
      </c>
      <c r="E21" s="196" t="s">
        <v>147</v>
      </c>
      <c r="F21" s="324">
        <v>6.0000084103221203E-3</v>
      </c>
      <c r="G21" s="197">
        <v>15481</v>
      </c>
      <c r="H21" s="197">
        <f t="shared" ref="H21:H36" si="0">ROUND(F21*G21,2)</f>
        <v>92.89</v>
      </c>
    </row>
    <row r="22" spans="1:11" ht="47.25" customHeight="1" x14ac:dyDescent="0.25">
      <c r="A22" s="192">
        <v>8</v>
      </c>
      <c r="B22" s="192" t="s">
        <v>129</v>
      </c>
      <c r="C22" s="195" t="s">
        <v>148</v>
      </c>
      <c r="D22" s="195" t="s">
        <v>149</v>
      </c>
      <c r="E22" s="196" t="s">
        <v>147</v>
      </c>
      <c r="F22" s="324">
        <v>4.0000598574894996E-4</v>
      </c>
      <c r="G22" s="197">
        <v>75162.289999999994</v>
      </c>
      <c r="H22" s="197">
        <f t="shared" si="0"/>
        <v>30.07</v>
      </c>
    </row>
    <row r="23" spans="1:11" x14ac:dyDescent="0.25">
      <c r="A23" s="192">
        <v>9</v>
      </c>
      <c r="B23" s="192" t="s">
        <v>129</v>
      </c>
      <c r="C23" s="195" t="s">
        <v>150</v>
      </c>
      <c r="D23" s="195" t="s">
        <v>151</v>
      </c>
      <c r="E23" s="196" t="s">
        <v>152</v>
      </c>
      <c r="F23" s="324">
        <v>0.15000182516046198</v>
      </c>
      <c r="G23" s="197">
        <v>155</v>
      </c>
      <c r="H23" s="197">
        <f t="shared" si="0"/>
        <v>23.25</v>
      </c>
    </row>
    <row r="24" spans="1:11" x14ac:dyDescent="0.25">
      <c r="A24" s="192">
        <v>10</v>
      </c>
      <c r="B24" s="192" t="s">
        <v>129</v>
      </c>
      <c r="C24" s="195" t="s">
        <v>153</v>
      </c>
      <c r="D24" s="195" t="s">
        <v>154</v>
      </c>
      <c r="E24" s="196" t="s">
        <v>155</v>
      </c>
      <c r="F24" s="324">
        <v>0.10000121677364134</v>
      </c>
      <c r="G24" s="197">
        <v>203</v>
      </c>
      <c r="H24" s="197">
        <f t="shared" si="0"/>
        <v>20.3</v>
      </c>
    </row>
    <row r="25" spans="1:11" ht="31.5" customHeight="1" x14ac:dyDescent="0.25">
      <c r="A25" s="192">
        <v>11</v>
      </c>
      <c r="B25" s="192" t="s">
        <v>129</v>
      </c>
      <c r="C25" s="195" t="s">
        <v>156</v>
      </c>
      <c r="D25" s="195" t="s">
        <v>157</v>
      </c>
      <c r="E25" s="196" t="s">
        <v>147</v>
      </c>
      <c r="F25" s="324">
        <v>9.7018473833224931E-4</v>
      </c>
      <c r="G25" s="197">
        <v>12606</v>
      </c>
      <c r="H25" s="197">
        <f t="shared" si="0"/>
        <v>12.23</v>
      </c>
    </row>
    <row r="26" spans="1:11" ht="31.5" customHeight="1" x14ac:dyDescent="0.25">
      <c r="A26" s="192">
        <v>12</v>
      </c>
      <c r="B26" s="192" t="s">
        <v>129</v>
      </c>
      <c r="C26" s="195" t="s">
        <v>158</v>
      </c>
      <c r="D26" s="195" t="s">
        <v>159</v>
      </c>
      <c r="E26" s="196" t="s">
        <v>160</v>
      </c>
      <c r="F26" s="324">
        <v>10.700130194779623</v>
      </c>
      <c r="G26" s="197">
        <v>1</v>
      </c>
      <c r="H26" s="197">
        <f t="shared" si="0"/>
        <v>10.7</v>
      </c>
    </row>
    <row r="27" spans="1:11" ht="31.5" customHeight="1" x14ac:dyDescent="0.25">
      <c r="A27" s="192">
        <v>13</v>
      </c>
      <c r="B27" s="192" t="s">
        <v>129</v>
      </c>
      <c r="C27" s="195" t="s">
        <v>161</v>
      </c>
      <c r="D27" s="195" t="s">
        <v>162</v>
      </c>
      <c r="E27" s="196" t="s">
        <v>147</v>
      </c>
      <c r="F27" s="324">
        <v>2.8000980414401527E-4</v>
      </c>
      <c r="G27" s="197">
        <v>37517</v>
      </c>
      <c r="H27" s="197">
        <f t="shared" si="0"/>
        <v>10.51</v>
      </c>
    </row>
    <row r="28" spans="1:11" x14ac:dyDescent="0.25">
      <c r="A28" s="192">
        <v>14</v>
      </c>
      <c r="B28" s="192" t="s">
        <v>129</v>
      </c>
      <c r="C28" s="195" t="s">
        <v>163</v>
      </c>
      <c r="D28" s="195" t="s">
        <v>164</v>
      </c>
      <c r="E28" s="196" t="s">
        <v>147</v>
      </c>
      <c r="F28" s="324">
        <v>1.7997872876396282E-4</v>
      </c>
      <c r="G28" s="197">
        <v>42700.01</v>
      </c>
      <c r="H28" s="197">
        <f t="shared" si="0"/>
        <v>7.69</v>
      </c>
    </row>
    <row r="29" spans="1:11" ht="31.5" customHeight="1" x14ac:dyDescent="0.25">
      <c r="A29" s="192">
        <v>15</v>
      </c>
      <c r="B29" s="192" t="s">
        <v>129</v>
      </c>
      <c r="C29" s="195" t="s">
        <v>165</v>
      </c>
      <c r="D29" s="195" t="s">
        <v>166</v>
      </c>
      <c r="E29" s="196" t="s">
        <v>147</v>
      </c>
      <c r="F29" s="324">
        <v>6.0016489317397239E-5</v>
      </c>
      <c r="G29" s="197">
        <v>114220</v>
      </c>
      <c r="H29" s="197">
        <f t="shared" si="0"/>
        <v>6.86</v>
      </c>
    </row>
    <row r="30" spans="1:11" x14ac:dyDescent="0.25">
      <c r="A30" s="192">
        <v>16</v>
      </c>
      <c r="B30" s="192" t="s">
        <v>129</v>
      </c>
      <c r="C30" s="195" t="s">
        <v>167</v>
      </c>
      <c r="D30" s="195" t="s">
        <v>168</v>
      </c>
      <c r="E30" s="196" t="s">
        <v>152</v>
      </c>
      <c r="F30" s="324">
        <v>0.11995920795280395</v>
      </c>
      <c r="G30" s="197">
        <v>28.26</v>
      </c>
      <c r="H30" s="197">
        <f t="shared" si="0"/>
        <v>3.39</v>
      </c>
    </row>
    <row r="31" spans="1:11" x14ac:dyDescent="0.25">
      <c r="A31" s="192">
        <v>17</v>
      </c>
      <c r="B31" s="192" t="s">
        <v>129</v>
      </c>
      <c r="C31" s="195" t="s">
        <v>169</v>
      </c>
      <c r="D31" s="195" t="s">
        <v>170</v>
      </c>
      <c r="E31" s="196" t="s">
        <v>152</v>
      </c>
      <c r="F31" s="324">
        <v>1.8485385773384502E-2</v>
      </c>
      <c r="G31" s="197">
        <v>138.76</v>
      </c>
      <c r="H31" s="197">
        <f t="shared" si="0"/>
        <v>2.57</v>
      </c>
    </row>
    <row r="32" spans="1:11" ht="47.25" customHeight="1" x14ac:dyDescent="0.25">
      <c r="A32" s="192">
        <v>18</v>
      </c>
      <c r="B32" s="192" t="s">
        <v>129</v>
      </c>
      <c r="C32" s="195" t="s">
        <v>171</v>
      </c>
      <c r="D32" s="195" t="s">
        <v>172</v>
      </c>
      <c r="E32" s="196" t="s">
        <v>173</v>
      </c>
      <c r="F32" s="324">
        <v>2.9984066341157E-3</v>
      </c>
      <c r="G32" s="197">
        <v>405.22</v>
      </c>
      <c r="H32" s="197">
        <f t="shared" si="0"/>
        <v>1.22</v>
      </c>
    </row>
    <row r="33" spans="1:8" x14ac:dyDescent="0.25">
      <c r="A33" s="192">
        <v>19</v>
      </c>
      <c r="B33" s="192" t="s">
        <v>129</v>
      </c>
      <c r="C33" s="195" t="s">
        <v>174</v>
      </c>
      <c r="D33" s="195" t="s">
        <v>175</v>
      </c>
      <c r="E33" s="196" t="s">
        <v>152</v>
      </c>
      <c r="F33" s="324">
        <v>2.6012684228068895E-2</v>
      </c>
      <c r="G33" s="197">
        <v>39.020000000000003</v>
      </c>
      <c r="H33" s="197">
        <f t="shared" si="0"/>
        <v>1.02</v>
      </c>
    </row>
    <row r="34" spans="1:8" ht="31.5" customHeight="1" x14ac:dyDescent="0.25">
      <c r="A34" s="192">
        <v>20</v>
      </c>
      <c r="B34" s="192" t="s">
        <v>129</v>
      </c>
      <c r="C34" s="195" t="s">
        <v>176</v>
      </c>
      <c r="D34" s="195" t="s">
        <v>177</v>
      </c>
      <c r="E34" s="196" t="s">
        <v>152</v>
      </c>
      <c r="F34" s="324">
        <v>1.9953527457841309E-2</v>
      </c>
      <c r="G34" s="197">
        <v>38.340000000000003</v>
      </c>
      <c r="H34" s="197">
        <f t="shared" si="0"/>
        <v>0.77</v>
      </c>
    </row>
    <row r="35" spans="1:8" ht="31.5" customHeight="1" x14ac:dyDescent="0.25">
      <c r="A35" s="192">
        <v>21</v>
      </c>
      <c r="B35" s="192" t="s">
        <v>129</v>
      </c>
      <c r="C35" s="195" t="s">
        <v>178</v>
      </c>
      <c r="D35" s="195" t="s">
        <v>179</v>
      </c>
      <c r="E35" s="196" t="s">
        <v>147</v>
      </c>
      <c r="F35" s="324">
        <v>2.4087005244554311E-5</v>
      </c>
      <c r="G35" s="197">
        <v>22419</v>
      </c>
      <c r="H35" s="197">
        <f t="shared" si="0"/>
        <v>0.54</v>
      </c>
    </row>
    <row r="36" spans="1:8" x14ac:dyDescent="0.25">
      <c r="A36" s="192">
        <v>22</v>
      </c>
      <c r="B36" s="192" t="s">
        <v>129</v>
      </c>
      <c r="C36" s="195" t="s">
        <v>180</v>
      </c>
      <c r="D36" s="195" t="s">
        <v>181</v>
      </c>
      <c r="E36" s="196" t="s">
        <v>147</v>
      </c>
      <c r="F36" s="324">
        <v>0.17499999999999999</v>
      </c>
      <c r="G36" s="197"/>
      <c r="H36" s="197">
        <f t="shared" si="0"/>
        <v>0</v>
      </c>
    </row>
    <row r="39" spans="1:8" x14ac:dyDescent="0.25">
      <c r="B39" s="165" t="s">
        <v>67</v>
      </c>
    </row>
    <row r="40" spans="1:8" x14ac:dyDescent="0.25">
      <c r="B40" s="178" t="s">
        <v>68</v>
      </c>
    </row>
    <row r="42" spans="1:8" x14ac:dyDescent="0.25">
      <c r="B42" s="165" t="s">
        <v>69</v>
      </c>
    </row>
    <row r="43" spans="1:8" x14ac:dyDescent="0.25">
      <c r="B43" s="178" t="s">
        <v>70</v>
      </c>
    </row>
  </sheetData>
  <mergeCells count="15">
    <mergeCell ref="A13:E13"/>
    <mergeCell ref="A20:E20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8:E18"/>
  </mergeCells>
  <pageMargins left="0.7" right="0.7" top="0.75" bottom="0.75" header="0.3" footer="0.3"/>
  <pageSetup paperSize="9"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0"/>
  <sheetViews>
    <sheetView view="pageBreakPreview" topLeftCell="A25" workbookViewId="0">
      <selection activeCell="H32" sqref="H32"/>
    </sheetView>
  </sheetViews>
  <sheetFormatPr defaultRowHeight="15" x14ac:dyDescent="0.25"/>
  <cols>
    <col min="1" max="1" width="4.140625" style="57" customWidth="1"/>
    <col min="2" max="2" width="36.28515625" style="57" customWidth="1"/>
    <col min="3" max="3" width="18.85546875" style="57" customWidth="1"/>
    <col min="4" max="4" width="18.28515625" style="57" customWidth="1"/>
    <col min="5" max="5" width="18.85546875" style="57" customWidth="1"/>
    <col min="6" max="8" width="9.140625" style="57" customWidth="1"/>
    <col min="9" max="9" width="13.5703125" style="57" customWidth="1"/>
    <col min="10" max="10" width="9.140625" style="57" customWidth="1"/>
  </cols>
  <sheetData>
    <row r="1" spans="2:5" x14ac:dyDescent="0.25">
      <c r="B1" s="159"/>
      <c r="C1" s="159"/>
      <c r="D1" s="159"/>
      <c r="E1" s="159"/>
    </row>
    <row r="2" spans="2:5" x14ac:dyDescent="0.25">
      <c r="B2" s="159"/>
      <c r="C2" s="159"/>
      <c r="D2" s="159"/>
      <c r="E2" s="163" t="s">
        <v>182</v>
      </c>
    </row>
    <row r="3" spans="2:5" x14ac:dyDescent="0.25">
      <c r="B3" s="159"/>
      <c r="C3" s="159"/>
      <c r="D3" s="159"/>
      <c r="E3" s="159"/>
    </row>
    <row r="4" spans="2:5" x14ac:dyDescent="0.25">
      <c r="B4" s="159"/>
      <c r="C4" s="159"/>
      <c r="D4" s="159"/>
      <c r="E4" s="159"/>
    </row>
    <row r="5" spans="2:5" x14ac:dyDescent="0.25">
      <c r="B5" s="328" t="s">
        <v>71</v>
      </c>
      <c r="C5" s="328"/>
      <c r="D5" s="328"/>
      <c r="E5" s="328"/>
    </row>
    <row r="6" spans="2:5" x14ac:dyDescent="0.25">
      <c r="B6" s="162"/>
      <c r="C6" s="159"/>
      <c r="D6" s="159"/>
      <c r="E6" s="159"/>
    </row>
    <row r="7" spans="2:5" ht="25.5" customHeight="1" x14ac:dyDescent="0.25">
      <c r="B7" s="350" t="s">
        <v>398</v>
      </c>
      <c r="C7" s="342"/>
      <c r="D7" s="342"/>
      <c r="E7" s="342"/>
    </row>
    <row r="8" spans="2:5" x14ac:dyDescent="0.25">
      <c r="B8" s="351" t="s">
        <v>394</v>
      </c>
      <c r="C8" s="351"/>
      <c r="D8" s="351"/>
      <c r="E8" s="351"/>
    </row>
    <row r="9" spans="2:5" x14ac:dyDescent="0.25">
      <c r="B9" s="162"/>
      <c r="C9" s="159"/>
      <c r="D9" s="159"/>
      <c r="E9" s="159"/>
    </row>
    <row r="10" spans="2:5" ht="51" customHeight="1" x14ac:dyDescent="0.25">
      <c r="B10" s="200" t="s">
        <v>72</v>
      </c>
      <c r="C10" s="200" t="s">
        <v>183</v>
      </c>
      <c r="D10" s="200" t="s">
        <v>184</v>
      </c>
      <c r="E10" s="200" t="s">
        <v>185</v>
      </c>
    </row>
    <row r="11" spans="2:5" x14ac:dyDescent="0.25">
      <c r="B11" s="160" t="s">
        <v>76</v>
      </c>
      <c r="C11" s="291">
        <f>'Прил.5 Расчет СМР и ОБ'!J15</f>
        <v>1809.08</v>
      </c>
      <c r="D11" s="161">
        <f t="shared" ref="D11:D18" si="0">C11/$C$24</f>
        <v>0.2087387154540587</v>
      </c>
      <c r="E11" s="161">
        <f t="shared" ref="E11:E18" si="1">C11/$C$40</f>
        <v>5.8209042627470238E-3</v>
      </c>
    </row>
    <row r="12" spans="2:5" x14ac:dyDescent="0.25">
      <c r="B12" s="160" t="s">
        <v>77</v>
      </c>
      <c r="C12" s="291">
        <f>'Прил.5 Расчет СМР и ОБ'!J21</f>
        <v>849.71</v>
      </c>
      <c r="D12" s="161">
        <f t="shared" si="0"/>
        <v>9.8042858197795693E-2</v>
      </c>
      <c r="E12" s="161">
        <f t="shared" si="1"/>
        <v>2.7340308671251544E-3</v>
      </c>
    </row>
    <row r="13" spans="2:5" x14ac:dyDescent="0.25">
      <c r="B13" s="160" t="s">
        <v>78</v>
      </c>
      <c r="C13" s="291">
        <f>'Прил.5 Расчет СМР и ОБ'!J23</f>
        <v>60.62</v>
      </c>
      <c r="D13" s="161">
        <f t="shared" si="0"/>
        <v>6.9945723410932839E-3</v>
      </c>
      <c r="E13" s="161">
        <f t="shared" si="1"/>
        <v>1.9505119530796019E-4</v>
      </c>
    </row>
    <row r="14" spans="2:5" x14ac:dyDescent="0.25">
      <c r="B14" s="160" t="s">
        <v>79</v>
      </c>
      <c r="C14" s="291">
        <f>C13+C12</f>
        <v>910.33</v>
      </c>
      <c r="D14" s="161">
        <f t="shared" si="0"/>
        <v>0.10503743053888898</v>
      </c>
      <c r="E14" s="161">
        <f t="shared" si="1"/>
        <v>2.9290820624331146E-3</v>
      </c>
    </row>
    <row r="15" spans="2:5" x14ac:dyDescent="0.25">
      <c r="B15" s="160" t="s">
        <v>80</v>
      </c>
      <c r="C15" s="291">
        <f>'Прил.5 Расчет СМР и ОБ'!J17</f>
        <v>1031.07</v>
      </c>
      <c r="D15" s="161">
        <f t="shared" si="0"/>
        <v>0.11896888326841064</v>
      </c>
      <c r="E15" s="161">
        <f t="shared" si="1"/>
        <v>3.3175756507122815E-3</v>
      </c>
    </row>
    <row r="16" spans="2:5" x14ac:dyDescent="0.25">
      <c r="B16" s="160" t="s">
        <v>81</v>
      </c>
      <c r="C16" s="291">
        <f>'Прил.5 Расчет СМР и ОБ'!J41</f>
        <v>1607.49</v>
      </c>
      <c r="D16" s="161">
        <f t="shared" si="0"/>
        <v>0.18547847397862163</v>
      </c>
      <c r="E16" s="161">
        <f t="shared" si="1"/>
        <v>5.1722673366148622E-3</v>
      </c>
    </row>
    <row r="17" spans="2:5" x14ac:dyDescent="0.25">
      <c r="B17" s="160" t="s">
        <v>82</v>
      </c>
      <c r="C17" s="291">
        <f>'Прил.5 Расчет СМР и ОБ'!J51</f>
        <v>193.20000000000002</v>
      </c>
      <c r="D17" s="161">
        <f t="shared" si="0"/>
        <v>2.229217050971994E-2</v>
      </c>
      <c r="E17" s="161">
        <f t="shared" si="1"/>
        <v>6.216412229214436E-4</v>
      </c>
    </row>
    <row r="18" spans="2:5" x14ac:dyDescent="0.25">
      <c r="B18" s="160" t="s">
        <v>83</v>
      </c>
      <c r="C18" s="291">
        <f>C17+C16</f>
        <v>1800.69</v>
      </c>
      <c r="D18" s="161">
        <f t="shared" si="0"/>
        <v>0.20777064448834159</v>
      </c>
      <c r="E18" s="161">
        <f t="shared" si="1"/>
        <v>5.7939085595363057E-3</v>
      </c>
    </row>
    <row r="19" spans="2:5" x14ac:dyDescent="0.25">
      <c r="B19" s="160" t="s">
        <v>84</v>
      </c>
      <c r="C19" s="291">
        <f>C18+C14+C11</f>
        <v>4520.1000000000004</v>
      </c>
      <c r="D19" s="161"/>
      <c r="E19" s="160"/>
    </row>
    <row r="20" spans="2:5" x14ac:dyDescent="0.25">
      <c r="B20" s="160" t="s">
        <v>85</v>
      </c>
      <c r="C20" s="291">
        <f>ROUND(C21*(C11+C15),2)</f>
        <v>1476.88</v>
      </c>
      <c r="D20" s="161">
        <f>C20/$C$24</f>
        <v>0.17040818210349473</v>
      </c>
      <c r="E20" s="161">
        <f>C20/$C$40</f>
        <v>4.7520159902081863E-3</v>
      </c>
    </row>
    <row r="21" spans="2:5" x14ac:dyDescent="0.25">
      <c r="B21" s="160" t="s">
        <v>86</v>
      </c>
      <c r="C21" s="292">
        <v>0.52</v>
      </c>
      <c r="D21" s="161"/>
      <c r="E21" s="160"/>
    </row>
    <row r="22" spans="2:5" x14ac:dyDescent="0.25">
      <c r="B22" s="160" t="s">
        <v>87</v>
      </c>
      <c r="C22" s="291">
        <f>ROUND(C23*(C11+C15),2)</f>
        <v>2669.74</v>
      </c>
      <c r="D22" s="161">
        <f>C22/$C$24</f>
        <v>0.30804502741521583</v>
      </c>
      <c r="E22" s="161">
        <f>C22/$C$40</f>
        <v>8.590167901047073E-3</v>
      </c>
    </row>
    <row r="23" spans="2:5" x14ac:dyDescent="0.25">
      <c r="B23" s="160" t="s">
        <v>88</v>
      </c>
      <c r="C23" s="292">
        <v>0.94</v>
      </c>
      <c r="D23" s="161"/>
      <c r="E23" s="160"/>
    </row>
    <row r="24" spans="2:5" x14ac:dyDescent="0.25">
      <c r="B24" s="160" t="s">
        <v>89</v>
      </c>
      <c r="C24" s="291">
        <f>C19+C20+C22</f>
        <v>8666.7200000000012</v>
      </c>
      <c r="D24" s="161">
        <f>C24/$C$24</f>
        <v>1</v>
      </c>
      <c r="E24" s="161">
        <f>C24/$C$40</f>
        <v>2.7886078775971709E-2</v>
      </c>
    </row>
    <row r="25" spans="2:5" ht="25.5" customHeight="1" x14ac:dyDescent="0.25">
      <c r="B25" s="160" t="s">
        <v>90</v>
      </c>
      <c r="C25" s="291">
        <f>'Прил.5 Расчет СМР и ОБ'!J30</f>
        <v>270800</v>
      </c>
      <c r="D25" s="161"/>
      <c r="E25" s="161">
        <f>C25/$C$40</f>
        <v>0.87132734558554303</v>
      </c>
    </row>
    <row r="26" spans="2:5" ht="25.5" customHeight="1" x14ac:dyDescent="0.25">
      <c r="B26" s="160" t="s">
        <v>91</v>
      </c>
      <c r="C26" s="291">
        <f>'Прил.5 Расчет СМР и ОБ'!J31</f>
        <v>270800.03000000003</v>
      </c>
      <c r="D26" s="161"/>
      <c r="E26" s="161">
        <f>C26/$C$40</f>
        <v>0.87132744211368329</v>
      </c>
    </row>
    <row r="27" spans="2:5" x14ac:dyDescent="0.25">
      <c r="B27" s="160" t="s">
        <v>92</v>
      </c>
      <c r="C27" s="198">
        <f>C24+C25</f>
        <v>279466.71999999997</v>
      </c>
      <c r="D27" s="161"/>
      <c r="E27" s="161">
        <f>C27/$C$40</f>
        <v>0.89921342436151463</v>
      </c>
    </row>
    <row r="28" spans="2:5" ht="33" customHeight="1" x14ac:dyDescent="0.25">
      <c r="B28" s="160" t="s">
        <v>93</v>
      </c>
      <c r="C28" s="160"/>
      <c r="D28" s="160"/>
      <c r="E28" s="160"/>
    </row>
    <row r="29" spans="2:5" ht="25.5" customHeight="1" x14ac:dyDescent="0.25">
      <c r="B29" s="160" t="s">
        <v>186</v>
      </c>
      <c r="C29" s="198">
        <f>ROUND(C24*3.9%,2)</f>
        <v>338</v>
      </c>
      <c r="D29" s="160"/>
      <c r="E29" s="161">
        <f t="shared" ref="E29:E38" si="2">C29/$C$40</f>
        <v>1.0875503796451756E-3</v>
      </c>
    </row>
    <row r="30" spans="2:5" ht="38.25" customHeight="1" x14ac:dyDescent="0.25">
      <c r="B30" s="160" t="s">
        <v>187</v>
      </c>
      <c r="C30" s="310">
        <f>ROUND((C24+C29)*2.1%,2)</f>
        <v>189.1</v>
      </c>
      <c r="D30" s="311"/>
      <c r="E30" s="312">
        <f t="shared" si="2"/>
        <v>6.0844904376006713E-4</v>
      </c>
    </row>
    <row r="31" spans="2:5" x14ac:dyDescent="0.25">
      <c r="B31" s="160" t="s">
        <v>188</v>
      </c>
      <c r="C31" s="310">
        <v>16060</v>
      </c>
      <c r="D31" s="311"/>
      <c r="E31" s="312">
        <f t="shared" si="2"/>
        <v>5.1674731056513372E-2</v>
      </c>
    </row>
    <row r="32" spans="2:5" ht="25.5" customHeight="1" x14ac:dyDescent="0.25">
      <c r="B32" s="160" t="s">
        <v>189</v>
      </c>
      <c r="C32" s="310">
        <v>0</v>
      </c>
      <c r="D32" s="311"/>
      <c r="E32" s="312">
        <f t="shared" si="2"/>
        <v>0</v>
      </c>
    </row>
    <row r="33" spans="2:9" ht="25.5" customHeight="1" x14ac:dyDescent="0.25">
      <c r="B33" s="160" t="s">
        <v>190</v>
      </c>
      <c r="C33" s="198">
        <v>0</v>
      </c>
      <c r="D33" s="311"/>
      <c r="E33" s="312">
        <f t="shared" si="2"/>
        <v>0</v>
      </c>
    </row>
    <row r="34" spans="2:9" ht="51" customHeight="1" x14ac:dyDescent="0.25">
      <c r="B34" s="160" t="s">
        <v>191</v>
      </c>
      <c r="C34" s="198">
        <v>0</v>
      </c>
      <c r="D34" s="160"/>
      <c r="E34" s="161">
        <f t="shared" si="2"/>
        <v>0</v>
      </c>
    </row>
    <row r="35" spans="2:9" ht="76.5" customHeight="1" x14ac:dyDescent="0.25">
      <c r="B35" s="160" t="s">
        <v>192</v>
      </c>
      <c r="C35" s="198">
        <v>0</v>
      </c>
      <c r="D35" s="160"/>
      <c r="E35" s="161">
        <f t="shared" si="2"/>
        <v>0</v>
      </c>
    </row>
    <row r="36" spans="2:9" ht="25.5" customHeight="1" x14ac:dyDescent="0.25">
      <c r="B36" s="160" t="s">
        <v>193</v>
      </c>
      <c r="C36" s="198">
        <f>ROUND((C27+C32+C33+C34+C35+C29+C31+C30)*1.72%,2)</f>
        <v>5092.13</v>
      </c>
      <c r="D36" s="160"/>
      <c r="E36" s="161">
        <f t="shared" si="2"/>
        <v>1.6384461286102332E-2</v>
      </c>
      <c r="I36" s="199"/>
    </row>
    <row r="37" spans="2:9" x14ac:dyDescent="0.25">
      <c r="B37" s="160" t="s">
        <v>194</v>
      </c>
      <c r="C37" s="198">
        <f>ROUND((C27+C32+C33+C34+C35+C29+C31+C30)*0.2%,2)</f>
        <v>592.11</v>
      </c>
      <c r="D37" s="160"/>
      <c r="E37" s="161">
        <f t="shared" si="2"/>
        <v>1.9051759032298963E-3</v>
      </c>
      <c r="I37" s="199"/>
    </row>
    <row r="38" spans="2:9" ht="38.25" customHeight="1" x14ac:dyDescent="0.25">
      <c r="B38" s="160" t="s">
        <v>99</v>
      </c>
      <c r="C38" s="291">
        <f>C27+C32+C33+C34+C35+C29+C31+C30+C36+C37</f>
        <v>301738.05999999994</v>
      </c>
      <c r="D38" s="160"/>
      <c r="E38" s="161">
        <f t="shared" si="2"/>
        <v>0.9708737920307654</v>
      </c>
    </row>
    <row r="39" spans="2:9" ht="13.5" customHeight="1" x14ac:dyDescent="0.25">
      <c r="B39" s="160" t="s">
        <v>100</v>
      </c>
      <c r="C39" s="291">
        <f>ROUND(C38*3%,2)</f>
        <v>9052.14</v>
      </c>
      <c r="D39" s="160"/>
      <c r="E39" s="161">
        <f>C39/$C$38</f>
        <v>2.9999994034560974E-2</v>
      </c>
    </row>
    <row r="40" spans="2:9" x14ac:dyDescent="0.25">
      <c r="B40" s="160" t="s">
        <v>101</v>
      </c>
      <c r="C40" s="291">
        <f>C39+C38</f>
        <v>310790.19999999995</v>
      </c>
      <c r="D40" s="160"/>
      <c r="E40" s="161">
        <f>C40/$C$40</f>
        <v>1</v>
      </c>
    </row>
    <row r="41" spans="2:9" x14ac:dyDescent="0.25">
      <c r="B41" s="160" t="s">
        <v>102</v>
      </c>
      <c r="C41" s="291">
        <f>C40/'Прил.5 Расчет СМР и ОБ'!E58</f>
        <v>310790.19999999995</v>
      </c>
      <c r="D41" s="160"/>
      <c r="E41" s="160"/>
    </row>
    <row r="42" spans="2:9" x14ac:dyDescent="0.25">
      <c r="B42" s="164"/>
      <c r="C42" s="159"/>
      <c r="D42" s="159"/>
      <c r="E42" s="159"/>
    </row>
    <row r="43" spans="2:9" x14ac:dyDescent="0.25">
      <c r="B43" s="164" t="s">
        <v>195</v>
      </c>
      <c r="C43" s="159"/>
      <c r="D43" s="159"/>
      <c r="E43" s="159"/>
    </row>
    <row r="44" spans="2:9" x14ac:dyDescent="0.25">
      <c r="B44" s="164" t="s">
        <v>196</v>
      </c>
      <c r="C44" s="159"/>
      <c r="D44" s="159"/>
      <c r="E44" s="159"/>
    </row>
    <row r="45" spans="2:9" x14ac:dyDescent="0.25">
      <c r="B45" s="164"/>
      <c r="C45" s="159"/>
      <c r="D45" s="159"/>
      <c r="E45" s="159"/>
    </row>
    <row r="46" spans="2:9" x14ac:dyDescent="0.25">
      <c r="B46" s="164" t="s">
        <v>197</v>
      </c>
      <c r="C46" s="159"/>
      <c r="D46" s="159"/>
      <c r="E46" s="159"/>
    </row>
    <row r="47" spans="2:9" x14ac:dyDescent="0.25">
      <c r="B47" s="351" t="s">
        <v>198</v>
      </c>
      <c r="C47" s="351"/>
      <c r="D47" s="159"/>
      <c r="E47" s="159"/>
    </row>
    <row r="49" spans="2:5" x14ac:dyDescent="0.25">
      <c r="B49" s="159"/>
      <c r="C49" s="159"/>
      <c r="D49" s="159"/>
      <c r="E49" s="159"/>
    </row>
    <row r="50" spans="2:5" x14ac:dyDescent="0.25">
      <c r="B50" s="159"/>
      <c r="C50" s="159"/>
      <c r="D50" s="159"/>
      <c r="E50" s="1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64"/>
  <sheetViews>
    <sheetView view="pageBreakPreview" zoomScale="85" zoomScaleSheetLayoutView="85" workbookViewId="0">
      <selection activeCell="F27" sqref="F27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02" customFormat="1" x14ac:dyDescent="0.2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</row>
    <row r="2" spans="1:12" s="202" customFormat="1" ht="15.75" customHeight="1" x14ac:dyDescent="0.25">
      <c r="A2" s="201"/>
      <c r="B2" s="201"/>
      <c r="C2" s="201"/>
      <c r="D2" s="201"/>
      <c r="E2" s="201"/>
      <c r="F2" s="201"/>
      <c r="G2" s="201"/>
      <c r="H2" s="372" t="s">
        <v>199</v>
      </c>
      <c r="I2" s="372"/>
      <c r="J2" s="372"/>
      <c r="K2" s="201"/>
      <c r="L2" s="201"/>
    </row>
    <row r="3" spans="1:12" s="202" customFormat="1" x14ac:dyDescent="0.25">
      <c r="A3" s="201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</row>
    <row r="4" spans="1:12" s="203" customFormat="1" ht="12.75" customHeight="1" x14ac:dyDescent="0.2">
      <c r="A4" s="328" t="s">
        <v>200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12" s="203" customFormat="1" ht="12.75" customHeight="1" x14ac:dyDescent="0.2">
      <c r="A5" s="279"/>
      <c r="B5" s="279"/>
      <c r="C5" s="204"/>
      <c r="D5" s="279"/>
      <c r="E5" s="279"/>
      <c r="F5" s="279"/>
      <c r="G5" s="279"/>
      <c r="H5" s="279"/>
      <c r="I5" s="279"/>
      <c r="J5" s="279"/>
    </row>
    <row r="6" spans="1:12" s="203" customFormat="1" ht="12.75" customHeight="1" x14ac:dyDescent="0.2">
      <c r="A6" s="205" t="s">
        <v>201</v>
      </c>
      <c r="B6" s="206"/>
      <c r="C6" s="206"/>
      <c r="D6" s="377" t="s">
        <v>401</v>
      </c>
      <c r="E6" s="378"/>
      <c r="F6" s="378"/>
      <c r="G6" s="378"/>
      <c r="H6" s="378"/>
      <c r="I6" s="378"/>
      <c r="J6" s="378"/>
    </row>
    <row r="7" spans="1:12" s="203" customFormat="1" ht="12.75" customHeight="1" x14ac:dyDescent="0.2">
      <c r="A7" s="331" t="s">
        <v>394</v>
      </c>
      <c r="B7" s="342"/>
      <c r="C7" s="342"/>
      <c r="D7" s="342"/>
      <c r="E7" s="342"/>
      <c r="F7" s="342"/>
      <c r="G7" s="342"/>
      <c r="H7" s="342"/>
      <c r="I7" s="207"/>
      <c r="J7" s="207"/>
    </row>
    <row r="8" spans="1:12" s="4" customFormat="1" ht="13.5" customHeight="1" x14ac:dyDescent="0.2">
      <c r="A8" s="331"/>
      <c r="B8" s="342"/>
      <c r="C8" s="342"/>
      <c r="D8" s="342"/>
      <c r="E8" s="342"/>
      <c r="F8" s="342"/>
      <c r="G8" s="342"/>
      <c r="H8" s="342"/>
    </row>
    <row r="9" spans="1:12" s="4" customFormat="1" ht="13.15" customHeight="1" x14ac:dyDescent="0.2"/>
    <row r="10" spans="1:12" s="202" customFormat="1" ht="27" customHeight="1" x14ac:dyDescent="0.25">
      <c r="A10" s="359" t="s">
        <v>13</v>
      </c>
      <c r="B10" s="359" t="s">
        <v>121</v>
      </c>
      <c r="C10" s="359" t="s">
        <v>72</v>
      </c>
      <c r="D10" s="359" t="s">
        <v>123</v>
      </c>
      <c r="E10" s="375" t="s">
        <v>202</v>
      </c>
      <c r="F10" s="373" t="s">
        <v>73</v>
      </c>
      <c r="G10" s="374"/>
      <c r="H10" s="375" t="s">
        <v>203</v>
      </c>
      <c r="I10" s="373" t="s">
        <v>204</v>
      </c>
      <c r="J10" s="374"/>
      <c r="K10" s="201"/>
      <c r="L10" s="201"/>
    </row>
    <row r="11" spans="1:12" s="202" customFormat="1" ht="28.5" customHeight="1" x14ac:dyDescent="0.25">
      <c r="A11" s="359"/>
      <c r="B11" s="359"/>
      <c r="C11" s="359"/>
      <c r="D11" s="359"/>
      <c r="E11" s="376"/>
      <c r="F11" s="150" t="s">
        <v>205</v>
      </c>
      <c r="G11" s="150" t="s">
        <v>126</v>
      </c>
      <c r="H11" s="376"/>
      <c r="I11" s="150" t="s">
        <v>205</v>
      </c>
      <c r="J11" s="150" t="s">
        <v>126</v>
      </c>
      <c r="K11" s="201"/>
      <c r="L11" s="201"/>
    </row>
    <row r="12" spans="1:12" s="202" customFormat="1" x14ac:dyDescent="0.25">
      <c r="A12" s="150">
        <v>1</v>
      </c>
      <c r="B12" s="150">
        <v>2</v>
      </c>
      <c r="C12" s="150">
        <v>3</v>
      </c>
      <c r="D12" s="150">
        <v>4</v>
      </c>
      <c r="E12" s="150">
        <v>5</v>
      </c>
      <c r="F12" s="150">
        <v>6</v>
      </c>
      <c r="G12" s="150">
        <v>7</v>
      </c>
      <c r="H12" s="150">
        <v>8</v>
      </c>
      <c r="I12" s="278">
        <v>9</v>
      </c>
      <c r="J12" s="278">
        <v>10</v>
      </c>
      <c r="K12" s="201"/>
      <c r="L12" s="201"/>
    </row>
    <row r="13" spans="1:12" x14ac:dyDescent="0.25">
      <c r="A13" s="2"/>
      <c r="B13" s="357" t="s">
        <v>206</v>
      </c>
      <c r="C13" s="358"/>
      <c r="D13" s="359"/>
      <c r="E13" s="360"/>
      <c r="F13" s="361"/>
      <c r="G13" s="361"/>
      <c r="H13" s="362"/>
      <c r="I13" s="208"/>
      <c r="J13" s="208"/>
    </row>
    <row r="14" spans="1:12" ht="25.5" customHeight="1" x14ac:dyDescent="0.25">
      <c r="A14" s="2">
        <v>1</v>
      </c>
      <c r="B14" s="209" t="s">
        <v>207</v>
      </c>
      <c r="C14" s="210" t="s">
        <v>208</v>
      </c>
      <c r="D14" s="150" t="s">
        <v>209</v>
      </c>
      <c r="E14" s="211">
        <v>4.1200352347833764</v>
      </c>
      <c r="F14" s="212">
        <v>9.51</v>
      </c>
      <c r="G14" s="212">
        <f>'Прил. 3'!H10</f>
        <v>39.14</v>
      </c>
      <c r="H14" s="213">
        <f>G14/$G$15</f>
        <v>1</v>
      </c>
      <c r="I14" s="214">
        <f>ФОТр.тек.!E13</f>
        <v>439.09244974661942</v>
      </c>
      <c r="J14" s="214">
        <f>ROUND(I14*E14,2)</f>
        <v>1809.08</v>
      </c>
    </row>
    <row r="15" spans="1:12" s="14" customFormat="1" ht="25.5" customHeight="1" x14ac:dyDescent="0.2">
      <c r="A15" s="2"/>
      <c r="B15" s="2"/>
      <c r="C15" s="281" t="s">
        <v>210</v>
      </c>
      <c r="D15" s="2" t="s">
        <v>209</v>
      </c>
      <c r="E15" s="215">
        <f>SUM(E14:E14)</f>
        <v>4.1200352347833764</v>
      </c>
      <c r="F15" s="34"/>
      <c r="G15" s="34">
        <f>SUM(G14:G14)</f>
        <v>39.14</v>
      </c>
      <c r="H15" s="284">
        <v>1</v>
      </c>
      <c r="I15" s="208"/>
      <c r="J15" s="212">
        <f>SUM(J14:J14)</f>
        <v>1809.08</v>
      </c>
    </row>
    <row r="16" spans="1:12" s="14" customFormat="1" ht="14.25" customHeight="1" x14ac:dyDescent="0.2">
      <c r="A16" s="2"/>
      <c r="B16" s="358" t="s">
        <v>135</v>
      </c>
      <c r="C16" s="358"/>
      <c r="D16" s="359"/>
      <c r="E16" s="360"/>
      <c r="F16" s="361"/>
      <c r="G16" s="361"/>
      <c r="H16" s="362"/>
      <c r="I16" s="208"/>
      <c r="J16" s="208"/>
    </row>
    <row r="17" spans="1:10" s="14" customFormat="1" ht="14.25" customHeight="1" x14ac:dyDescent="0.2">
      <c r="A17" s="2">
        <v>2</v>
      </c>
      <c r="B17" s="2">
        <v>2</v>
      </c>
      <c r="C17" s="9" t="s">
        <v>135</v>
      </c>
      <c r="D17" s="2" t="s">
        <v>209</v>
      </c>
      <c r="E17" s="215">
        <v>1.01</v>
      </c>
      <c r="F17" s="34">
        <f>G17/E17</f>
        <v>23.049504950495049</v>
      </c>
      <c r="G17" s="34">
        <f>'Прил. 3'!H13</f>
        <v>23.28</v>
      </c>
      <c r="H17" s="284">
        <v>1</v>
      </c>
      <c r="I17" s="214">
        <f>ROUND(F17*'Прил. 10'!D11,2)</f>
        <v>1020.86</v>
      </c>
      <c r="J17" s="214">
        <f>ROUND(I17*E17,2)</f>
        <v>1031.07</v>
      </c>
    </row>
    <row r="18" spans="1:10" s="14" customFormat="1" ht="14.25" customHeight="1" x14ac:dyDescent="0.2">
      <c r="A18" s="2"/>
      <c r="B18" s="357" t="s">
        <v>136</v>
      </c>
      <c r="C18" s="358"/>
      <c r="D18" s="359"/>
      <c r="E18" s="360"/>
      <c r="F18" s="361"/>
      <c r="G18" s="361"/>
      <c r="H18" s="362"/>
      <c r="I18" s="208"/>
      <c r="J18" s="208"/>
    </row>
    <row r="19" spans="1:10" s="14" customFormat="1" ht="14.25" customHeight="1" x14ac:dyDescent="0.2">
      <c r="A19" s="2"/>
      <c r="B19" s="358" t="s">
        <v>211</v>
      </c>
      <c r="C19" s="358"/>
      <c r="D19" s="359"/>
      <c r="E19" s="360"/>
      <c r="F19" s="361"/>
      <c r="G19" s="361"/>
      <c r="H19" s="362"/>
      <c r="I19" s="208"/>
      <c r="J19" s="208"/>
    </row>
    <row r="20" spans="1:10" s="14" customFormat="1" ht="25.5" customHeight="1" x14ac:dyDescent="0.2">
      <c r="A20" s="2">
        <v>3</v>
      </c>
      <c r="B20" s="216" t="s">
        <v>137</v>
      </c>
      <c r="C20" s="217" t="s">
        <v>138</v>
      </c>
      <c r="D20" s="218" t="s">
        <v>139</v>
      </c>
      <c r="E20" s="215">
        <v>0.96000100912589725</v>
      </c>
      <c r="F20" s="219">
        <v>65.709999999999994</v>
      </c>
      <c r="G20" s="220">
        <f>ROUND(E20*F20,2)</f>
        <v>63.08</v>
      </c>
      <c r="H20" s="221">
        <f>G20/$G$24</f>
        <v>0.93341225214560519</v>
      </c>
      <c r="I20" s="212">
        <f>ROUND(F20*'Прил. 10'!$D$12,2)</f>
        <v>885.11</v>
      </c>
      <c r="J20" s="212">
        <f>ROUND(I20*E20,2)</f>
        <v>849.71</v>
      </c>
    </row>
    <row r="21" spans="1:10" s="14" customFormat="1" ht="14.25" customHeight="1" x14ac:dyDescent="0.2">
      <c r="A21" s="2"/>
      <c r="B21" s="2"/>
      <c r="C21" s="9" t="s">
        <v>212</v>
      </c>
      <c r="D21" s="2"/>
      <c r="E21" s="215"/>
      <c r="F21" s="34"/>
      <c r="G21" s="34">
        <f>SUM(G20:G20)</f>
        <v>63.08</v>
      </c>
      <c r="H21" s="284">
        <f>G21/G24</f>
        <v>0.93341225214560519</v>
      </c>
      <c r="I21" s="222"/>
      <c r="J21" s="34">
        <f>SUM(J20:J20)</f>
        <v>849.71</v>
      </c>
    </row>
    <row r="22" spans="1:10" s="14" customFormat="1" ht="14.25" customHeight="1" outlineLevel="1" x14ac:dyDescent="0.2">
      <c r="A22" s="2">
        <v>4</v>
      </c>
      <c r="B22" s="216" t="s">
        <v>140</v>
      </c>
      <c r="C22" s="217" t="s">
        <v>141</v>
      </c>
      <c r="D22" s="218" t="s">
        <v>139</v>
      </c>
      <c r="E22" s="215">
        <v>5.0006474175976041E-2</v>
      </c>
      <c r="F22" s="219">
        <v>89.99</v>
      </c>
      <c r="G22" s="220">
        <f>ROUND(E22*F22,2)</f>
        <v>4.5</v>
      </c>
      <c r="H22" s="221">
        <f>G22/$G$24</f>
        <v>6.6587747854394794E-2</v>
      </c>
      <c r="I22" s="212">
        <f>ROUND(F22*'Прил. 10'!$D$12,2)</f>
        <v>1212.17</v>
      </c>
      <c r="J22" s="212">
        <f>ROUND(I22*E22,2)</f>
        <v>60.62</v>
      </c>
    </row>
    <row r="23" spans="1:10" s="14" customFormat="1" ht="14.25" customHeight="1" x14ac:dyDescent="0.2">
      <c r="A23" s="2"/>
      <c r="B23" s="2"/>
      <c r="C23" s="9" t="s">
        <v>213</v>
      </c>
      <c r="D23" s="2"/>
      <c r="E23" s="282"/>
      <c r="F23" s="34"/>
      <c r="G23" s="222">
        <f>SUM(G22:G22)</f>
        <v>4.5</v>
      </c>
      <c r="H23" s="223">
        <f>G23/G24</f>
        <v>6.6587747854394794E-2</v>
      </c>
      <c r="I23" s="224"/>
      <c r="J23" s="224">
        <f>SUM(J22:J22)</f>
        <v>60.62</v>
      </c>
    </row>
    <row r="24" spans="1:10" s="14" customFormat="1" ht="25.5" customHeight="1" x14ac:dyDescent="0.2">
      <c r="A24" s="2"/>
      <c r="B24" s="2"/>
      <c r="C24" s="281" t="s">
        <v>214</v>
      </c>
      <c r="D24" s="2"/>
      <c r="E24" s="282"/>
      <c r="F24" s="34"/>
      <c r="G24" s="34">
        <f>G23+G21</f>
        <v>67.58</v>
      </c>
      <c r="H24" s="225">
        <v>1</v>
      </c>
      <c r="I24" s="226"/>
      <c r="J24" s="227">
        <f>J23+J21</f>
        <v>910.33</v>
      </c>
    </row>
    <row r="25" spans="1:10" s="14" customFormat="1" ht="14.25" customHeight="1" x14ac:dyDescent="0.2">
      <c r="A25" s="2"/>
      <c r="B25" s="357" t="s">
        <v>43</v>
      </c>
      <c r="C25" s="357"/>
      <c r="D25" s="363"/>
      <c r="E25" s="364"/>
      <c r="F25" s="365"/>
      <c r="G25" s="365"/>
      <c r="H25" s="366"/>
      <c r="I25" s="208"/>
      <c r="J25" s="208"/>
    </row>
    <row r="26" spans="1:10" x14ac:dyDescent="0.25">
      <c r="A26" s="285"/>
      <c r="B26" s="358" t="s">
        <v>215</v>
      </c>
      <c r="C26" s="358"/>
      <c r="D26" s="359"/>
      <c r="E26" s="360"/>
      <c r="F26" s="361"/>
      <c r="G26" s="361"/>
      <c r="H26" s="362"/>
      <c r="I26" s="228"/>
      <c r="J26" s="228"/>
    </row>
    <row r="27" spans="1:10" s="14" customFormat="1" ht="127.5" customHeight="1" x14ac:dyDescent="0.2">
      <c r="A27" s="2">
        <v>5</v>
      </c>
      <c r="B27" s="294" t="s">
        <v>216</v>
      </c>
      <c r="C27" s="295" t="s">
        <v>217</v>
      </c>
      <c r="D27" s="294" t="s">
        <v>143</v>
      </c>
      <c r="E27" s="296">
        <v>1</v>
      </c>
      <c r="F27" s="297">
        <f>ROUND(I27/'Прил. 10'!$D$14,2)</f>
        <v>43258.79</v>
      </c>
      <c r="G27" s="298">
        <f>ROUND(E27*F27,2)</f>
        <v>43258.79</v>
      </c>
      <c r="H27" s="299">
        <f>G27/$G$30</f>
        <v>1</v>
      </c>
      <c r="I27" s="212">
        <v>270800</v>
      </c>
      <c r="J27" s="212">
        <f>ROUND(I27*E27,2)</f>
        <v>270800</v>
      </c>
    </row>
    <row r="28" spans="1:10" x14ac:dyDescent="0.25">
      <c r="A28" s="2"/>
      <c r="B28" s="300"/>
      <c r="C28" s="301" t="s">
        <v>218</v>
      </c>
      <c r="D28" s="302"/>
      <c r="E28" s="303"/>
      <c r="F28" s="304"/>
      <c r="G28" s="305">
        <f>SUM(G27:G27)</f>
        <v>43258.79</v>
      </c>
      <c r="H28" s="299">
        <f>G28/$G$30</f>
        <v>1</v>
      </c>
      <c r="I28" s="233"/>
      <c r="J28" s="232">
        <f>SUM(J27:J27)</f>
        <v>270800</v>
      </c>
    </row>
    <row r="29" spans="1:10" x14ac:dyDescent="0.25">
      <c r="A29" s="2"/>
      <c r="B29" s="300"/>
      <c r="C29" s="301" t="s">
        <v>219</v>
      </c>
      <c r="D29" s="300"/>
      <c r="E29" s="303"/>
      <c r="F29" s="304"/>
      <c r="G29" s="305">
        <v>0</v>
      </c>
      <c r="H29" s="299">
        <f>G29/$G$30</f>
        <v>0</v>
      </c>
      <c r="I29" s="233"/>
      <c r="J29" s="232">
        <v>0</v>
      </c>
    </row>
    <row r="30" spans="1:10" x14ac:dyDescent="0.25">
      <c r="A30" s="285"/>
      <c r="B30" s="300"/>
      <c r="C30" s="306" t="s">
        <v>220</v>
      </c>
      <c r="D30" s="300"/>
      <c r="E30" s="307"/>
      <c r="F30" s="304"/>
      <c r="G30" s="305">
        <f>G28+G29</f>
        <v>43258.79</v>
      </c>
      <c r="H30" s="299">
        <f>H28+H29</f>
        <v>1</v>
      </c>
      <c r="I30" s="233"/>
      <c r="J30" s="232">
        <f>J29+J28</f>
        <v>270800</v>
      </c>
    </row>
    <row r="31" spans="1:10" ht="25.5" customHeight="1" x14ac:dyDescent="0.25">
      <c r="A31" s="285"/>
      <c r="B31" s="300"/>
      <c r="C31" s="301" t="s">
        <v>221</v>
      </c>
      <c r="D31" s="300"/>
      <c r="E31" s="308"/>
      <c r="F31" s="304"/>
      <c r="G31" s="305">
        <f>'Прил.6 Расчет ОБ'!G13</f>
        <v>43258.79</v>
      </c>
      <c r="H31" s="309"/>
      <c r="I31" s="233"/>
      <c r="J31" s="232">
        <f>ROUND(G31*'Прил. 10'!D14,2)</f>
        <v>270800.03000000003</v>
      </c>
    </row>
    <row r="32" spans="1:10" s="14" customFormat="1" ht="14.25" customHeight="1" x14ac:dyDescent="0.2">
      <c r="A32" s="2"/>
      <c r="B32" s="367" t="s">
        <v>144</v>
      </c>
      <c r="C32" s="367"/>
      <c r="D32" s="368"/>
      <c r="E32" s="369"/>
      <c r="F32" s="370"/>
      <c r="G32" s="370"/>
      <c r="H32" s="371"/>
      <c r="I32" s="208"/>
      <c r="J32" s="208"/>
    </row>
    <row r="33" spans="1:10" s="14" customFormat="1" ht="14.25" customHeight="1" x14ac:dyDescent="0.2">
      <c r="A33" s="280"/>
      <c r="B33" s="352" t="s">
        <v>222</v>
      </c>
      <c r="C33" s="352"/>
      <c r="D33" s="353"/>
      <c r="E33" s="354"/>
      <c r="F33" s="355"/>
      <c r="G33" s="355"/>
      <c r="H33" s="356"/>
      <c r="I33" s="235"/>
      <c r="J33" s="235"/>
    </row>
    <row r="34" spans="1:10" s="14" customFormat="1" ht="25.5" customHeight="1" x14ac:dyDescent="0.2">
      <c r="A34" s="229">
        <v>9</v>
      </c>
      <c r="B34" s="294" t="s">
        <v>145</v>
      </c>
      <c r="C34" s="295" t="s">
        <v>146</v>
      </c>
      <c r="D34" s="294" t="s">
        <v>147</v>
      </c>
      <c r="E34" s="296">
        <v>6.0000084103221203E-3</v>
      </c>
      <c r="F34" s="297">
        <v>15481</v>
      </c>
      <c r="G34" s="298">
        <f t="shared" ref="G34:G40" si="0">ROUND(E34*F34,2)</f>
        <v>92.89</v>
      </c>
      <c r="H34" s="299">
        <f t="shared" ref="H34:H52" si="1">G34/$G$52</f>
        <v>0.41466898799160756</v>
      </c>
      <c r="I34" s="212">
        <f>ROUND(F34*'Прил. 10'!$D$13,2)</f>
        <v>124467.24</v>
      </c>
      <c r="J34" s="212">
        <f t="shared" ref="J34:J40" si="2">ROUND(I34*E34,2)</f>
        <v>746.8</v>
      </c>
    </row>
    <row r="35" spans="1:10" s="14" customFormat="1" ht="38.25" customHeight="1" x14ac:dyDescent="0.2">
      <c r="A35" s="229">
        <v>10</v>
      </c>
      <c r="B35" s="294" t="s">
        <v>148</v>
      </c>
      <c r="C35" s="295" t="s">
        <v>149</v>
      </c>
      <c r="D35" s="294" t="s">
        <v>147</v>
      </c>
      <c r="E35" s="296">
        <v>4.0000598574894996E-4</v>
      </c>
      <c r="F35" s="297">
        <v>75162.289999999994</v>
      </c>
      <c r="G35" s="298">
        <f t="shared" si="0"/>
        <v>30.07</v>
      </c>
      <c r="H35" s="299">
        <f t="shared" si="1"/>
        <v>0.1342350787911254</v>
      </c>
      <c r="I35" s="212">
        <f>ROUND(F35*'Прил. 10'!$D$13,2)</f>
        <v>604304.81000000006</v>
      </c>
      <c r="J35" s="212">
        <f t="shared" si="2"/>
        <v>241.73</v>
      </c>
    </row>
    <row r="36" spans="1:10" s="14" customFormat="1" ht="14.25" customHeight="1" x14ac:dyDescent="0.2">
      <c r="A36" s="229">
        <v>11</v>
      </c>
      <c r="B36" s="229" t="s">
        <v>150</v>
      </c>
      <c r="C36" s="156" t="s">
        <v>151</v>
      </c>
      <c r="D36" s="229" t="s">
        <v>152</v>
      </c>
      <c r="E36" s="230">
        <v>0.15000182516046198</v>
      </c>
      <c r="F36" s="231">
        <v>155</v>
      </c>
      <c r="G36" s="220">
        <f t="shared" si="0"/>
        <v>23.25</v>
      </c>
      <c r="H36" s="223">
        <f t="shared" si="1"/>
        <v>0.10379000937458149</v>
      </c>
      <c r="I36" s="212">
        <f>ROUND(F36*'Прил. 10'!$D$13,2)</f>
        <v>1246.2</v>
      </c>
      <c r="J36" s="212">
        <f t="shared" si="2"/>
        <v>186.93</v>
      </c>
    </row>
    <row r="37" spans="1:10" s="14" customFormat="1" ht="14.25" customHeight="1" x14ac:dyDescent="0.2">
      <c r="A37" s="229">
        <v>12</v>
      </c>
      <c r="B37" s="229" t="s">
        <v>153</v>
      </c>
      <c r="C37" s="156" t="s">
        <v>154</v>
      </c>
      <c r="D37" s="229" t="s">
        <v>155</v>
      </c>
      <c r="E37" s="230">
        <v>0.10000121677364134</v>
      </c>
      <c r="F37" s="231">
        <v>203</v>
      </c>
      <c r="G37" s="220">
        <f t="shared" si="0"/>
        <v>20.3</v>
      </c>
      <c r="H37" s="223">
        <f t="shared" si="1"/>
        <v>9.0620954421677613E-2</v>
      </c>
      <c r="I37" s="212">
        <f>ROUND(F37*'Прил. 10'!$D$13,2)</f>
        <v>1632.12</v>
      </c>
      <c r="J37" s="212">
        <f t="shared" si="2"/>
        <v>163.21</v>
      </c>
    </row>
    <row r="38" spans="1:10" s="14" customFormat="1" ht="25.5" customHeight="1" x14ac:dyDescent="0.2">
      <c r="A38" s="229">
        <v>13</v>
      </c>
      <c r="B38" s="229" t="s">
        <v>156</v>
      </c>
      <c r="C38" s="156" t="s">
        <v>157</v>
      </c>
      <c r="D38" s="229" t="s">
        <v>147</v>
      </c>
      <c r="E38" s="230">
        <v>9.7018473833224931E-4</v>
      </c>
      <c r="F38" s="231">
        <v>12606</v>
      </c>
      <c r="G38" s="220">
        <f t="shared" si="0"/>
        <v>12.23</v>
      </c>
      <c r="H38" s="223">
        <f t="shared" si="1"/>
        <v>5.4595776974242227E-2</v>
      </c>
      <c r="I38" s="212">
        <f>ROUND(F38*'Прил. 10'!$D$13,2)</f>
        <v>101352.24</v>
      </c>
      <c r="J38" s="212">
        <f t="shared" si="2"/>
        <v>98.33</v>
      </c>
    </row>
    <row r="39" spans="1:10" s="14" customFormat="1" ht="25.5" customHeight="1" x14ac:dyDescent="0.2">
      <c r="A39" s="229">
        <v>14</v>
      </c>
      <c r="B39" s="229" t="s">
        <v>158</v>
      </c>
      <c r="C39" s="156" t="s">
        <v>159</v>
      </c>
      <c r="D39" s="229" t="s">
        <v>160</v>
      </c>
      <c r="E39" s="230">
        <v>10.700130194779623</v>
      </c>
      <c r="F39" s="231">
        <v>1</v>
      </c>
      <c r="G39" s="220">
        <f t="shared" si="0"/>
        <v>10.7</v>
      </c>
      <c r="H39" s="223">
        <f t="shared" si="1"/>
        <v>4.7765724744431054E-2</v>
      </c>
      <c r="I39" s="212">
        <f>ROUND(F39*'Прил. 10'!$D$13,2)</f>
        <v>8.0399999999999991</v>
      </c>
      <c r="J39" s="212">
        <f t="shared" si="2"/>
        <v>86.03</v>
      </c>
    </row>
    <row r="40" spans="1:10" s="14" customFormat="1" ht="38.25" customHeight="1" x14ac:dyDescent="0.2">
      <c r="A40" s="229">
        <v>15</v>
      </c>
      <c r="B40" s="229" t="s">
        <v>161</v>
      </c>
      <c r="C40" s="156" t="s">
        <v>162</v>
      </c>
      <c r="D40" s="229" t="s">
        <v>147</v>
      </c>
      <c r="E40" s="230">
        <v>2.8000980414401527E-4</v>
      </c>
      <c r="F40" s="231">
        <v>37517</v>
      </c>
      <c r="G40" s="220">
        <f t="shared" si="0"/>
        <v>10.51</v>
      </c>
      <c r="H40" s="223">
        <f t="shared" si="1"/>
        <v>4.6917548323735549E-2</v>
      </c>
      <c r="I40" s="212">
        <f>ROUND(F40*'Прил. 10'!$D$13,2)</f>
        <v>301636.68</v>
      </c>
      <c r="J40" s="212">
        <f t="shared" si="2"/>
        <v>84.46</v>
      </c>
    </row>
    <row r="41" spans="1:10" s="14" customFormat="1" ht="14.25" customHeight="1" x14ac:dyDescent="0.2">
      <c r="A41" s="236"/>
      <c r="B41" s="237"/>
      <c r="C41" s="238" t="s">
        <v>223</v>
      </c>
      <c r="D41" s="239"/>
      <c r="E41" s="240"/>
      <c r="F41" s="241"/>
      <c r="G41" s="242">
        <f>SUM(G34:G40)</f>
        <v>199.95</v>
      </c>
      <c r="H41" s="223">
        <f t="shared" si="1"/>
        <v>0.89259408062140078</v>
      </c>
      <c r="I41" s="212"/>
      <c r="J41" s="242">
        <f>SUM(J34:J40)</f>
        <v>1607.49</v>
      </c>
    </row>
    <row r="42" spans="1:10" s="14" customFormat="1" ht="14.25" customHeight="1" outlineLevel="1" x14ac:dyDescent="0.2">
      <c r="A42" s="229">
        <v>16</v>
      </c>
      <c r="B42" s="229" t="s">
        <v>163</v>
      </c>
      <c r="C42" s="156" t="s">
        <v>164</v>
      </c>
      <c r="D42" s="229" t="s">
        <v>147</v>
      </c>
      <c r="E42" s="230">
        <v>1.7997872876396282E-4</v>
      </c>
      <c r="F42" s="231">
        <v>42700.01</v>
      </c>
      <c r="G42" s="220">
        <f t="shared" ref="G42:G50" si="3">ROUND(E42*F42,2)</f>
        <v>7.69</v>
      </c>
      <c r="H42" s="223">
        <f t="shared" si="1"/>
        <v>3.4328824606044375E-2</v>
      </c>
      <c r="I42" s="212">
        <f>ROUND(F42*'Прил. 10'!$D$13,2)</f>
        <v>343308.08</v>
      </c>
      <c r="J42" s="212">
        <f t="shared" ref="J42:J50" si="4">ROUND(I42*E42,2)</f>
        <v>61.79</v>
      </c>
    </row>
    <row r="43" spans="1:10" s="14" customFormat="1" ht="25.5" customHeight="1" outlineLevel="1" x14ac:dyDescent="0.2">
      <c r="A43" s="229">
        <v>17</v>
      </c>
      <c r="B43" s="229" t="s">
        <v>165</v>
      </c>
      <c r="C43" s="156" t="s">
        <v>166</v>
      </c>
      <c r="D43" s="229" t="s">
        <v>147</v>
      </c>
      <c r="E43" s="230">
        <v>6.0016489317397239E-5</v>
      </c>
      <c r="F43" s="231">
        <v>114220</v>
      </c>
      <c r="G43" s="220">
        <f t="shared" si="3"/>
        <v>6.86</v>
      </c>
      <c r="H43" s="223">
        <f t="shared" si="1"/>
        <v>3.0623632873532435E-2</v>
      </c>
      <c r="I43" s="212">
        <f>ROUND(F43*'Прил. 10'!$D$13,2)</f>
        <v>918328.8</v>
      </c>
      <c r="J43" s="212">
        <f t="shared" si="4"/>
        <v>55.11</v>
      </c>
    </row>
    <row r="44" spans="1:10" s="14" customFormat="1" ht="14.25" customHeight="1" outlineLevel="1" x14ac:dyDescent="0.2">
      <c r="A44" s="229">
        <v>18</v>
      </c>
      <c r="B44" s="229" t="s">
        <v>167</v>
      </c>
      <c r="C44" s="156" t="s">
        <v>168</v>
      </c>
      <c r="D44" s="229" t="s">
        <v>152</v>
      </c>
      <c r="E44" s="230">
        <v>0.11995920795280395</v>
      </c>
      <c r="F44" s="231">
        <v>28.26</v>
      </c>
      <c r="G44" s="220">
        <f t="shared" si="3"/>
        <v>3.39</v>
      </c>
      <c r="H44" s="223">
        <f t="shared" si="1"/>
        <v>1.5133252979777689E-2</v>
      </c>
      <c r="I44" s="212">
        <f>ROUND(F44*'Прил. 10'!$D$13,2)</f>
        <v>227.21</v>
      </c>
      <c r="J44" s="212">
        <f t="shared" si="4"/>
        <v>27.26</v>
      </c>
    </row>
    <row r="45" spans="1:10" s="14" customFormat="1" ht="14.25" customHeight="1" outlineLevel="1" x14ac:dyDescent="0.2">
      <c r="A45" s="229">
        <v>19</v>
      </c>
      <c r="B45" s="229" t="s">
        <v>169</v>
      </c>
      <c r="C45" s="156" t="s">
        <v>170</v>
      </c>
      <c r="D45" s="229" t="s">
        <v>152</v>
      </c>
      <c r="E45" s="230">
        <v>1.8485385773384502E-2</v>
      </c>
      <c r="F45" s="231">
        <v>138.76</v>
      </c>
      <c r="G45" s="220">
        <f t="shared" si="3"/>
        <v>2.57</v>
      </c>
      <c r="H45" s="223">
        <f t="shared" si="1"/>
        <v>1.1472702111512878E-2</v>
      </c>
      <c r="I45" s="212">
        <f>ROUND(F45*'Прил. 10'!$D$13,2)</f>
        <v>1115.6300000000001</v>
      </c>
      <c r="J45" s="212">
        <f t="shared" si="4"/>
        <v>20.62</v>
      </c>
    </row>
    <row r="46" spans="1:10" s="14" customFormat="1" ht="38.25" customHeight="1" outlineLevel="1" x14ac:dyDescent="0.2">
      <c r="A46" s="229">
        <v>20</v>
      </c>
      <c r="B46" s="229" t="s">
        <v>171</v>
      </c>
      <c r="C46" s="156" t="s">
        <v>172</v>
      </c>
      <c r="D46" s="229" t="s">
        <v>173</v>
      </c>
      <c r="E46" s="230">
        <v>2.9984066341157E-3</v>
      </c>
      <c r="F46" s="231">
        <v>405.22</v>
      </c>
      <c r="G46" s="220">
        <f t="shared" si="3"/>
        <v>1.22</v>
      </c>
      <c r="H46" s="223">
        <f t="shared" si="1"/>
        <v>5.4461854381500823E-3</v>
      </c>
      <c r="I46" s="212">
        <f>ROUND(F46*'Прил. 10'!$D$13,2)</f>
        <v>3257.97</v>
      </c>
      <c r="J46" s="212">
        <f t="shared" si="4"/>
        <v>9.77</v>
      </c>
    </row>
    <row r="47" spans="1:10" s="14" customFormat="1" ht="25.5" customHeight="1" outlineLevel="1" x14ac:dyDescent="0.2">
      <c r="A47" s="229">
        <v>21</v>
      </c>
      <c r="B47" s="229" t="s">
        <v>174</v>
      </c>
      <c r="C47" s="156" t="s">
        <v>175</v>
      </c>
      <c r="D47" s="229" t="s">
        <v>152</v>
      </c>
      <c r="E47" s="230">
        <v>2.6012684228068895E-2</v>
      </c>
      <c r="F47" s="231">
        <v>39.020000000000003</v>
      </c>
      <c r="G47" s="220">
        <f t="shared" si="3"/>
        <v>1.02</v>
      </c>
      <c r="H47" s="223">
        <f t="shared" si="1"/>
        <v>4.5533681532074462E-3</v>
      </c>
      <c r="I47" s="212">
        <f>ROUND(F47*'Прил. 10'!$D$13,2)</f>
        <v>313.72000000000003</v>
      </c>
      <c r="J47" s="212">
        <f t="shared" si="4"/>
        <v>8.16</v>
      </c>
    </row>
    <row r="48" spans="1:10" s="14" customFormat="1" ht="25.5" customHeight="1" outlineLevel="1" x14ac:dyDescent="0.2">
      <c r="A48" s="229">
        <v>22</v>
      </c>
      <c r="B48" s="229" t="s">
        <v>176</v>
      </c>
      <c r="C48" s="156" t="s">
        <v>177</v>
      </c>
      <c r="D48" s="229" t="s">
        <v>152</v>
      </c>
      <c r="E48" s="230">
        <v>1.9953527457841309E-2</v>
      </c>
      <c r="F48" s="231">
        <v>38.340000000000003</v>
      </c>
      <c r="G48" s="220">
        <f t="shared" si="3"/>
        <v>0.77</v>
      </c>
      <c r="H48" s="223">
        <f t="shared" si="1"/>
        <v>3.4373465470291507E-3</v>
      </c>
      <c r="I48" s="212">
        <f>ROUND(F48*'Прил. 10'!$D$13,2)</f>
        <v>308.25</v>
      </c>
      <c r="J48" s="212">
        <f t="shared" si="4"/>
        <v>6.15</v>
      </c>
    </row>
    <row r="49" spans="1:10" s="14" customFormat="1" ht="25.5" customHeight="1" outlineLevel="1" x14ac:dyDescent="0.2">
      <c r="A49" s="229">
        <v>23</v>
      </c>
      <c r="B49" s="229" t="s">
        <v>178</v>
      </c>
      <c r="C49" s="156" t="s">
        <v>179</v>
      </c>
      <c r="D49" s="229" t="s">
        <v>147</v>
      </c>
      <c r="E49" s="230">
        <v>2.4087005244554311E-5</v>
      </c>
      <c r="F49" s="231">
        <v>22419</v>
      </c>
      <c r="G49" s="220">
        <f t="shared" si="3"/>
        <v>0.54</v>
      </c>
      <c r="H49" s="223">
        <f t="shared" si="1"/>
        <v>2.4106066693451189E-3</v>
      </c>
      <c r="I49" s="212">
        <f>ROUND(F49*'Прил. 10'!$D$13,2)</f>
        <v>180248.76</v>
      </c>
      <c r="J49" s="212">
        <f t="shared" si="4"/>
        <v>4.34</v>
      </c>
    </row>
    <row r="50" spans="1:10" s="14" customFormat="1" ht="14.25" customHeight="1" outlineLevel="1" x14ac:dyDescent="0.2">
      <c r="A50" s="229">
        <v>24</v>
      </c>
      <c r="B50" s="229" t="s">
        <v>180</v>
      </c>
      <c r="C50" s="156" t="s">
        <v>181</v>
      </c>
      <c r="D50" s="229" t="s">
        <v>147</v>
      </c>
      <c r="E50" s="230">
        <v>0.17499999999999999</v>
      </c>
      <c r="F50" s="231"/>
      <c r="G50" s="220">
        <f t="shared" si="3"/>
        <v>0</v>
      </c>
      <c r="H50" s="223">
        <f t="shared" si="1"/>
        <v>0</v>
      </c>
      <c r="I50" s="212">
        <f>ROUND(F50*'Прил. 10'!$D$13,2)</f>
        <v>0</v>
      </c>
      <c r="J50" s="212">
        <f t="shared" si="4"/>
        <v>0</v>
      </c>
    </row>
    <row r="51" spans="1:10" s="14" customFormat="1" ht="14.25" customHeight="1" x14ac:dyDescent="0.2">
      <c r="A51" s="2"/>
      <c r="B51" s="2"/>
      <c r="C51" s="9" t="s">
        <v>224</v>
      </c>
      <c r="D51" s="2"/>
      <c r="E51" s="282"/>
      <c r="F51" s="283"/>
      <c r="G51" s="34">
        <f>SUM(G42:G50)</f>
        <v>24.06</v>
      </c>
      <c r="H51" s="223">
        <f t="shared" si="1"/>
        <v>0.10740591937859917</v>
      </c>
      <c r="I51" s="34"/>
      <c r="J51" s="34">
        <f>SUM(J42:J50)</f>
        <v>193.20000000000002</v>
      </c>
    </row>
    <row r="52" spans="1:10" s="14" customFormat="1" ht="14.25" customHeight="1" x14ac:dyDescent="0.2">
      <c r="A52" s="2"/>
      <c r="B52" s="2"/>
      <c r="C52" s="281" t="s">
        <v>225</v>
      </c>
      <c r="D52" s="2"/>
      <c r="E52" s="282"/>
      <c r="F52" s="283"/>
      <c r="G52" s="34">
        <f>G41+G51</f>
        <v>224.01</v>
      </c>
      <c r="H52" s="284">
        <f t="shared" si="1"/>
        <v>1</v>
      </c>
      <c r="I52" s="34"/>
      <c r="J52" s="34">
        <f>J41+J51</f>
        <v>1800.69</v>
      </c>
    </row>
    <row r="53" spans="1:10" s="14" customFormat="1" ht="14.25" customHeight="1" x14ac:dyDescent="0.2">
      <c r="A53" s="2"/>
      <c r="B53" s="2"/>
      <c r="C53" s="9" t="s">
        <v>226</v>
      </c>
      <c r="D53" s="2"/>
      <c r="E53" s="282"/>
      <c r="F53" s="283"/>
      <c r="G53" s="34">
        <f>G15+G24+G52</f>
        <v>330.73</v>
      </c>
      <c r="H53" s="284"/>
      <c r="I53" s="34"/>
      <c r="J53" s="34">
        <f>J15+J24+J52</f>
        <v>4520.1000000000004</v>
      </c>
    </row>
    <row r="54" spans="1:10" s="14" customFormat="1" ht="14.25" customHeight="1" x14ac:dyDescent="0.2">
      <c r="A54" s="2"/>
      <c r="B54" s="2"/>
      <c r="C54" s="9" t="s">
        <v>227</v>
      </c>
      <c r="D54" s="243">
        <f>ROUND(G54/(G$17+$G$15),2)</f>
        <v>16.5</v>
      </c>
      <c r="E54" s="282"/>
      <c r="F54" s="283"/>
      <c r="G54" s="34">
        <v>1029.8699999999999</v>
      </c>
      <c r="H54" s="284"/>
      <c r="I54" s="34"/>
      <c r="J54" s="212">
        <f>ROUND(D54*(J15+J17),2)</f>
        <v>46862.48</v>
      </c>
    </row>
    <row r="55" spans="1:10" s="14" customFormat="1" ht="14.25" customHeight="1" x14ac:dyDescent="0.2">
      <c r="A55" s="2"/>
      <c r="B55" s="2"/>
      <c r="C55" s="9" t="s">
        <v>228</v>
      </c>
      <c r="D55" s="243">
        <f>ROUND(G55/(G$15+G$17),2)</f>
        <v>9.1199999999999992</v>
      </c>
      <c r="E55" s="282"/>
      <c r="F55" s="283"/>
      <c r="G55" s="34">
        <v>569.17999999999995</v>
      </c>
      <c r="H55" s="284"/>
      <c r="I55" s="34"/>
      <c r="J55" s="212">
        <f>ROUND(D55*(J15+J17),2)</f>
        <v>25902.17</v>
      </c>
    </row>
    <row r="56" spans="1:10" s="14" customFormat="1" ht="14.25" customHeight="1" x14ac:dyDescent="0.2">
      <c r="A56" s="2"/>
      <c r="B56" s="2"/>
      <c r="C56" s="9" t="s">
        <v>229</v>
      </c>
      <c r="D56" s="2"/>
      <c r="E56" s="282"/>
      <c r="F56" s="283"/>
      <c r="G56" s="34">
        <f>G15+G24+G52+G54+G55</f>
        <v>1929.7799999999997</v>
      </c>
      <c r="H56" s="284"/>
      <c r="I56" s="34"/>
      <c r="J56" s="34">
        <f>J15+J24+J52+J54+J55</f>
        <v>77284.75</v>
      </c>
    </row>
    <row r="57" spans="1:10" s="14" customFormat="1" ht="14.25" customHeight="1" x14ac:dyDescent="0.2">
      <c r="A57" s="2"/>
      <c r="B57" s="2"/>
      <c r="C57" s="9" t="s">
        <v>230</v>
      </c>
      <c r="D57" s="2"/>
      <c r="E57" s="282"/>
      <c r="F57" s="283"/>
      <c r="G57" s="34">
        <f>G56+G30</f>
        <v>45188.57</v>
      </c>
      <c r="H57" s="284"/>
      <c r="I57" s="34"/>
      <c r="J57" s="34">
        <f>J56+J30</f>
        <v>348084.75</v>
      </c>
    </row>
    <row r="58" spans="1:10" s="14" customFormat="1" ht="34.5" customHeight="1" x14ac:dyDescent="0.2">
      <c r="A58" s="2"/>
      <c r="B58" s="2"/>
      <c r="C58" s="9" t="s">
        <v>102</v>
      </c>
      <c r="D58" s="2" t="s">
        <v>397</v>
      </c>
      <c r="E58" s="290">
        <v>1</v>
      </c>
      <c r="F58" s="283"/>
      <c r="G58" s="34">
        <f>G57/E58</f>
        <v>45188.57</v>
      </c>
      <c r="H58" s="284"/>
      <c r="I58" s="34"/>
      <c r="J58" s="34">
        <f>J57/E58</f>
        <v>348084.75</v>
      </c>
    </row>
    <row r="60" spans="1:10" s="14" customFormat="1" ht="14.25" customHeight="1" x14ac:dyDescent="0.2">
      <c r="A60" s="4" t="s">
        <v>231</v>
      </c>
    </row>
    <row r="61" spans="1:10" s="14" customFormat="1" ht="14.25" customHeight="1" x14ac:dyDescent="0.2">
      <c r="A61" s="244" t="s">
        <v>68</v>
      </c>
    </row>
    <row r="62" spans="1:10" s="14" customFormat="1" ht="14.25" customHeight="1" x14ac:dyDescent="0.2">
      <c r="A62" s="4"/>
    </row>
    <row r="63" spans="1:10" s="14" customFormat="1" ht="14.25" customHeight="1" x14ac:dyDescent="0.2">
      <c r="A63" s="4" t="s">
        <v>232</v>
      </c>
    </row>
    <row r="64" spans="1:10" s="14" customFormat="1" ht="14.25" customHeight="1" x14ac:dyDescent="0.2">
      <c r="A64" s="244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3:H33"/>
    <mergeCell ref="B13:H13"/>
    <mergeCell ref="B16:H16"/>
    <mergeCell ref="B18:H18"/>
    <mergeCell ref="B19:H19"/>
    <mergeCell ref="B26:H26"/>
    <mergeCell ref="B25:H25"/>
    <mergeCell ref="B32:H32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2023-10-08T10:43:38Z</dcterms:modified>
  <cp:category/>
</cp:coreProperties>
</file>