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C60475C1-5772-4F58-8EF1-732C65728145}" xr6:coauthVersionLast="40" xr6:coauthVersionMax="40" xr10:uidLastSave="{00000000-0000-0000-0000-000000000000}"/>
  <bookViews>
    <workbookView xWindow="0" yWindow="0" windowWidth="28800" windowHeight="12225" tabRatio="924" firstSheet="3" activeTab="3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IF('Прил.7 Расчет пок.'!n_3=1,'Прил.7 Расчет пок.'!n_2,'Прил.7 Расчет пок.'!n_3&amp;'Прил.7 Расчет пок.'!n_1)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IF('Прил.7 Расчет пок.'!n_3=1,'Прил.7 Расчет пок.'!n_2,'Прил.7 Расчет пок.'!n_3&amp;'Прил.7 Расчет пок.'!n_5)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табл'!$A$1:$D$32</definedName>
    <definedName name="_xlnm.Print_Area" localSheetId="4">'Прил.2 Расч стоим'!$A$1:$J$22</definedName>
    <definedName name="_xlnm.Print_Area" localSheetId="5">Прил.3!$A$1:$H$47</definedName>
    <definedName name="_xlnm.Print_Area" localSheetId="6">'Прил.4 РМ'!$A$1:$E$48</definedName>
    <definedName name="_xlnm.Print_Area" localSheetId="7">'Прил.5 Расчет СМР и ОБ'!$A$1:$J$65</definedName>
    <definedName name="_xlnm.Print_Area" localSheetId="8">'Прил.6 Расчет ОБ'!$A$1:$G$20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F12" i="9"/>
  <c r="G12" i="9" s="1"/>
  <c r="G13" i="9" s="1"/>
  <c r="E12" i="9"/>
  <c r="D12" i="9"/>
  <c r="C12" i="9"/>
  <c r="B12" i="9"/>
  <c r="G50" i="8"/>
  <c r="J49" i="8"/>
  <c r="I49" i="8"/>
  <c r="G49" i="8"/>
  <c r="J48" i="8"/>
  <c r="I48" i="8"/>
  <c r="G48" i="8"/>
  <c r="J47" i="8"/>
  <c r="I47" i="8"/>
  <c r="G47" i="8"/>
  <c r="J46" i="8"/>
  <c r="I46" i="8"/>
  <c r="G46" i="8"/>
  <c r="J45" i="8"/>
  <c r="I45" i="8"/>
  <c r="G45" i="8"/>
  <c r="J44" i="8"/>
  <c r="I44" i="8"/>
  <c r="G44" i="8"/>
  <c r="J43" i="8"/>
  <c r="I43" i="8"/>
  <c r="G43" i="8"/>
  <c r="J42" i="8"/>
  <c r="I42" i="8"/>
  <c r="G42" i="8"/>
  <c r="J41" i="8"/>
  <c r="J50" i="8" s="1"/>
  <c r="C17" i="7" s="1"/>
  <c r="I41" i="8"/>
  <c r="G41" i="8"/>
  <c r="G40" i="8"/>
  <c r="G51" i="8" s="1"/>
  <c r="J39" i="8"/>
  <c r="I39" i="8"/>
  <c r="G39" i="8"/>
  <c r="J38" i="8"/>
  <c r="I38" i="8"/>
  <c r="G38" i="8"/>
  <c r="J37" i="8"/>
  <c r="I37" i="8"/>
  <c r="G37" i="8"/>
  <c r="J36" i="8"/>
  <c r="I36" i="8"/>
  <c r="G36" i="8"/>
  <c r="J35" i="8"/>
  <c r="I35" i="8"/>
  <c r="G35" i="8"/>
  <c r="J34" i="8"/>
  <c r="J40" i="8" s="1"/>
  <c r="I34" i="8"/>
  <c r="G34" i="8"/>
  <c r="J33" i="8"/>
  <c r="I33" i="8"/>
  <c r="G33" i="8"/>
  <c r="J29" i="8"/>
  <c r="J27" i="8"/>
  <c r="J26" i="8"/>
  <c r="G26" i="8"/>
  <c r="G27" i="8" s="1"/>
  <c r="F26" i="8"/>
  <c r="G23" i="8"/>
  <c r="J22" i="8"/>
  <c r="J23" i="8" s="1"/>
  <c r="H22" i="8"/>
  <c r="G22" i="8"/>
  <c r="J21" i="8"/>
  <c r="I21" i="8"/>
  <c r="H21" i="8"/>
  <c r="G21" i="8"/>
  <c r="J20" i="8"/>
  <c r="C12" i="7" s="1"/>
  <c r="H20" i="8"/>
  <c r="G20" i="8"/>
  <c r="J19" i="8"/>
  <c r="I19" i="8"/>
  <c r="H19" i="8"/>
  <c r="G19" i="8"/>
  <c r="G16" i="8"/>
  <c r="E16" i="8"/>
  <c r="E14" i="8"/>
  <c r="J13" i="8"/>
  <c r="J14" i="8" s="1"/>
  <c r="I13" i="8"/>
  <c r="G13" i="8"/>
  <c r="G14" i="8" s="1"/>
  <c r="C25" i="7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5" i="6"/>
  <c r="F15" i="6"/>
  <c r="H14" i="6"/>
  <c r="H13" i="6"/>
  <c r="H12" i="6"/>
  <c r="F12" i="6"/>
  <c r="J14" i="5"/>
  <c r="H14" i="5"/>
  <c r="F14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C11" i="7" l="1"/>
  <c r="H27" i="8"/>
  <c r="G29" i="8"/>
  <c r="H49" i="8"/>
  <c r="H46" i="8"/>
  <c r="H43" i="8"/>
  <c r="H34" i="8"/>
  <c r="H38" i="8"/>
  <c r="H35" i="8"/>
  <c r="H51" i="8"/>
  <c r="H47" i="8"/>
  <c r="H44" i="8"/>
  <c r="H41" i="8"/>
  <c r="H37" i="8"/>
  <c r="H39" i="8"/>
  <c r="H36" i="8"/>
  <c r="H33" i="8"/>
  <c r="H48" i="8"/>
  <c r="H45" i="8"/>
  <c r="H42" i="8"/>
  <c r="H40" i="8"/>
  <c r="J51" i="8"/>
  <c r="J52" i="8" s="1"/>
  <c r="C16" i="7"/>
  <c r="C18" i="7" s="1"/>
  <c r="C19" i="7" s="1"/>
  <c r="G30" i="8"/>
  <c r="J30" i="8" s="1"/>
  <c r="C26" i="7" s="1"/>
  <c r="G14" i="9"/>
  <c r="H50" i="8"/>
  <c r="C13" i="7"/>
  <c r="C14" i="7" s="1"/>
  <c r="H13" i="8"/>
  <c r="D54" i="8"/>
  <c r="G55" i="8"/>
  <c r="G56" i="8" s="1"/>
  <c r="G57" i="8" s="1"/>
  <c r="G52" i="8"/>
  <c r="D53" i="8"/>
  <c r="F16" i="8"/>
  <c r="I16" i="8" s="1"/>
  <c r="J16" i="8" s="1"/>
  <c r="C15" i="7" s="1"/>
  <c r="H26" i="8" l="1"/>
  <c r="H28" i="8"/>
  <c r="H29" i="8"/>
  <c r="J53" i="8"/>
  <c r="C23" i="7"/>
  <c r="C22" i="7" s="1"/>
  <c r="C21" i="7"/>
  <c r="C20" i="7" s="1"/>
  <c r="J54" i="8"/>
  <c r="C24" i="7" l="1"/>
  <c r="D20" i="7"/>
  <c r="D22" i="7"/>
  <c r="J55" i="8"/>
  <c r="J56" i="8" s="1"/>
  <c r="J57" i="8" s="1"/>
  <c r="C27" i="7" l="1"/>
  <c r="D24" i="7"/>
  <c r="D18" i="7"/>
  <c r="D16" i="7"/>
  <c r="D14" i="7"/>
  <c r="D12" i="7"/>
  <c r="D17" i="7"/>
  <c r="D13" i="7"/>
  <c r="D11" i="7"/>
  <c r="C29" i="7"/>
  <c r="D15" i="7"/>
  <c r="C30" i="7" l="1"/>
  <c r="C37" i="7"/>
  <c r="C36" i="7"/>
  <c r="C38" i="7" l="1"/>
  <c r="C39" i="7"/>
  <c r="C40" i="7" l="1"/>
  <c r="E39" i="7"/>
  <c r="E32" i="7" l="1"/>
  <c r="E18" i="7"/>
  <c r="E16" i="7"/>
  <c r="E14" i="7"/>
  <c r="E12" i="7"/>
  <c r="E31" i="7"/>
  <c r="E13" i="7"/>
  <c r="E33" i="7"/>
  <c r="E26" i="7"/>
  <c r="E11" i="7"/>
  <c r="E40" i="7"/>
  <c r="E35" i="7"/>
  <c r="E17" i="7"/>
  <c r="C41" i="7"/>
  <c r="D11" i="10" s="1"/>
  <c r="E34" i="7"/>
  <c r="E25" i="7"/>
  <c r="E15" i="7"/>
  <c r="E20" i="7"/>
  <c r="E22" i="7"/>
  <c r="E24" i="7"/>
  <c r="E27" i="7"/>
  <c r="E29" i="7"/>
  <c r="E30" i="7"/>
  <c r="E38" i="7"/>
  <c r="E36" i="7"/>
  <c r="E3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<sst xmlns="http://schemas.openxmlformats.org/spreadsheetml/2006/main" count="634" uniqueCount="407">
  <si>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</si>
  <si>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</si>
  <si>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</si>
  <si>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</si>
  <si>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</si>
  <si>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</si>
  <si>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</si>
  <si>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</si>
  <si>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</si>
  <si>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</si>
  <si>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</si>
  <si>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</si>
  <si>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</si>
  <si>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</si>
  <si>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</si>
  <si>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</si>
  <si>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</si>
  <si>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</si>
  <si>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</si>
  <si>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</si>
  <si>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</si>
  <si>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</si>
  <si>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</si>
  <si>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</si>
  <si>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</si>
  <si>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</si>
  <si>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</si>
  <si>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</si>
  <si>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</si>
  <si>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</si>
  <si>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</si>
  <si>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</si>
  <si>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</si>
  <si>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</si>
  <si>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</si>
  <si>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</si>
  <si>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</si>
  <si>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</si>
  <si>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</si>
  <si>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</si>
  <si>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</si>
  <si>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</si>
  <si>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</si>
  <si>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</si>
  <si>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</si>
  <si>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</si>
  <si>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</si>
  <si>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ПС, АРМ ПС 220 кВ</t>
  </si>
  <si>
    <t>Сопоставимый уровень цен: 3 квартал 2021г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</si>
  <si>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</si>
  <si>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</si>
  <si>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</si>
  <si>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</si>
  <si>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220 кВ Степная</t>
  </si>
  <si>
    <t>Наименование субъекта Российской Федерации</t>
  </si>
  <si>
    <t>Республика Хакасия</t>
  </si>
  <si>
    <t>Климатический район и подрайон</t>
  </si>
  <si>
    <t>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</si>
  <si>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</si>
  <si>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</si>
  <si>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АРМ - 2 шт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</si>
  <si>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</si>
  <si>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</si>
  <si>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</si>
  <si>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</si>
  <si>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</si>
  <si>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</si>
  <si>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</si>
  <si>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</si>
  <si>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</si>
  <si>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</si>
  <si>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квартал 2021г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</si>
  <si>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</si>
  <si>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</si>
  <si>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</si>
  <si>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</si>
  <si>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</si>
  <si>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</si>
  <si>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</si>
  <si>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</si>
  <si>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</si>
  <si>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—  Постоянная часть ПС, АРМ ПС 220 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</si>
  <si>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</si>
  <si>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</si>
  <si>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</si>
  <si>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3 кв. 2021 г., тыс. руб.</t>
  </si>
  <si>
    <t>Строительные работы</t>
  </si>
  <si>
    <t>Монтажные работы</t>
  </si>
  <si>
    <t>Прочее</t>
  </si>
  <si>
    <t>Всего</t>
  </si>
  <si>
    <t>АРМ ПС 220 кВ</t>
  </si>
  <si>
    <t>Всего по объекту:</t>
  </si>
  <si>
    <t>Всего по объекту в сопоставимом уровне цен 3 кв. 2021 г: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</si>
  <si>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</si>
  <si>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</si>
  <si>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ПС, АРМ ПС 220 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</si>
  <si>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</si>
  <si>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</si>
  <si>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</si>
  <si>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</si>
  <si>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</si>
  <si>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</si>
  <si>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</si>
  <si>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</si>
  <si>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</si>
  <si>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</si>
  <si>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</si>
  <si>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</si>
  <si>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1-4-0</t>
  </si>
  <si>
    <t>Затраты труда рабочих (ср 4)</t>
  </si>
  <si>
    <t>чел.-ч</t>
  </si>
  <si>
    <t>1-3-0</t>
  </si>
  <si>
    <t>Затраты труда рабочих (ср 3)</t>
  </si>
  <si>
    <t>Затраты труда машинистов</t>
  </si>
  <si>
    <t>Машины и механизмы</t>
  </si>
  <si>
    <t>91.14.02-001</t>
  </si>
  <si>
    <t>Автомобили бортовые, грузоподъемность до 5 т</t>
  </si>
  <si>
    <t>маш.час</t>
  </si>
  <si>
    <t>91.06.05-011</t>
  </si>
  <si>
    <t>Погрузчики, грузоподъемность 5 т</t>
  </si>
  <si>
    <t>Прайс из СД ОП</t>
  </si>
  <si>
    <t>Рабочая станция HP T4K63EA Z840 / Win10p64DowngradeWin764 / 16GB DDR4-2400 (2x8GB) / 1TB 7200 / E5-2620v4 2.1 2133 / 3yw / SuperMultiODD / USBBusinessSlimkbd / USBmouse / MCR / T7T60AA NVIDIA Quadro M2000 4GB Graphics   HP Z840</t>
  </si>
  <si>
    <t>шт</t>
  </si>
  <si>
    <t>Материалы</t>
  </si>
  <si>
    <t>14.3.02.01-0219</t>
  </si>
  <si>
    <t>Краска универсальная, акриловая для внутренних и наружных работ</t>
  </si>
  <si>
    <t>т</t>
  </si>
  <si>
    <t>21.2.02.01-0023</t>
  </si>
  <si>
    <t>Провод неизолированный медный гибкий для электрических установок и антенн, марка МГ, сечение 4 мм2</t>
  </si>
  <si>
    <t>01.7.20.04-0003</t>
  </si>
  <si>
    <t>Нитки суровые</t>
  </si>
  <si>
    <t>кг</t>
  </si>
  <si>
    <t>20.2.10.03-0020</t>
  </si>
  <si>
    <t>Наконечники кабельные П2.5-4Д-МУ3</t>
  </si>
  <si>
    <t>100 шт</t>
  </si>
  <si>
    <t>01.7.15.02-0084</t>
  </si>
  <si>
    <t>Болты с шестигранной головкой, диаметр 12 (14) мм</t>
  </si>
  <si>
    <t>999-9950</t>
  </si>
  <si>
    <t>Вспомогательные ненормируемые ресурсы (2% от Оплаты труда рабочих)</t>
  </si>
  <si>
    <t>руб</t>
  </si>
  <si>
    <t>10.2.02.08-0001</t>
  </si>
  <si>
    <t>Проволока медная, круглая, мягкая, электротехническая, диаметр 1,0-3,0 мм и выше</t>
  </si>
  <si>
    <t>14.4.03.02-0011</t>
  </si>
  <si>
    <t>Лак бакелитовый ЛБС-1, ЛБС-2</t>
  </si>
  <si>
    <t>10.3.02.03-0013</t>
  </si>
  <si>
    <t>Припои оловянно-свинцовые бессурьмянистые, марка ПОС61</t>
  </si>
  <si>
    <t>01.7.19.07-0003</t>
  </si>
  <si>
    <t>Резина прессованная</t>
  </si>
  <si>
    <t>01.7.11.06-0028</t>
  </si>
  <si>
    <t>Флюс ФКДТ</t>
  </si>
  <si>
    <t>01.7.05.03-0006</t>
  </si>
  <si>
    <t>Лакоткани стеклянные ЛСК-155/180, ширина 690, 790, 890, 940, 990, 1060, 1140 мм, толщина 0,08 мм</t>
  </si>
  <si>
    <t>10 м2</t>
  </si>
  <si>
    <t>01.7.06.03-0023</t>
  </si>
  <si>
    <t>Лента полиэтиленовая с липким слоем, марка А</t>
  </si>
  <si>
    <t>24.3.01.01-0004</t>
  </si>
  <si>
    <t>Трубка электроизоляционная ПВХ-305, диаметр 6-10 мм</t>
  </si>
  <si>
    <t>01.7.07.03-0007</t>
  </si>
  <si>
    <t>Воск полиэтиленовый неокисленный ПВ-25, ПВ-100, ПВ-200, ПВ-300, ПВ-500</t>
  </si>
  <si>
    <t>999-0005</t>
  </si>
  <si>
    <t>Масса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</si>
  <si>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</si>
  <si>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</si>
  <si>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</si>
  <si>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</si>
  <si>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</si>
  <si>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</si>
  <si>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</si>
  <si>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</si>
  <si>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</si>
  <si>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</si>
  <si>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</si>
  <si>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</si>
  <si>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</si>
  <si>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</si>
  <si>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</si>
  <si>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</si>
  <si>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</si>
  <si>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</si>
  <si>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</si>
  <si>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</si>
  <si>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</si>
  <si>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</si>
  <si>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</si>
  <si>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</si>
  <si>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</si>
  <si>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</si>
  <si>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</si>
  <si>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</si>
  <si>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</si>
  <si>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</si>
  <si>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</si>
  <si>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</si>
  <si>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</si>
  <si>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</si>
  <si>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</si>
  <si>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</si>
  <si>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</si>
  <si>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</si>
  <si>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</si>
  <si>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</si>
  <si>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</si>
  <si>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</si>
  <si>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</si>
  <si>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</si>
  <si>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АРМ ПС 220 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</si>
  <si>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</si>
  <si>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</si>
  <si>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</si>
  <si>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</si>
  <si>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</si>
  <si>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1-3-9</t>
  </si>
  <si>
    <t>Затраты труда рабочих-строителей среднего разряда (3,9)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</si>
  <si>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</si>
  <si>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</si>
  <si>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</si>
  <si>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</si>
  <si>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</si>
  <si>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</si>
  <si>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</si>
  <si>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БЦ.54.24</t>
  </si>
  <si>
    <t>АРМ персонала комплекса систем безопасности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</si>
  <si>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</si>
  <si>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</si>
  <si>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</si>
  <si>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</si>
  <si>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</si>
  <si>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</si>
  <si>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</si>
  <si>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</si>
  <si>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</si>
  <si>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</si>
  <si>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</si>
  <si>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</si>
  <si>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</si>
  <si>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</si>
  <si>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</si>
  <si>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</si>
  <si>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</si>
  <si>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</si>
  <si>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</si>
  <si>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</si>
  <si>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</si>
  <si>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</si>
  <si>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</si>
  <si>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</si>
  <si>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</si>
  <si>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</si>
  <si>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Единица измерения  — ПС</t>
  </si>
  <si>
    <t>Наименование РМ, входящих в состав показателя</t>
  </si>
  <si>
    <t>Норматив цены на 01.01.2023, тыс.руб.</t>
  </si>
  <si>
    <t>З1-03</t>
  </si>
  <si>
    <t>УНЦ постоянной части ПС 220 кВ</t>
  </si>
  <si>
    <t>З1_ПС_АРМ_220_кВ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</si>
  <si>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</si>
  <si>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</si>
  <si>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</si>
  <si>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</si>
  <si>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</si>
  <si>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</si>
  <si>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</si>
  <si>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</si>
  <si>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</si>
  <si>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</si>
  <si>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</si>
  <si>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</si>
  <si>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</si>
  <si>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</si>
  <si>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</si>
  <si>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</si>
  <si>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</si>
  <si>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</si>
  <si>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</si>
  <si>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</si>
  <si>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</si>
  <si>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</si>
  <si>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</si>
  <si>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</si>
  <si>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</si>
  <si>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</si>
  <si>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</si>
  <si>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</si>
  <si>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</si>
  <si>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</si>
  <si>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</si>
  <si>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</si>
  <si>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</si>
  <si>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</si>
  <si>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</si>
  <si>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</si>
  <si>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</si>
  <si>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</si>
  <si>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</si>
  <si>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</si>
  <si>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</si>
  <si>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</si>
  <si>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</si>
  <si>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</si>
  <si>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</si>
  <si>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</si>
  <si>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</si>
  <si>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</si>
  <si>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</si>
  <si>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</si>
  <si>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</si>
  <si>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</si>
  <si>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</si>
  <si>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</si>
  <si>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</si>
  <si>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</si>
  <si>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</si>
  <si>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</si>
  <si>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</si>
  <si>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</si>
  <si>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</si>
  <si>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</si>
  <si>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</si>
  <si>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</si>
  <si>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</si>
  <si>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</si>
  <si>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</si>
  <si>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</si>
  <si>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</si>
  <si>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</si>
  <si>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</si>
  <si>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</si>
  <si>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</si>
  <si>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</si>
  <si>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</si>
  <si>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</si>
  <si>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</si>
  <si>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</si>
  <si>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</si>
  <si>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</si>
  <si>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</si>
  <si>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</si>
  <si>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</si>
  <si>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</si>
  <si>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</si>
  <si>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</si>
  <si>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</si>
  <si>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</si>
  <si>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</si>
  <si>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</si>
  <si>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</si>
  <si>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</si>
  <si>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</si>
  <si>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</si>
  <si>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</si>
  <si>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</si>
  <si>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</si>
  <si>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</si>
  <si>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</si>
  <si>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</si>
  <si>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</si>
  <si>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</si>
  <si>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</si>
  <si>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</si>
  <si>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</si>
  <si>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</si>
  <si>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</si>
  <si>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</si>
  <si>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</si>
  <si>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</si>
  <si>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</si>
  <si>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</si>
  <si>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</si>
  <si>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</si>
  <si>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</si>
  <si>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</si>
  <si>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</si>
  <si>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</si>
  <si>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</si>
  <si>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</si>
  <si>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</si>
  <si>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</si>
  <si>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</si>
  <si>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</si>
  <si>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</si>
  <si>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</si>
  <si>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</si>
  <si>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</si>
  <si>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</si>
  <si>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</si>
  <si>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</si>
  <si>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</si>
  <si>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</si>
  <si>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</si>
  <si>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</si>
  <si>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</si>
  <si>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</si>
  <si>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</si>
  <si>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</si>
  <si>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</si>
  <si>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</si>
  <si>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</si>
  <si>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</si>
  <si>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</si>
  <si>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</si>
  <si>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</si>
  <si>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</si>
  <si>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</si>
  <si>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</si>
  <si>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</si>
  <si>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</si>
  <si>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</si>
  <si>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Составил ______________________     Д.Ю. Нефедова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</si>
</sst>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00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00FF99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4" fillId="0" borderId="0" xfId="0" applyNumberFormat="1" applyFont="1"/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vertical="center"/>
    </xf>
    <xf numFmtId="10" fontId="16" fillId="0" borderId="0" xfId="0" applyNumberFormat="1" applyFont="1"/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7" fillId="0" borderId="0" xfId="0" applyFont="1"/>
    <xf numFmtId="0" fontId="16" fillId="0" borderId="2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8" fillId="0" borderId="0" xfId="0" applyFont="1"/>
    <xf numFmtId="49" fontId="16" fillId="0" borderId="1" xfId="0" applyNumberFormat="1" applyFont="1" applyBorder="1" applyAlignment="1">
      <alignment horizontal="left" vertical="center" wrapText="1"/>
    </xf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9" fillId="0" borderId="1" xfId="0" applyNumberFormat="1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vertical="top"/>
    </xf>
    <xf numFmtId="0" fontId="19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4" fontId="16" fillId="0" borderId="1" xfId="0" applyNumberFormat="1" applyFont="1" applyBorder="1" applyAlignment="1">
      <alignment vertical="top"/>
    </xf>
    <xf numFmtId="4" fontId="0" fillId="0" borderId="0" xfId="0" applyNumberFormat="1"/>
    <xf numFmtId="10" fontId="0" fillId="0" borderId="0" xfId="0" applyNumberFormat="1"/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21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justify" vertical="center"/>
    </xf>
    <xf numFmtId="49" fontId="16" fillId="0" borderId="0" xfId="0" applyNumberFormat="1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" fontId="16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6" fillId="0" borderId="5" xfId="0" applyFont="1" applyBorder="1" applyAlignment="1">
      <alignment horizontal="center" vertical="center"/>
    </xf>
    <xf numFmtId="0" fontId="19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170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167" fontId="1" fillId="4" borderId="1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right" vertical="center" wrapText="1"/>
    </xf>
    <xf numFmtId="4" fontId="1" fillId="4" borderId="1" xfId="0" applyNumberFormat="1" applyFont="1" applyFill="1" applyBorder="1" applyAlignment="1">
      <alignment horizontal="right" vertical="center" wrapText="1"/>
    </xf>
    <xf numFmtId="10" fontId="1" fillId="4" borderId="1" xfId="0" applyNumberFormat="1" applyFont="1" applyFill="1" applyBorder="1" applyAlignment="1">
      <alignment horizontal="right" vertical="center" wrapText="1"/>
    </xf>
    <xf numFmtId="166" fontId="1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10" fontId="1" fillId="4" borderId="2" xfId="0" applyNumberFormat="1" applyFont="1" applyFill="1" applyBorder="1" applyAlignment="1">
      <alignment horizontal="right"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10" fontId="1" fillId="4" borderId="1" xfId="0" applyNumberFormat="1" applyFont="1" applyFill="1" applyBorder="1" applyAlignment="1">
      <alignment vertical="center"/>
    </xf>
    <xf numFmtId="4" fontId="16" fillId="0" borderId="0" xfId="0" applyNumberFormat="1" applyFont="1" applyAlignment="1">
      <alignment horizontal="left" vertical="center" wrapText="1"/>
    </xf>
    <xf numFmtId="4" fontId="16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/>
    </xf>
    <xf numFmtId="0" fontId="19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 wrapText="1"/>
    </xf>
    <xf numFmtId="2" fontId="19" fillId="0" borderId="7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right" vertical="center" wrapText="1"/>
    </xf>
    <xf numFmtId="10" fontId="1" fillId="4" borderId="6" xfId="0" applyNumberFormat="1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right" vertical="center" wrapText="1"/>
    </xf>
    <xf numFmtId="10" fontId="2" fillId="4" borderId="2" xfId="0" applyNumberFormat="1" applyFont="1" applyFill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332113</xdr:colOff>
      <xdr:row>28</xdr:row>
      <xdr:rowOff>68943</xdr:rowOff>
    </xdr:from>
    <xdr:to>
      <xdr:col>2</xdr:col>
      <xdr:colOff>1379864</xdr:colOff>
      <xdr:row>31</xdr:row>
      <xdr:rowOff>37955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89AC984-D5BC-4F14-ABEB-03F2335E7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1313" y="13689693"/>
          <a:ext cx="1047751" cy="569087"/>
        </a:xfrm>
        <a:prstGeom prst="rect">
          <a:avLst/>
        </a:prstGeom>
      </xdr:spPr>
    </xdr:pic>
    <xdr:clientData/>
  </xdr:twoCellAnchor>
  <xdr:twoCellAnchor editAs="oneCell">
    <xdr:from>
      <xdr:col>2</xdr:col>
      <xdr:colOff>307975</xdr:colOff>
      <xdr:row>26</xdr:row>
      <xdr:rowOff>406400</xdr:rowOff>
    </xdr:from>
    <xdr:to>
      <xdr:col>2</xdr:col>
      <xdr:colOff>1589414</xdr:colOff>
      <xdr:row>28</xdr:row>
      <xdr:rowOff>59418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1DE0A3C-C628-48FC-8198-844AA13C7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7175" y="13350875"/>
          <a:ext cx="1281439" cy="3292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425549</xdr:colOff>
      <xdr:row>18</xdr:row>
      <xdr:rowOff>41729</xdr:rowOff>
    </xdr:from>
    <xdr:to>
      <xdr:col>2</xdr:col>
      <xdr:colOff>1473300</xdr:colOff>
      <xdr:row>21</xdr:row>
      <xdr:rowOff>10740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D5008F3-C3AF-4668-A2AE-6642386A9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5263" y="4464050"/>
          <a:ext cx="1047751" cy="581333"/>
        </a:xfrm>
        <a:prstGeom prst="rect">
          <a:avLst/>
        </a:prstGeom>
      </xdr:spPr>
    </xdr:pic>
    <xdr:clientData/>
  </xdr:twoCellAnchor>
  <xdr:twoCellAnchor editAs="oneCell">
    <xdr:from>
      <xdr:col>2</xdr:col>
      <xdr:colOff>401411</xdr:colOff>
      <xdr:row>16</xdr:row>
      <xdr:rowOff>107043</xdr:rowOff>
    </xdr:from>
    <xdr:to>
      <xdr:col>2</xdr:col>
      <xdr:colOff>1682850</xdr:colOff>
      <xdr:row>18</xdr:row>
      <xdr:rowOff>32204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FB4EDB7-48DE-46AA-81C9-9CE36F4D4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1125" y="4121150"/>
          <a:ext cx="1281439" cy="3333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169815</xdr:colOff>
      <xdr:row>41</xdr:row>
      <xdr:rowOff>81242</xdr:rowOff>
    </xdr:from>
    <xdr:to>
      <xdr:col>2</xdr:col>
      <xdr:colOff>1183948</xdr:colOff>
      <xdr:row>44</xdr:row>
      <xdr:rowOff>62500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37A9796-0487-4AD9-B601-42AAD7E95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5374" y="12362889"/>
          <a:ext cx="1014133" cy="586376"/>
        </a:xfrm>
        <a:prstGeom prst="rect">
          <a:avLst/>
        </a:prstGeom>
      </xdr:spPr>
    </xdr:pic>
    <xdr:clientData/>
  </xdr:twoCellAnchor>
  <xdr:twoCellAnchor editAs="oneCell">
    <xdr:from>
      <xdr:col>2</xdr:col>
      <xdr:colOff>145677</xdr:colOff>
      <xdr:row>39</xdr:row>
      <xdr:rowOff>128867</xdr:rowOff>
    </xdr:from>
    <xdr:to>
      <xdr:col>2</xdr:col>
      <xdr:colOff>1393498</xdr:colOff>
      <xdr:row>41</xdr:row>
      <xdr:rowOff>71717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4CD996F-C13A-4729-8813-CEE4EAA02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1236" y="12007102"/>
          <a:ext cx="1247821" cy="3462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862338</xdr:colOff>
      <xdr:row>43</xdr:row>
      <xdr:rowOff>19050</xdr:rowOff>
    </xdr:from>
    <xdr:to>
      <xdr:col>1</xdr:col>
      <xdr:colOff>1910089</xdr:colOff>
      <xdr:row>46</xdr:row>
      <xdr:rowOff>28883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820881A-0C55-4534-8617-AC8131903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563" y="11639550"/>
          <a:ext cx="1047751" cy="581333"/>
        </a:xfrm>
        <a:prstGeom prst="rect">
          <a:avLst/>
        </a:prstGeom>
      </xdr:spPr>
    </xdr:pic>
    <xdr:clientData/>
  </xdr:twoCellAnchor>
  <xdr:twoCellAnchor editAs="oneCell">
    <xdr:from>
      <xdr:col>1</xdr:col>
      <xdr:colOff>838200</xdr:colOff>
      <xdr:row>41</xdr:row>
      <xdr:rowOff>57150</xdr:rowOff>
    </xdr:from>
    <xdr:to>
      <xdr:col>1</xdr:col>
      <xdr:colOff>2119639</xdr:colOff>
      <xdr:row>43</xdr:row>
      <xdr:rowOff>9525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B21530D-5E2B-4195-8068-C14E0980C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425" y="11296650"/>
          <a:ext cx="1281439" cy="3333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539608</xdr:colOff>
      <xdr:row>59</xdr:row>
      <xdr:rowOff>57150</xdr:rowOff>
    </xdr:from>
    <xdr:to>
      <xdr:col>2</xdr:col>
      <xdr:colOff>82409</xdr:colOff>
      <xdr:row>62</xdr:row>
      <xdr:rowOff>66983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EE75FE7-381A-4731-B880-25318917F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608" y="15364385"/>
          <a:ext cx="1044389" cy="547716"/>
        </a:xfrm>
        <a:prstGeom prst="rect">
          <a:avLst/>
        </a:prstGeom>
      </xdr:spPr>
    </xdr:pic>
    <xdr:clientData/>
  </xdr:twoCellAnchor>
  <xdr:twoCellAnchor editAs="oneCell">
    <xdr:from>
      <xdr:col>1</xdr:col>
      <xdr:colOff>515470</xdr:colOff>
      <xdr:row>57</xdr:row>
      <xdr:rowOff>106456</xdr:rowOff>
    </xdr:from>
    <xdr:to>
      <xdr:col>2</xdr:col>
      <xdr:colOff>291959</xdr:colOff>
      <xdr:row>59</xdr:row>
      <xdr:rowOff>47625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5EECCE9-A527-47A5-AC2C-77834382A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470" y="15043897"/>
          <a:ext cx="1278077" cy="3109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376563</xdr:colOff>
      <xdr:row>16</xdr:row>
      <xdr:rowOff>38100</xdr:rowOff>
    </xdr:from>
    <xdr:to>
      <xdr:col>2</xdr:col>
      <xdr:colOff>252739</xdr:colOff>
      <xdr:row>19</xdr:row>
      <xdr:rowOff>47933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3C57A47-CEFC-4159-996D-65A6E0548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563" y="4781550"/>
          <a:ext cx="1047751" cy="581333"/>
        </a:xfrm>
        <a:prstGeom prst="rect">
          <a:avLst/>
        </a:prstGeom>
      </xdr:spPr>
    </xdr:pic>
    <xdr:clientData/>
  </xdr:twoCellAnchor>
  <xdr:twoCellAnchor editAs="oneCell">
    <xdr:from>
      <xdr:col>1</xdr:col>
      <xdr:colOff>352425</xdr:colOff>
      <xdr:row>14</xdr:row>
      <xdr:rowOff>76200</xdr:rowOff>
    </xdr:from>
    <xdr:to>
      <xdr:col>2</xdr:col>
      <xdr:colOff>462289</xdr:colOff>
      <xdr:row>16</xdr:row>
      <xdr:rowOff>28575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16E8E90-96FE-4F93-89B3-53F5707DC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4438650"/>
          <a:ext cx="1281439" cy="3333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814713</xdr:colOff>
      <xdr:row>13</xdr:row>
      <xdr:rowOff>19050</xdr:rowOff>
    </xdr:from>
    <xdr:to>
      <xdr:col>1</xdr:col>
      <xdr:colOff>1014739</xdr:colOff>
      <xdr:row>16</xdr:row>
      <xdr:rowOff>28883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D5AF382-D156-43CA-B472-CF0BB1E86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4713" y="3381375"/>
          <a:ext cx="1047751" cy="581333"/>
        </a:xfrm>
        <a:prstGeom prst="rect">
          <a:avLst/>
        </a:prstGeom>
      </xdr:spPr>
    </xdr:pic>
    <xdr:clientData/>
  </xdr:twoCellAnchor>
  <xdr:twoCellAnchor editAs="oneCell">
    <xdr:from>
      <xdr:col>0</xdr:col>
      <xdr:colOff>790575</xdr:colOff>
      <xdr:row>11</xdr:row>
      <xdr:rowOff>57150</xdr:rowOff>
    </xdr:from>
    <xdr:to>
      <xdr:col>2</xdr:col>
      <xdr:colOff>128914</xdr:colOff>
      <xdr:row>13</xdr:row>
      <xdr:rowOff>9525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1888CFD-8DC0-4B7D-B1B7-576109141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" y="3038475"/>
          <a:ext cx="1281439" cy="3333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889792</xdr:colOff>
      <xdr:row>27</xdr:row>
      <xdr:rowOff>16062</xdr:rowOff>
    </xdr:from>
    <xdr:to>
      <xdr:col>1</xdr:col>
      <xdr:colOff>1937543</xdr:colOff>
      <xdr:row>30</xdr:row>
      <xdr:rowOff>25895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39FDC56-3D9E-418F-AAB7-B5A4479F4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910" y="9305738"/>
          <a:ext cx="1047751" cy="581333"/>
        </a:xfrm>
        <a:prstGeom prst="rect">
          <a:avLst/>
        </a:prstGeom>
      </xdr:spPr>
    </xdr:pic>
    <xdr:clientData/>
  </xdr:twoCellAnchor>
  <xdr:twoCellAnchor editAs="oneCell">
    <xdr:from>
      <xdr:col>1</xdr:col>
      <xdr:colOff>865654</xdr:colOff>
      <xdr:row>25</xdr:row>
      <xdr:rowOff>56964</xdr:rowOff>
    </xdr:from>
    <xdr:to>
      <xdr:col>1</xdr:col>
      <xdr:colOff>2147093</xdr:colOff>
      <xdr:row>27</xdr:row>
      <xdr:rowOff>6537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7BFECB8-04AE-4D0F-AAE6-633F526D3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772" y="8965640"/>
          <a:ext cx="1281439" cy="3305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08" t="s">
        <v>0</v>
      </c>
      <c r="B2" s="208"/>
      <c r="C2" s="208"/>
    </row>
    <row r="3" spans="1:3" x14ac:dyDescent="0.25">
      <c r="A3" s="1"/>
      <c r="B3" s="1"/>
      <c r="C3" s="1"/>
    </row>
    <row r="4" spans="1:3" x14ac:dyDescent="0.25">
      <c r="A4" s="209" t="s">
        <v>1</v>
      </c>
      <c r="B4" s="209"/>
      <c r="C4" s="209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4" t="s">
        <v>2</v>
      </c>
      <c r="B6" s="210" t="s">
        <v>3</v>
      </c>
      <c r="C6" s="210"/>
    </row>
    <row r="7" spans="1:3" x14ac:dyDescent="0.25">
      <c r="A7" s="105" t="s">
        <v>4</v>
      </c>
      <c r="B7" s="1"/>
      <c r="C7" s="1"/>
    </row>
    <row r="8" spans="1:3" x14ac:dyDescent="0.25">
      <c r="A8" s="105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6" t="s">
        <v>8</v>
      </c>
      <c r="B10" s="107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G34" sqref="G34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13"/>
      <c r="B1" s="113"/>
      <c r="C1" s="113"/>
      <c r="D1" s="113" t="s">
        <v>245</v>
      </c>
    </row>
    <row r="2" spans="1:4" ht="15.75" customHeight="1" x14ac:dyDescent="0.25">
      <c r="A2" s="113"/>
      <c r="B2" s="113"/>
      <c r="C2" s="113"/>
      <c r="D2" s="113"/>
    </row>
    <row r="3" spans="1:4" ht="15.75" customHeight="1" x14ac:dyDescent="0.25">
      <c r="A3" s="113"/>
      <c r="B3" s="139" t="s">
        <v>246</v>
      </c>
      <c r="C3" s="113"/>
      <c r="D3" s="113"/>
    </row>
    <row r="4" spans="1:4" ht="15.75" customHeight="1" x14ac:dyDescent="0.25">
      <c r="A4" s="113"/>
      <c r="B4" s="113"/>
      <c r="C4" s="113"/>
      <c r="D4" s="113"/>
    </row>
    <row r="5" spans="1:4" ht="31.5" customHeight="1" x14ac:dyDescent="0.25">
      <c r="A5" s="263" t="s">
        <v>247</v>
      </c>
      <c r="B5" s="263"/>
      <c r="C5" s="263"/>
      <c r="D5" s="206" t="str">
        <f>'Прил.5 Расчет СМР и ОБ'!D6:J6</f>
        <v>Постоянная часть ПС, АРМ ПС 220 кВ</v>
      </c>
    </row>
    <row r="6" spans="1:4" ht="15.75" customHeight="1" x14ac:dyDescent="0.25">
      <c r="A6" s="113" t="s">
        <v>248</v>
      </c>
      <c r="B6" s="113"/>
      <c r="C6" s="113"/>
      <c r="D6" s="113"/>
    </row>
    <row r="7" spans="1:4" ht="15.75" customHeight="1" x14ac:dyDescent="0.25">
      <c r="A7" s="113"/>
      <c r="B7" s="113"/>
      <c r="C7" s="113"/>
      <c r="D7" s="113"/>
    </row>
    <row r="8" spans="1:4" x14ac:dyDescent="0.25">
      <c r="A8" s="221" t="s">
        <v>5</v>
      </c>
      <c r="B8" s="221" t="s">
        <v>6</v>
      </c>
      <c r="C8" s="221" t="s">
        <v>249</v>
      </c>
      <c r="D8" s="221" t="s">
        <v>250</v>
      </c>
    </row>
    <row r="9" spans="1:4" x14ac:dyDescent="0.25">
      <c r="A9" s="221"/>
      <c r="B9" s="221"/>
      <c r="C9" s="221"/>
      <c r="D9" s="221"/>
    </row>
    <row r="10" spans="1:4" ht="15.75" customHeight="1" x14ac:dyDescent="0.25">
      <c r="A10" s="122">
        <v>1</v>
      </c>
      <c r="B10" s="122">
        <v>2</v>
      </c>
      <c r="C10" s="122">
        <v>3</v>
      </c>
      <c r="D10" s="122">
        <v>4</v>
      </c>
    </row>
    <row r="11" spans="1:4" ht="63" customHeight="1" x14ac:dyDescent="0.25">
      <c r="A11" s="122" t="s">
        <v>251</v>
      </c>
      <c r="B11" s="122" t="s">
        <v>252</v>
      </c>
      <c r="C11" s="207" t="s">
        <v>253</v>
      </c>
      <c r="D11" s="176">
        <f>'Прил.4 РМ'!C41/1000</f>
        <v>619.90382999999997</v>
      </c>
    </row>
    <row r="13" spans="1:4" x14ac:dyDescent="0.25">
      <c r="A13" s="4" t="s">
        <v>406</v>
      </c>
      <c r="B13" s="12"/>
      <c r="C13" s="12"/>
      <c r="D13" s="29"/>
    </row>
    <row r="14" spans="1:4" x14ac:dyDescent="0.25">
      <c r="A14" s="167" t="s">
        <v>76</v>
      </c>
      <c r="B14" s="12"/>
      <c r="C14" s="12"/>
      <c r="D14" s="29"/>
    </row>
    <row r="15" spans="1:4" x14ac:dyDescent="0.25">
      <c r="A15" s="4"/>
      <c r="B15" s="12"/>
      <c r="C15" s="12"/>
      <c r="D15" s="29"/>
    </row>
    <row r="16" spans="1:4" x14ac:dyDescent="0.25">
      <c r="A16" s="4" t="s">
        <v>77</v>
      </c>
      <c r="B16" s="12"/>
      <c r="C16" s="12"/>
      <c r="D16" s="29"/>
    </row>
    <row r="17" spans="1:4" x14ac:dyDescent="0.25">
      <c r="A17" s="167" t="s">
        <v>78</v>
      </c>
      <c r="B17" s="12"/>
      <c r="C17" s="12"/>
      <c r="D17" s="29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1"/>
  <sheetViews>
    <sheetView view="pageBreakPreview" topLeftCell="A15" zoomScale="85" zoomScaleNormal="85" zoomScaleSheetLayoutView="85" workbookViewId="0">
      <selection activeCell="D24" sqref="D24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15" t="s">
        <v>254</v>
      </c>
      <c r="C4" s="215"/>
      <c r="D4" s="215"/>
    </row>
    <row r="5" spans="2:5" ht="18.75" customHeight="1" x14ac:dyDescent="0.25">
      <c r="B5" s="170"/>
    </row>
    <row r="6" spans="2:5" ht="15.75" customHeight="1" x14ac:dyDescent="0.25">
      <c r="B6" s="216" t="s">
        <v>255</v>
      </c>
      <c r="C6" s="216"/>
      <c r="D6" s="216"/>
    </row>
    <row r="7" spans="2:5" x14ac:dyDescent="0.25">
      <c r="B7" s="264"/>
      <c r="C7" s="264"/>
      <c r="D7" s="264"/>
      <c r="E7" s="264"/>
    </row>
    <row r="8" spans="2:5" x14ac:dyDescent="0.25">
      <c r="B8" s="190"/>
      <c r="C8" s="190"/>
      <c r="D8" s="190"/>
      <c r="E8" s="190"/>
    </row>
    <row r="9" spans="2:5" ht="47.25" customHeight="1" x14ac:dyDescent="0.25">
      <c r="B9" s="122" t="s">
        <v>256</v>
      </c>
      <c r="C9" s="122" t="s">
        <v>257</v>
      </c>
      <c r="D9" s="122" t="s">
        <v>258</v>
      </c>
    </row>
    <row r="10" spans="2:5" ht="15.75" customHeight="1" x14ac:dyDescent="0.25">
      <c r="B10" s="122">
        <v>1</v>
      </c>
      <c r="C10" s="122">
        <v>2</v>
      </c>
      <c r="D10" s="122">
        <v>3</v>
      </c>
    </row>
    <row r="11" spans="2:5" ht="45" customHeight="1" x14ac:dyDescent="0.25">
      <c r="B11" s="122" t="s">
        <v>259</v>
      </c>
      <c r="C11" s="122" t="s">
        <v>260</v>
      </c>
      <c r="D11" s="122">
        <v>44.29</v>
      </c>
    </row>
    <row r="12" spans="2:5" ht="29.25" customHeight="1" x14ac:dyDescent="0.25">
      <c r="B12" s="122" t="s">
        <v>261</v>
      </c>
      <c r="C12" s="122" t="s">
        <v>260</v>
      </c>
      <c r="D12" s="122">
        <v>13.47</v>
      </c>
    </row>
    <row r="13" spans="2:5" ht="29.25" customHeight="1" x14ac:dyDescent="0.25">
      <c r="B13" s="122" t="s">
        <v>262</v>
      </c>
      <c r="C13" s="122" t="s">
        <v>260</v>
      </c>
      <c r="D13" s="122">
        <v>8.0399999999999991</v>
      </c>
    </row>
    <row r="14" spans="2:5" ht="30.75" customHeight="1" x14ac:dyDescent="0.25">
      <c r="B14" s="122" t="s">
        <v>263</v>
      </c>
      <c r="C14" s="117" t="s">
        <v>264</v>
      </c>
      <c r="D14" s="122">
        <v>6.26</v>
      </c>
    </row>
    <row r="15" spans="2:5" ht="89.25" customHeight="1" x14ac:dyDescent="0.25">
      <c r="B15" s="122" t="s">
        <v>265</v>
      </c>
      <c r="C15" s="122" t="s">
        <v>266</v>
      </c>
      <c r="D15" s="171">
        <v>3.9E-2</v>
      </c>
    </row>
    <row r="16" spans="2:5" ht="78.75" customHeight="1" x14ac:dyDescent="0.25">
      <c r="B16" s="122" t="s">
        <v>267</v>
      </c>
      <c r="C16" s="122" t="s">
        <v>268</v>
      </c>
      <c r="D16" s="171">
        <v>2.1000000000000001E-2</v>
      </c>
    </row>
    <row r="17" spans="2:4" ht="34.5" customHeight="1" x14ac:dyDescent="0.25">
      <c r="B17" s="122"/>
      <c r="C17" s="122"/>
      <c r="D17" s="122"/>
    </row>
    <row r="18" spans="2:4" ht="31.5" customHeight="1" x14ac:dyDescent="0.25">
      <c r="B18" s="122" t="s">
        <v>269</v>
      </c>
      <c r="C18" s="122" t="s">
        <v>270</v>
      </c>
      <c r="D18" s="171">
        <v>2.1399999999999999E-2</v>
      </c>
    </row>
    <row r="19" spans="2:4" ht="31.5" customHeight="1" x14ac:dyDescent="0.25">
      <c r="B19" s="122" t="s">
        <v>193</v>
      </c>
      <c r="C19" s="122" t="s">
        <v>271</v>
      </c>
      <c r="D19" s="171">
        <v>2E-3</v>
      </c>
    </row>
    <row r="20" spans="2:4" ht="24" customHeight="1" x14ac:dyDescent="0.25">
      <c r="B20" s="122" t="s">
        <v>195</v>
      </c>
      <c r="C20" s="122" t="s">
        <v>272</v>
      </c>
      <c r="D20" s="171">
        <v>0.03</v>
      </c>
    </row>
    <row r="21" spans="2:4" ht="18.75" customHeight="1" x14ac:dyDescent="0.25">
      <c r="B21" s="172"/>
    </row>
    <row r="22" spans="2:4" ht="18.75" customHeight="1" x14ac:dyDescent="0.25">
      <c r="B22" s="172"/>
    </row>
    <row r="23" spans="2:4" ht="18.75" customHeight="1" x14ac:dyDescent="0.25">
      <c r="B23" s="172"/>
    </row>
    <row r="24" spans="2:4" ht="18.75" customHeight="1" x14ac:dyDescent="0.25">
      <c r="B24" s="172"/>
    </row>
    <row r="27" spans="2:4" x14ac:dyDescent="0.25">
      <c r="B27" s="4" t="s">
        <v>273</v>
      </c>
      <c r="C27" s="12"/>
    </row>
    <row r="28" spans="2:4" x14ac:dyDescent="0.25">
      <c r="B28" s="167" t="s">
        <v>76</v>
      </c>
      <c r="C28" s="12"/>
    </row>
    <row r="29" spans="2:4" x14ac:dyDescent="0.25">
      <c r="B29" s="4"/>
      <c r="C29" s="12"/>
    </row>
    <row r="30" spans="2:4" x14ac:dyDescent="0.25">
      <c r="B30" s="4" t="s">
        <v>237</v>
      </c>
      <c r="C30" s="12"/>
    </row>
    <row r="31" spans="2:4" x14ac:dyDescent="0.25">
      <c r="B31" s="167" t="s">
        <v>78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H12" sqref="H12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16" t="s">
        <v>274</v>
      </c>
      <c r="B2" s="216"/>
      <c r="C2" s="216"/>
      <c r="D2" s="216"/>
      <c r="E2" s="216"/>
      <c r="F2" s="216"/>
    </row>
    <row r="4" spans="1:7" ht="18" customHeight="1" x14ac:dyDescent="0.25">
      <c r="A4" s="173" t="s">
        <v>275</v>
      </c>
      <c r="B4" s="113"/>
      <c r="C4" s="113"/>
      <c r="D4" s="113"/>
      <c r="E4" s="113"/>
      <c r="F4" s="113"/>
      <c r="G4" s="113"/>
    </row>
    <row r="5" spans="1:7" ht="15.75" customHeight="1" x14ac:dyDescent="0.25">
      <c r="A5" s="174" t="s">
        <v>13</v>
      </c>
      <c r="B5" s="174" t="s">
        <v>276</v>
      </c>
      <c r="C5" s="174" t="s">
        <v>277</v>
      </c>
      <c r="D5" s="174" t="s">
        <v>278</v>
      </c>
      <c r="E5" s="174" t="s">
        <v>279</v>
      </c>
      <c r="F5" s="174" t="s">
        <v>280</v>
      </c>
      <c r="G5" s="113"/>
    </row>
    <row r="6" spans="1:7" ht="15.75" customHeight="1" x14ac:dyDescent="0.25">
      <c r="A6" s="174">
        <v>1</v>
      </c>
      <c r="B6" s="174">
        <v>2</v>
      </c>
      <c r="C6" s="174">
        <v>3</v>
      </c>
      <c r="D6" s="174">
        <v>4</v>
      </c>
      <c r="E6" s="174">
        <v>5</v>
      </c>
      <c r="F6" s="174">
        <v>6</v>
      </c>
      <c r="G6" s="113"/>
    </row>
    <row r="7" spans="1:7" ht="110.25" customHeight="1" x14ac:dyDescent="0.25">
      <c r="A7" s="175" t="s">
        <v>281</v>
      </c>
      <c r="B7" s="116" t="s">
        <v>282</v>
      </c>
      <c r="C7" s="122" t="s">
        <v>283</v>
      </c>
      <c r="D7" s="122" t="s">
        <v>284</v>
      </c>
      <c r="E7" s="176">
        <v>47872.94</v>
      </c>
      <c r="F7" s="116" t="s">
        <v>285</v>
      </c>
      <c r="G7" s="113"/>
    </row>
    <row r="8" spans="1:7" ht="31.5" customHeight="1" x14ac:dyDescent="0.25">
      <c r="A8" s="175" t="s">
        <v>286</v>
      </c>
      <c r="B8" s="116" t="s">
        <v>287</v>
      </c>
      <c r="C8" s="122" t="s">
        <v>288</v>
      </c>
      <c r="D8" s="122" t="s">
        <v>289</v>
      </c>
      <c r="E8" s="176">
        <f>1973/12</f>
        <v>164.41666666667001</v>
      </c>
      <c r="F8" s="116" t="s">
        <v>290</v>
      </c>
      <c r="G8" s="177"/>
    </row>
    <row r="9" spans="1:7" ht="15.75" customHeight="1" x14ac:dyDescent="0.25">
      <c r="A9" s="175" t="s">
        <v>291</v>
      </c>
      <c r="B9" s="116" t="s">
        <v>292</v>
      </c>
      <c r="C9" s="122" t="s">
        <v>293</v>
      </c>
      <c r="D9" s="122" t="s">
        <v>284</v>
      </c>
      <c r="E9" s="176">
        <v>1</v>
      </c>
      <c r="F9" s="116"/>
      <c r="G9" s="177"/>
    </row>
    <row r="10" spans="1:7" ht="15.75" customHeight="1" x14ac:dyDescent="0.25">
      <c r="A10" s="175" t="s">
        <v>294</v>
      </c>
      <c r="B10" s="116" t="s">
        <v>295</v>
      </c>
      <c r="C10" s="122"/>
      <c r="D10" s="122"/>
      <c r="E10" s="178">
        <v>3.9</v>
      </c>
      <c r="F10" s="116" t="s">
        <v>296</v>
      </c>
      <c r="G10" s="177"/>
    </row>
    <row r="11" spans="1:7" ht="78.75" customHeight="1" x14ac:dyDescent="0.25">
      <c r="A11" s="175" t="s">
        <v>297</v>
      </c>
      <c r="B11" s="116" t="s">
        <v>298</v>
      </c>
      <c r="C11" s="122" t="s">
        <v>299</v>
      </c>
      <c r="D11" s="122" t="s">
        <v>284</v>
      </c>
      <c r="E11" s="179">
        <v>1.3240000000000001</v>
      </c>
      <c r="F11" s="116" t="s">
        <v>300</v>
      </c>
      <c r="G11" s="113"/>
    </row>
    <row r="12" spans="1:7" ht="78.75" customHeight="1" x14ac:dyDescent="0.25">
      <c r="A12" s="175" t="s">
        <v>301</v>
      </c>
      <c r="B12" s="115" t="s">
        <v>302</v>
      </c>
      <c r="C12" s="122" t="s">
        <v>303</v>
      </c>
      <c r="D12" s="122" t="s">
        <v>284</v>
      </c>
      <c r="E12" s="180">
        <v>1.139</v>
      </c>
      <c r="F12" s="181" t="s">
        <v>304</v>
      </c>
      <c r="G12" s="177"/>
    </row>
    <row r="13" spans="1:7" ht="63" customHeight="1" x14ac:dyDescent="0.25">
      <c r="A13" s="175" t="s">
        <v>305</v>
      </c>
      <c r="B13" s="133" t="s">
        <v>306</v>
      </c>
      <c r="C13" s="122" t="s">
        <v>307</v>
      </c>
      <c r="D13" s="122" t="s">
        <v>308</v>
      </c>
      <c r="E13" s="182">
        <f>((E7*E9/E8)*E11)*E12</f>
        <v>439.09244974661999</v>
      </c>
      <c r="F13" s="116" t="s">
        <v>309</v>
      </c>
      <c r="G13" s="113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2" customFormat="1" ht="29.45" customHeight="1" x14ac:dyDescent="0.2">
      <c r="A1" s="265" t="s">
        <v>310</v>
      </c>
      <c r="B1" s="265"/>
      <c r="C1" s="265"/>
      <c r="D1" s="265"/>
      <c r="E1" s="265"/>
      <c r="F1" s="265"/>
      <c r="G1" s="265"/>
      <c r="H1" s="265"/>
      <c r="I1" s="265"/>
    </row>
    <row r="2" spans="1:13" s="32" customFormat="1" ht="13.5" customHeight="1" x14ac:dyDescent="0.2">
      <c r="A2" s="33"/>
      <c r="B2" s="33"/>
      <c r="C2" s="33"/>
      <c r="D2" s="33"/>
      <c r="E2" s="33"/>
      <c r="F2" s="33"/>
      <c r="G2" s="33"/>
      <c r="H2" s="33"/>
      <c r="I2" s="33"/>
    </row>
    <row r="3" spans="1:13" s="32" customFormat="1" ht="34.5" customHeight="1" x14ac:dyDescent="0.2">
      <c r="A3" s="211" t="e">
        <f>#REF!</f>
        <v>#REF!</v>
      </c>
      <c r="B3" s="211"/>
      <c r="C3" s="211"/>
      <c r="D3" s="211"/>
      <c r="E3" s="211"/>
      <c r="F3" s="211"/>
      <c r="G3" s="211"/>
      <c r="H3" s="211"/>
      <c r="I3" s="211"/>
    </row>
    <row r="4" spans="1:13" s="4" customFormat="1" ht="15.75" customHeight="1" x14ac:dyDescent="0.2">
      <c r="A4" s="266"/>
      <c r="B4" s="266"/>
      <c r="C4" s="266"/>
      <c r="D4" s="266"/>
      <c r="E4" s="266"/>
      <c r="F4" s="266"/>
      <c r="G4" s="266"/>
      <c r="H4" s="266"/>
      <c r="I4" s="266"/>
    </row>
    <row r="5" spans="1:13" s="34" customFormat="1" ht="36.6" customHeight="1" x14ac:dyDescent="0.35">
      <c r="A5" s="267" t="s">
        <v>13</v>
      </c>
      <c r="B5" s="267" t="s">
        <v>311</v>
      </c>
      <c r="C5" s="267" t="s">
        <v>312</v>
      </c>
      <c r="D5" s="267" t="s">
        <v>313</v>
      </c>
      <c r="E5" s="262" t="s">
        <v>314</v>
      </c>
      <c r="F5" s="262"/>
      <c r="G5" s="262"/>
      <c r="H5" s="262"/>
      <c r="I5" s="262"/>
    </row>
    <row r="6" spans="1:13" s="29" customFormat="1" ht="31.5" customHeight="1" x14ac:dyDescent="0.2">
      <c r="A6" s="267"/>
      <c r="B6" s="267"/>
      <c r="C6" s="267"/>
      <c r="D6" s="267"/>
      <c r="E6" s="35" t="s">
        <v>86</v>
      </c>
      <c r="F6" s="35" t="s">
        <v>87</v>
      </c>
      <c r="G6" s="35" t="s">
        <v>43</v>
      </c>
      <c r="H6" s="35" t="s">
        <v>315</v>
      </c>
      <c r="I6" s="35" t="s">
        <v>316</v>
      </c>
    </row>
    <row r="7" spans="1:13" s="29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9" customFormat="1" ht="13.15" customHeight="1" x14ac:dyDescent="0.2">
      <c r="A8" s="36">
        <v>1</v>
      </c>
      <c r="B8" s="37"/>
      <c r="C8" s="8" t="s">
        <v>183</v>
      </c>
      <c r="D8" s="38"/>
      <c r="E8" s="31">
        <f>'4.3 Отдел 2. Тех.характеристики'!H4/1000</f>
        <v>3.98509</v>
      </c>
      <c r="F8" s="31">
        <f>'4.3 Отдел 2. Тех.характеристики'!I4/1000</f>
        <v>3.1536300000000002</v>
      </c>
      <c r="G8" s="31">
        <f>'4.3 Отдел 2. Тех.характеристики'!J4/1000</f>
        <v>94.532139999999998</v>
      </c>
      <c r="H8" s="31"/>
      <c r="I8" s="31">
        <f>E8+F8+G8</f>
        <v>101.67086</v>
      </c>
      <c r="K8" s="39"/>
      <c r="L8" s="39"/>
      <c r="M8" s="39"/>
    </row>
    <row r="9" spans="1:13" s="29" customFormat="1" ht="38.25" customHeight="1" x14ac:dyDescent="0.2">
      <c r="A9" s="36">
        <v>2</v>
      </c>
      <c r="B9" s="8" t="s">
        <v>317</v>
      </c>
      <c r="C9" s="8" t="s">
        <v>318</v>
      </c>
      <c r="D9" s="109">
        <v>3.9E-2</v>
      </c>
      <c r="E9" s="31">
        <f>E8*D9</f>
        <v>0.15541851000000001</v>
      </c>
      <c r="F9" s="31">
        <f>F8*D9</f>
        <v>0.12299156999999999</v>
      </c>
      <c r="G9" s="31"/>
      <c r="H9" s="31"/>
      <c r="I9" s="31">
        <f>E9+F9</f>
        <v>0.27841008</v>
      </c>
    </row>
    <row r="10" spans="1:13" s="29" customFormat="1" ht="13.15" customHeight="1" x14ac:dyDescent="0.2">
      <c r="A10" s="36"/>
      <c r="B10" s="8"/>
      <c r="C10" s="8"/>
      <c r="D10" s="16"/>
      <c r="E10" s="31"/>
      <c r="F10" s="31"/>
      <c r="G10" s="31"/>
      <c r="H10" s="31"/>
      <c r="I10" s="31"/>
    </row>
    <row r="11" spans="1:13" s="29" customFormat="1" ht="51" customHeight="1" x14ac:dyDescent="0.2">
      <c r="A11" s="36">
        <v>3</v>
      </c>
      <c r="B11" s="8" t="s">
        <v>319</v>
      </c>
      <c r="C11" s="8" t="s">
        <v>267</v>
      </c>
      <c r="D11" s="109">
        <v>2.1000000000000001E-2</v>
      </c>
      <c r="E11" s="31">
        <f>(E8+E9)*D11</f>
        <v>8.6950678710000007E-2</v>
      </c>
      <c r="F11" s="31"/>
      <c r="G11" s="31"/>
      <c r="H11" s="31" t="s">
        <v>107</v>
      </c>
      <c r="I11" s="31">
        <f>E11</f>
        <v>8.6950678710000007E-2</v>
      </c>
    </row>
    <row r="12" spans="1:13" s="29" customFormat="1" ht="45" customHeight="1" x14ac:dyDescent="0.2">
      <c r="A12" s="36">
        <v>4</v>
      </c>
      <c r="B12" s="8" t="s">
        <v>320</v>
      </c>
      <c r="C12" s="8" t="s">
        <v>321</v>
      </c>
      <c r="D12" s="16">
        <v>5.6000000000000001E-2</v>
      </c>
      <c r="E12" s="31"/>
      <c r="F12" s="31"/>
      <c r="G12" s="31"/>
      <c r="H12" s="31">
        <f>(G8+F8)*D12</f>
        <v>5.4704031200000003</v>
      </c>
      <c r="I12" s="31">
        <f>H12</f>
        <v>5.4704031200000003</v>
      </c>
      <c r="J12" s="40" t="s">
        <v>322</v>
      </c>
    </row>
    <row r="13" spans="1:13" s="29" customFormat="1" ht="13.15" customHeight="1" x14ac:dyDescent="0.2">
      <c r="A13" s="36"/>
      <c r="B13" s="8"/>
      <c r="C13" s="8"/>
      <c r="D13" s="16"/>
      <c r="E13" s="31"/>
      <c r="F13" s="31"/>
      <c r="G13" s="31"/>
      <c r="H13" s="31"/>
      <c r="I13" s="31"/>
    </row>
    <row r="14" spans="1:13" s="29" customFormat="1" ht="39.6" customHeight="1" x14ac:dyDescent="0.2">
      <c r="A14" s="36">
        <v>5</v>
      </c>
      <c r="B14" s="8" t="s">
        <v>270</v>
      </c>
      <c r="C14" s="8" t="s">
        <v>323</v>
      </c>
      <c r="D14" s="109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1"/>
      <c r="F14" s="31"/>
      <c r="G14" s="31"/>
      <c r="H14" s="31">
        <f>(I8+I9+I11+I12)*D14*1</f>
        <v>2.3006417510044002</v>
      </c>
      <c r="I14" s="31">
        <f>H14</f>
        <v>2.3006417510044002</v>
      </c>
      <c r="J14" s="41">
        <f>(I8+I9+I11+I12)/1000</f>
        <v>0.10750662387871</v>
      </c>
    </row>
    <row r="15" spans="1:13" s="29" customFormat="1" ht="13.15" customHeight="1" x14ac:dyDescent="0.2">
      <c r="A15" s="36"/>
      <c r="B15" s="8"/>
      <c r="C15" s="8"/>
      <c r="D15" s="16"/>
      <c r="E15" s="31"/>
      <c r="F15" s="31"/>
      <c r="G15" s="31"/>
      <c r="H15" s="31"/>
      <c r="I15" s="31"/>
    </row>
    <row r="16" spans="1:13" s="29" customFormat="1" ht="39.6" customHeight="1" x14ac:dyDescent="0.2">
      <c r="A16" s="36">
        <v>6</v>
      </c>
      <c r="B16" s="8" t="s">
        <v>324</v>
      </c>
      <c r="C16" s="8" t="s">
        <v>325</v>
      </c>
      <c r="D16" s="16">
        <v>0</v>
      </c>
      <c r="E16" s="31"/>
      <c r="F16" s="31"/>
      <c r="G16" s="31"/>
      <c r="H16" s="31">
        <f>(E8+F8)*D16</f>
        <v>0</v>
      </c>
      <c r="I16" s="31">
        <f>H16</f>
        <v>0</v>
      </c>
      <c r="J16" s="40" t="s">
        <v>326</v>
      </c>
    </row>
    <row r="17" spans="1:10" s="29" customFormat="1" ht="81.75" customHeight="1" x14ac:dyDescent="0.2">
      <c r="A17" s="36">
        <v>7</v>
      </c>
      <c r="B17" s="8" t="s">
        <v>324</v>
      </c>
      <c r="C17" s="8" t="s">
        <v>327</v>
      </c>
      <c r="D17" s="16">
        <v>0</v>
      </c>
      <c r="E17" s="31"/>
      <c r="F17" s="31"/>
      <c r="G17" s="31"/>
      <c r="H17" s="31">
        <f>(E9+F9)*D17</f>
        <v>0</v>
      </c>
      <c r="I17" s="31">
        <f>H17</f>
        <v>0</v>
      </c>
      <c r="J17" s="40"/>
    </row>
    <row r="18" spans="1:10" s="29" customFormat="1" ht="13.15" customHeight="1" x14ac:dyDescent="0.2">
      <c r="A18" s="36"/>
      <c r="B18" s="8"/>
      <c r="C18" s="8"/>
      <c r="D18" s="16"/>
      <c r="E18" s="31"/>
      <c r="F18" s="31"/>
      <c r="G18" s="31"/>
      <c r="H18" s="31"/>
      <c r="I18" s="31"/>
    </row>
    <row r="19" spans="1:10" s="43" customFormat="1" ht="13.15" customHeight="1" x14ac:dyDescent="0.2">
      <c r="A19" s="36">
        <v>8</v>
      </c>
      <c r="B19" s="8"/>
      <c r="C19" s="8" t="s">
        <v>328</v>
      </c>
      <c r="D19" s="42"/>
      <c r="E19" s="31">
        <f>SUM(E8:E18)</f>
        <v>4.2274591887100001</v>
      </c>
      <c r="F19" s="31"/>
      <c r="G19" s="31">
        <f>SUM(G8:G18)</f>
        <v>94.532139999999998</v>
      </c>
      <c r="H19" s="31">
        <f>SUM(H8:H18)</f>
        <v>7.7710448710044</v>
      </c>
      <c r="I19" s="31">
        <f>SUM(I8:I18)</f>
        <v>109.80726562971</v>
      </c>
    </row>
    <row r="20" spans="1:10" s="29" customFormat="1" ht="51" customHeight="1" x14ac:dyDescent="0.2">
      <c r="A20" s="36">
        <v>9</v>
      </c>
      <c r="B20" s="8" t="s">
        <v>329</v>
      </c>
      <c r="C20" s="8" t="s">
        <v>195</v>
      </c>
      <c r="D20" s="44">
        <v>0.03</v>
      </c>
      <c r="E20" s="31">
        <f>E19*3%</f>
        <v>0.12682377566129999</v>
      </c>
      <c r="F20" s="31"/>
      <c r="G20" s="31">
        <f>G19*3%</f>
        <v>2.8359641999999998</v>
      </c>
      <c r="H20" s="31">
        <f>H19*3%</f>
        <v>0.23313134613013001</v>
      </c>
      <c r="I20" s="31">
        <f>I19*3%</f>
        <v>3.2942179688914002</v>
      </c>
    </row>
    <row r="21" spans="1:10" s="32" customFormat="1" ht="13.15" customHeight="1" x14ac:dyDescent="0.2">
      <c r="A21" s="36">
        <v>10</v>
      </c>
      <c r="B21" s="8"/>
      <c r="C21" s="8" t="s">
        <v>330</v>
      </c>
      <c r="D21" s="45"/>
      <c r="E21" s="31"/>
      <c r="F21" s="31"/>
      <c r="G21" s="31"/>
      <c r="H21" s="31"/>
      <c r="I21" s="31">
        <f>I19+I20</f>
        <v>113.10148359861</v>
      </c>
    </row>
    <row r="22" spans="1:10" s="32" customFormat="1" ht="13.15" customHeight="1" x14ac:dyDescent="0.2">
      <c r="A22" s="46"/>
      <c r="B22" s="47"/>
      <c r="C22" s="47"/>
      <c r="D22" s="48"/>
      <c r="E22" s="49"/>
      <c r="F22" s="49"/>
      <c r="G22" s="49"/>
      <c r="H22" s="49"/>
      <c r="I22" s="49"/>
    </row>
    <row r="23" spans="1:10" x14ac:dyDescent="0.25">
      <c r="A23" s="4" t="s">
        <v>331</v>
      </c>
      <c r="B23" s="50"/>
      <c r="C23" s="4"/>
      <c r="D23" s="29"/>
      <c r="E23" s="29"/>
      <c r="F23" s="29"/>
      <c r="G23" s="29"/>
      <c r="H23" s="29"/>
      <c r="I23" s="29"/>
    </row>
    <row r="24" spans="1:10" x14ac:dyDescent="0.25">
      <c r="A24" s="30" t="s">
        <v>332</v>
      </c>
      <c r="B24" s="50"/>
      <c r="C24" s="4"/>
      <c r="D24" s="29"/>
      <c r="E24" s="29"/>
      <c r="F24" s="29"/>
      <c r="G24" s="29"/>
      <c r="H24" s="29"/>
      <c r="I24" s="29"/>
    </row>
    <row r="25" spans="1:10" x14ac:dyDescent="0.25">
      <c r="A25" s="4"/>
      <c r="B25" s="50"/>
      <c r="C25" s="4"/>
      <c r="D25" s="29"/>
      <c r="E25" s="29"/>
      <c r="F25" s="29"/>
      <c r="G25" s="29"/>
      <c r="H25" s="29"/>
      <c r="I25" s="29"/>
    </row>
    <row r="26" spans="1:10" x14ac:dyDescent="0.25">
      <c r="A26" s="4" t="s">
        <v>333</v>
      </c>
      <c r="B26" s="50"/>
      <c r="C26" s="4"/>
      <c r="D26" s="29"/>
      <c r="E26" s="29"/>
      <c r="F26" s="29"/>
      <c r="G26" s="29"/>
      <c r="H26" s="29"/>
      <c r="I26" s="29"/>
    </row>
    <row r="27" spans="1:10" x14ac:dyDescent="0.25">
      <c r="A27" s="30" t="s">
        <v>334</v>
      </c>
      <c r="B27" s="50"/>
      <c r="C27" s="4"/>
      <c r="D27" s="29"/>
      <c r="E27" s="29"/>
      <c r="F27" s="29"/>
      <c r="G27" s="29"/>
      <c r="H27" s="29"/>
      <c r="I27" s="29"/>
    </row>
    <row r="28" spans="1:10" x14ac:dyDescent="0.25">
      <c r="B28" s="51"/>
    </row>
    <row r="29" spans="1:10" x14ac:dyDescent="0.25">
      <c r="B29" s="51"/>
    </row>
    <row r="30" spans="1:10" x14ac:dyDescent="0.25">
      <c r="B30" s="51"/>
    </row>
    <row r="31" spans="1:10" x14ac:dyDescent="0.25">
      <c r="B31" s="51"/>
    </row>
    <row r="32" spans="1:10" x14ac:dyDescent="0.25">
      <c r="B32" s="51"/>
    </row>
    <row r="33" spans="2:2" x14ac:dyDescent="0.25">
      <c r="B33" s="51"/>
    </row>
    <row r="34" spans="2:2" x14ac:dyDescent="0.25">
      <c r="B34" s="51"/>
    </row>
    <row r="35" spans="2:2" x14ac:dyDescent="0.25">
      <c r="B35" s="51"/>
    </row>
    <row r="36" spans="2:2" x14ac:dyDescent="0.25">
      <c r="B36" s="51"/>
    </row>
    <row r="37" spans="2:2" x14ac:dyDescent="0.25">
      <c r="B37" s="51"/>
    </row>
    <row r="38" spans="2:2" x14ac:dyDescent="0.25">
      <c r="B38" s="51"/>
    </row>
    <row r="39" spans="2:2" x14ac:dyDescent="0.25">
      <c r="B39" s="51"/>
    </row>
    <row r="40" spans="2:2" x14ac:dyDescent="0.25">
      <c r="B40" s="51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72" t="s">
        <v>335</v>
      </c>
      <c r="O2" s="272"/>
    </row>
    <row r="3" spans="1:16" x14ac:dyDescent="0.25">
      <c r="A3" s="273" t="s">
        <v>336</v>
      </c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</row>
    <row r="5" spans="1:16" ht="37.5" customHeight="1" x14ac:dyDescent="0.25">
      <c r="A5" s="274" t="s">
        <v>337</v>
      </c>
      <c r="B5" s="277" t="s">
        <v>338</v>
      </c>
      <c r="C5" s="280" t="s">
        <v>339</v>
      </c>
      <c r="D5" s="283" t="s">
        <v>340</v>
      </c>
      <c r="E5" s="284"/>
      <c r="F5" s="284"/>
      <c r="G5" s="284"/>
      <c r="H5" s="284"/>
      <c r="I5" s="283" t="s">
        <v>341</v>
      </c>
      <c r="J5" s="284"/>
      <c r="K5" s="284"/>
      <c r="L5" s="284"/>
      <c r="M5" s="284"/>
      <c r="N5" s="284"/>
      <c r="O5" s="52" t="s">
        <v>342</v>
      </c>
    </row>
    <row r="6" spans="1:16" s="55" customFormat="1" ht="150" customHeight="1" x14ac:dyDescent="0.25">
      <c r="A6" s="275"/>
      <c r="B6" s="278"/>
      <c r="C6" s="281"/>
      <c r="D6" s="280" t="s">
        <v>343</v>
      </c>
      <c r="E6" s="285" t="s">
        <v>344</v>
      </c>
      <c r="F6" s="286"/>
      <c r="G6" s="287"/>
      <c r="H6" s="53" t="s">
        <v>345</v>
      </c>
      <c r="I6" s="288" t="s">
        <v>346</v>
      </c>
      <c r="J6" s="288" t="s">
        <v>343</v>
      </c>
      <c r="K6" s="289" t="s">
        <v>344</v>
      </c>
      <c r="L6" s="289"/>
      <c r="M6" s="289"/>
      <c r="N6" s="53" t="s">
        <v>345</v>
      </c>
      <c r="O6" s="54" t="s">
        <v>347</v>
      </c>
    </row>
    <row r="7" spans="1:16" s="55" customFormat="1" ht="30.75" customHeight="1" x14ac:dyDescent="0.25">
      <c r="A7" s="276"/>
      <c r="B7" s="279"/>
      <c r="C7" s="282"/>
      <c r="D7" s="282"/>
      <c r="E7" s="52" t="s">
        <v>86</v>
      </c>
      <c r="F7" s="52" t="s">
        <v>87</v>
      </c>
      <c r="G7" s="52" t="s">
        <v>43</v>
      </c>
      <c r="H7" s="56" t="s">
        <v>348</v>
      </c>
      <c r="I7" s="288"/>
      <c r="J7" s="288"/>
      <c r="K7" s="52" t="s">
        <v>86</v>
      </c>
      <c r="L7" s="52" t="s">
        <v>87</v>
      </c>
      <c r="M7" s="52" t="s">
        <v>43</v>
      </c>
      <c r="N7" s="56" t="s">
        <v>348</v>
      </c>
      <c r="O7" s="52" t="s">
        <v>349</v>
      </c>
    </row>
    <row r="8" spans="1:16" s="55" customFormat="1" x14ac:dyDescent="0.25">
      <c r="A8" s="57">
        <v>1</v>
      </c>
      <c r="B8" s="57">
        <v>2</v>
      </c>
      <c r="C8" s="57">
        <v>3</v>
      </c>
      <c r="D8" s="57">
        <v>4</v>
      </c>
      <c r="E8" s="57">
        <v>5</v>
      </c>
      <c r="F8" s="57">
        <v>6</v>
      </c>
      <c r="G8" s="57">
        <v>7</v>
      </c>
      <c r="H8" s="57">
        <v>8</v>
      </c>
      <c r="I8" s="57">
        <v>9</v>
      </c>
      <c r="J8" s="57">
        <v>10</v>
      </c>
      <c r="K8" s="57">
        <v>11</v>
      </c>
      <c r="L8" s="57">
        <v>12</v>
      </c>
      <c r="M8" s="57">
        <v>13</v>
      </c>
      <c r="N8" s="57">
        <v>14</v>
      </c>
      <c r="O8" s="57">
        <v>15</v>
      </c>
    </row>
    <row r="9" spans="1:16" s="55" customFormat="1" ht="102.75" customHeight="1" x14ac:dyDescent="0.25">
      <c r="A9" s="57">
        <v>1</v>
      </c>
      <c r="B9" s="274" t="s">
        <v>350</v>
      </c>
      <c r="C9" s="58" t="s">
        <v>351</v>
      </c>
      <c r="D9" s="59">
        <f t="shared" ref="D9:D15" si="0">SUM(E9:G9)</f>
        <v>583.41863000000001</v>
      </c>
      <c r="E9" s="59">
        <f>340656.93/1000</f>
        <v>340.65692999999999</v>
      </c>
      <c r="F9" s="59">
        <f>242761.7/1000</f>
        <v>242.76169999999999</v>
      </c>
      <c r="G9" s="59">
        <v>0</v>
      </c>
      <c r="H9" s="59">
        <f>(713.49*0.8)/1000</f>
        <v>0.57079199999999997</v>
      </c>
      <c r="I9" s="59">
        <v>11656.266250000001</v>
      </c>
      <c r="J9" s="59">
        <f t="shared" ref="J9:J15" si="1">K9+L9+M9</f>
        <v>3553.0194566999999</v>
      </c>
      <c r="K9" s="59">
        <f>E9*H22</f>
        <v>2074.6007036999999</v>
      </c>
      <c r="L9" s="59">
        <f>F9*H22</f>
        <v>1478.4187529999999</v>
      </c>
      <c r="M9" s="59">
        <f>G9*H24</f>
        <v>0</v>
      </c>
      <c r="N9" s="59">
        <f>H9*H25</f>
        <v>6.48990504</v>
      </c>
      <c r="O9" s="60">
        <f t="shared" ref="O9:O15" si="2">N9/(L9+M9)</f>
        <v>4.389761038157E-3</v>
      </c>
    </row>
    <row r="10" spans="1:16" s="55" customFormat="1" ht="54.75" customHeight="1" x14ac:dyDescent="0.25">
      <c r="A10" s="56">
        <v>2</v>
      </c>
      <c r="B10" s="276"/>
      <c r="C10" s="61" t="s">
        <v>352</v>
      </c>
      <c r="D10" s="59">
        <f t="shared" si="0"/>
        <v>2228.558</v>
      </c>
      <c r="E10" s="59">
        <f>430700/1000</f>
        <v>430.7</v>
      </c>
      <c r="F10" s="59">
        <f>1797858/1000</f>
        <v>1797.8579999999999</v>
      </c>
      <c r="G10" s="59">
        <v>0</v>
      </c>
      <c r="H10" s="59">
        <f>1685/1000</f>
        <v>1.6850000000000001</v>
      </c>
      <c r="I10" s="59">
        <f>15834377.63/1000</f>
        <v>15834.377630000001</v>
      </c>
      <c r="J10" s="59">
        <f t="shared" si="1"/>
        <v>14351.91352</v>
      </c>
      <c r="K10" s="59">
        <f>E10*I22</f>
        <v>2773.7080000000001</v>
      </c>
      <c r="L10" s="59">
        <f>F10*I22</f>
        <v>11578.20552</v>
      </c>
      <c r="M10" s="59">
        <f>G10*I24</f>
        <v>0</v>
      </c>
      <c r="N10" s="59">
        <f>H10*I25</f>
        <v>14.1877</v>
      </c>
      <c r="O10" s="60">
        <f t="shared" si="2"/>
        <v>1.2253798721652001E-3</v>
      </c>
      <c r="P10" s="62"/>
    </row>
    <row r="11" spans="1:16" s="55" customFormat="1" ht="24.6" customHeight="1" x14ac:dyDescent="0.25">
      <c r="A11" s="57">
        <v>3</v>
      </c>
      <c r="B11" s="274" t="s">
        <v>353</v>
      </c>
      <c r="C11" s="61" t="s">
        <v>354</v>
      </c>
      <c r="D11" s="59">
        <f t="shared" si="0"/>
        <v>22378.080000000002</v>
      </c>
      <c r="E11" s="59">
        <v>15858.44</v>
      </c>
      <c r="F11" s="59">
        <v>6519.64</v>
      </c>
      <c r="G11" s="59">
        <v>0</v>
      </c>
      <c r="H11" s="59">
        <v>9.7100000000000009</v>
      </c>
      <c r="I11" s="59">
        <v>170961.79</v>
      </c>
      <c r="J11" s="59">
        <f t="shared" si="1"/>
        <v>129121.52159999999</v>
      </c>
      <c r="K11" s="59">
        <f>E11*J22</f>
        <v>91503.198799999998</v>
      </c>
      <c r="L11" s="59">
        <f>F11*J22</f>
        <v>37618.322800000002</v>
      </c>
      <c r="M11" s="59">
        <f>G11*J24</f>
        <v>0</v>
      </c>
      <c r="N11" s="59">
        <f>H11*J25</f>
        <v>154.48609999999999</v>
      </c>
      <c r="O11" s="60">
        <f t="shared" si="2"/>
        <v>4.1066716562919003E-3</v>
      </c>
    </row>
    <row r="12" spans="1:16" s="55" customFormat="1" ht="31.9" customHeight="1" x14ac:dyDescent="0.25">
      <c r="A12" s="56">
        <v>4</v>
      </c>
      <c r="B12" s="276"/>
      <c r="C12" s="61" t="s">
        <v>355</v>
      </c>
      <c r="D12" s="59">
        <f t="shared" si="0"/>
        <v>93405.18</v>
      </c>
      <c r="E12" s="59">
        <v>53163.12</v>
      </c>
      <c r="F12" s="59">
        <v>40153.81</v>
      </c>
      <c r="G12" s="59">
        <v>88.25</v>
      </c>
      <c r="H12" s="59">
        <v>33.76</v>
      </c>
      <c r="I12" s="59">
        <v>725870.83</v>
      </c>
      <c r="J12" s="59">
        <f t="shared" si="1"/>
        <v>538845.47</v>
      </c>
      <c r="K12" s="59">
        <v>306751.18</v>
      </c>
      <c r="L12" s="59">
        <v>231687.44</v>
      </c>
      <c r="M12" s="59">
        <v>406.85</v>
      </c>
      <c r="N12" s="59">
        <v>537.07000000000005</v>
      </c>
      <c r="O12" s="60">
        <f t="shared" si="2"/>
        <v>2.3140164284093001E-3</v>
      </c>
    </row>
    <row r="13" spans="1:16" s="55" customFormat="1" ht="60" customHeight="1" x14ac:dyDescent="0.25">
      <c r="A13" s="57">
        <v>5</v>
      </c>
      <c r="B13" s="274" t="s">
        <v>356</v>
      </c>
      <c r="C13" s="58" t="s">
        <v>357</v>
      </c>
      <c r="D13" s="59">
        <f t="shared" si="0"/>
        <v>52119.83</v>
      </c>
      <c r="E13" s="59">
        <v>15198.48</v>
      </c>
      <c r="F13" s="59">
        <v>31977.3</v>
      </c>
      <c r="G13" s="59">
        <v>4944.05</v>
      </c>
      <c r="H13" s="59">
        <v>16.13</v>
      </c>
      <c r="I13" s="59">
        <v>2024759.04</v>
      </c>
      <c r="J13" s="59">
        <f t="shared" si="1"/>
        <v>267889.86339999997</v>
      </c>
      <c r="K13" s="59">
        <f>E13*L22</f>
        <v>79488.050399999993</v>
      </c>
      <c r="L13" s="59">
        <f>F13*L22</f>
        <v>167241.27900000001</v>
      </c>
      <c r="M13" s="59">
        <f>G13*L24</f>
        <v>21160.534</v>
      </c>
      <c r="N13" s="59">
        <f>H13*L25</f>
        <v>231.46549999999999</v>
      </c>
      <c r="O13" s="60">
        <f t="shared" si="2"/>
        <v>1.2285736337367E-3</v>
      </c>
    </row>
    <row r="14" spans="1:16" s="55" customFormat="1" ht="39.6" customHeight="1" x14ac:dyDescent="0.25">
      <c r="A14" s="56">
        <v>6</v>
      </c>
      <c r="B14" s="276"/>
      <c r="C14" s="61" t="s">
        <v>358</v>
      </c>
      <c r="D14" s="59">
        <f t="shared" si="0"/>
        <v>89613.6</v>
      </c>
      <c r="E14" s="59">
        <v>44598.73</v>
      </c>
      <c r="F14" s="59">
        <v>40017</v>
      </c>
      <c r="G14" s="59">
        <v>4997.87</v>
      </c>
      <c r="H14" s="59">
        <f>7.69+81.8</f>
        <v>89.49</v>
      </c>
      <c r="I14" s="59">
        <v>738823.57</v>
      </c>
      <c r="J14" s="59">
        <f t="shared" si="1"/>
        <v>511472.85759999999</v>
      </c>
      <c r="K14" s="59">
        <f>E14*M22</f>
        <v>257334.6721</v>
      </c>
      <c r="L14" s="59">
        <f>F14*M22</f>
        <v>230898.09</v>
      </c>
      <c r="M14" s="59">
        <f>G14*M24</f>
        <v>23240.095499999999</v>
      </c>
      <c r="N14" s="59">
        <f>H14*M25</f>
        <v>1423.7859000000001</v>
      </c>
      <c r="O14" s="60">
        <f t="shared" si="2"/>
        <v>5.6024083795152002E-3</v>
      </c>
    </row>
    <row r="15" spans="1:16" s="55" customFormat="1" ht="46.15" customHeight="1" x14ac:dyDescent="0.25">
      <c r="A15" s="57">
        <v>7</v>
      </c>
      <c r="B15" s="63" t="s">
        <v>359</v>
      </c>
      <c r="C15" s="61" t="s">
        <v>360</v>
      </c>
      <c r="D15" s="59">
        <f t="shared" si="0"/>
        <v>981651.63</v>
      </c>
      <c r="E15" s="59">
        <v>448398.51</v>
      </c>
      <c r="F15" s="59">
        <v>486091.33</v>
      </c>
      <c r="G15" s="59">
        <v>47161.79</v>
      </c>
      <c r="H15" s="59">
        <v>143.03</v>
      </c>
      <c r="I15" s="59">
        <v>16001185.93</v>
      </c>
      <c r="J15" s="59">
        <f t="shared" si="1"/>
        <v>6269109.2307000002</v>
      </c>
      <c r="K15" s="59">
        <f>123094.59*N22+325303.92*N23</f>
        <v>2908258.6863000002</v>
      </c>
      <c r="L15" s="59">
        <f>110226.08*N22+375865.25*N23</f>
        <v>3158998.0832000002</v>
      </c>
      <c r="M15" s="59">
        <f>G15*N24</f>
        <v>201852.46119999999</v>
      </c>
      <c r="N15" s="59">
        <f>H15*N25</f>
        <v>1185.7186999999999</v>
      </c>
      <c r="O15" s="60">
        <f t="shared" si="2"/>
        <v>3.5280316227560002E-4</v>
      </c>
    </row>
    <row r="16" spans="1:16" s="55" customFormat="1" ht="24" customHeight="1" x14ac:dyDescent="0.25">
      <c r="A16" s="64"/>
      <c r="B16" s="64"/>
      <c r="C16" s="65" t="s">
        <v>361</v>
      </c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7">
        <f>(O9+O10+O11+O12+O13+O14+O15)/7</f>
        <v>2.7456591672216E-3</v>
      </c>
    </row>
    <row r="17" spans="1:15" s="55" customFormat="1" ht="18.75" customHeight="1" x14ac:dyDescent="0.25">
      <c r="A17" s="68"/>
      <c r="B17" s="68"/>
      <c r="C17" s="69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1"/>
    </row>
    <row r="18" spans="1:15" ht="21" customHeight="1" x14ac:dyDescent="0.25">
      <c r="C18" s="72" t="s">
        <v>362</v>
      </c>
    </row>
    <row r="19" spans="1:15" ht="30.75" customHeight="1" x14ac:dyDescent="0.25">
      <c r="L19" s="73"/>
    </row>
    <row r="20" spans="1:15" ht="15" customHeight="1" outlineLevel="1" x14ac:dyDescent="0.25">
      <c r="G20" s="271" t="s">
        <v>363</v>
      </c>
      <c r="H20" s="271"/>
      <c r="I20" s="271"/>
      <c r="J20" s="271"/>
      <c r="K20" s="271"/>
      <c r="L20" s="271"/>
      <c r="M20" s="271"/>
      <c r="N20" s="271"/>
    </row>
    <row r="21" spans="1:15" ht="15.75" customHeight="1" outlineLevel="1" x14ac:dyDescent="0.25">
      <c r="G21" s="74"/>
      <c r="H21" s="74" t="s">
        <v>364</v>
      </c>
      <c r="I21" s="74" t="s">
        <v>365</v>
      </c>
      <c r="J21" s="74" t="s">
        <v>366</v>
      </c>
      <c r="K21" s="75" t="s">
        <v>367</v>
      </c>
      <c r="L21" s="74" t="s">
        <v>368</v>
      </c>
      <c r="M21" s="74" t="s">
        <v>369</v>
      </c>
      <c r="N21" s="74" t="s">
        <v>370</v>
      </c>
      <c r="O21" s="68"/>
    </row>
    <row r="22" spans="1:15" ht="15.75" customHeight="1" outlineLevel="1" x14ac:dyDescent="0.25">
      <c r="G22" s="269" t="s">
        <v>371</v>
      </c>
      <c r="H22" s="268">
        <v>6.09</v>
      </c>
      <c r="I22" s="270">
        <v>6.44</v>
      </c>
      <c r="J22" s="268">
        <v>5.77</v>
      </c>
      <c r="K22" s="270">
        <v>5.77</v>
      </c>
      <c r="L22" s="268">
        <v>5.23</v>
      </c>
      <c r="M22" s="268">
        <v>5.77</v>
      </c>
      <c r="N22" s="76">
        <v>6.29</v>
      </c>
      <c r="O22" t="s">
        <v>372</v>
      </c>
    </row>
    <row r="23" spans="1:15" ht="15.75" customHeight="1" outlineLevel="1" x14ac:dyDescent="0.25">
      <c r="G23" s="269"/>
      <c r="H23" s="268"/>
      <c r="I23" s="270"/>
      <c r="J23" s="268"/>
      <c r="K23" s="270"/>
      <c r="L23" s="268"/>
      <c r="M23" s="268"/>
      <c r="N23" s="76">
        <v>6.56</v>
      </c>
      <c r="O23" t="s">
        <v>373</v>
      </c>
    </row>
    <row r="24" spans="1:15" ht="15.75" customHeight="1" outlineLevel="1" x14ac:dyDescent="0.25">
      <c r="G24" s="77" t="s">
        <v>374</v>
      </c>
      <c r="H24" s="76">
        <v>4.46</v>
      </c>
      <c r="I24" s="75">
        <v>4.28</v>
      </c>
      <c r="J24" s="76">
        <v>4.6500000000000004</v>
      </c>
      <c r="K24" s="75">
        <v>4.6100000000000003</v>
      </c>
      <c r="L24" s="76">
        <v>4.28</v>
      </c>
      <c r="M24" s="76">
        <v>4.6500000000000004</v>
      </c>
      <c r="N24" s="76">
        <v>4.28</v>
      </c>
      <c r="O24" s="68"/>
    </row>
    <row r="25" spans="1:15" ht="15.75" customHeight="1" outlineLevel="1" x14ac:dyDescent="0.25">
      <c r="G25" s="77" t="s">
        <v>348</v>
      </c>
      <c r="H25" s="76">
        <v>11.37</v>
      </c>
      <c r="I25" s="76">
        <v>8.42</v>
      </c>
      <c r="J25" s="76">
        <v>15.91</v>
      </c>
      <c r="K25" s="75">
        <v>15.91</v>
      </c>
      <c r="L25" s="76">
        <v>14.35</v>
      </c>
      <c r="M25" s="76">
        <v>15.91</v>
      </c>
      <c r="N25" s="76">
        <v>8.2899999999999991</v>
      </c>
      <c r="O25" s="68"/>
    </row>
    <row r="26" spans="1:15" ht="31.5" customHeight="1" outlineLevel="1" x14ac:dyDescent="0.25">
      <c r="G26" s="77" t="s">
        <v>375</v>
      </c>
      <c r="H26" s="76">
        <v>3.83</v>
      </c>
      <c r="I26" s="75">
        <v>3.95</v>
      </c>
      <c r="J26" s="76">
        <v>4.1500000000000004</v>
      </c>
      <c r="K26" s="75">
        <v>3.83</v>
      </c>
      <c r="L26" s="75">
        <v>3.95</v>
      </c>
      <c r="M26" s="76">
        <v>4.09</v>
      </c>
      <c r="N26" s="76">
        <v>3.95</v>
      </c>
      <c r="O26" s="68"/>
    </row>
    <row r="27" spans="1:15" ht="31.5" customHeight="1" outlineLevel="1" x14ac:dyDescent="0.25">
      <c r="G27" s="77" t="s">
        <v>376</v>
      </c>
      <c r="H27" s="76">
        <v>3.91</v>
      </c>
      <c r="I27" s="75">
        <v>3.99</v>
      </c>
      <c r="J27" s="76">
        <v>4.2300000000000004</v>
      </c>
      <c r="K27" s="75">
        <v>3.91</v>
      </c>
      <c r="L27" s="75">
        <v>3.99</v>
      </c>
      <c r="M27" s="76">
        <v>4.17</v>
      </c>
      <c r="N27" s="76">
        <v>3.99</v>
      </c>
      <c r="O27" s="68"/>
    </row>
    <row r="28" spans="1:15" ht="15.75" customHeight="1" outlineLevel="1" x14ac:dyDescent="0.25">
      <c r="G28" s="77" t="s">
        <v>315</v>
      </c>
      <c r="H28" s="76">
        <v>8.7899999999999991</v>
      </c>
      <c r="I28" s="76">
        <v>8.7899999999999991</v>
      </c>
      <c r="J28" s="76">
        <v>9.19</v>
      </c>
      <c r="K28" s="75">
        <v>9.1</v>
      </c>
      <c r="L28" s="76">
        <v>8.42</v>
      </c>
      <c r="M28" s="76">
        <v>9.19</v>
      </c>
      <c r="N28" s="76">
        <v>8.42</v>
      </c>
      <c r="O28" s="68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8" customWidth="1"/>
  </cols>
  <sheetData>
    <row r="2" spans="1:18" ht="18.75" customHeight="1" x14ac:dyDescent="0.25">
      <c r="A2" s="290" t="s">
        <v>377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</row>
    <row r="4" spans="1:18" ht="36.75" customHeight="1" x14ac:dyDescent="0.25">
      <c r="A4" s="274" t="s">
        <v>337</v>
      </c>
      <c r="B4" s="277" t="s">
        <v>338</v>
      </c>
      <c r="C4" s="280" t="s">
        <v>378</v>
      </c>
      <c r="D4" s="280" t="s">
        <v>379</v>
      </c>
      <c r="E4" s="283" t="s">
        <v>380</v>
      </c>
      <c r="F4" s="284"/>
      <c r="G4" s="284"/>
      <c r="H4" s="284"/>
      <c r="I4" s="284"/>
      <c r="J4" s="284"/>
      <c r="K4" s="284"/>
      <c r="L4" s="284"/>
      <c r="M4" s="284"/>
      <c r="N4" s="291" t="s">
        <v>381</v>
      </c>
      <c r="O4" s="292"/>
      <c r="P4" s="292"/>
      <c r="Q4" s="292"/>
      <c r="R4" s="293"/>
    </row>
    <row r="5" spans="1:18" ht="60" customHeight="1" x14ac:dyDescent="0.25">
      <c r="A5" s="275"/>
      <c r="B5" s="278"/>
      <c r="C5" s="281"/>
      <c r="D5" s="281"/>
      <c r="E5" s="288" t="s">
        <v>382</v>
      </c>
      <c r="F5" s="288" t="s">
        <v>383</v>
      </c>
      <c r="G5" s="285" t="s">
        <v>344</v>
      </c>
      <c r="H5" s="286"/>
      <c r="I5" s="286"/>
      <c r="J5" s="287"/>
      <c r="K5" s="288" t="s">
        <v>384</v>
      </c>
      <c r="L5" s="288"/>
      <c r="M5" s="288"/>
      <c r="N5" s="79" t="s">
        <v>385</v>
      </c>
      <c r="O5" s="79" t="s">
        <v>386</v>
      </c>
      <c r="P5" s="79" t="s">
        <v>387</v>
      </c>
      <c r="Q5" s="80" t="s">
        <v>388</v>
      </c>
      <c r="R5" s="79" t="s">
        <v>389</v>
      </c>
    </row>
    <row r="6" spans="1:18" ht="49.5" customHeight="1" x14ac:dyDescent="0.25">
      <c r="A6" s="276"/>
      <c r="B6" s="279"/>
      <c r="C6" s="282"/>
      <c r="D6" s="282"/>
      <c r="E6" s="288"/>
      <c r="F6" s="288"/>
      <c r="G6" s="52" t="s">
        <v>86</v>
      </c>
      <c r="H6" s="52" t="s">
        <v>87</v>
      </c>
      <c r="I6" s="52" t="s">
        <v>43</v>
      </c>
      <c r="J6" s="52" t="s">
        <v>315</v>
      </c>
      <c r="K6" s="52" t="s">
        <v>385</v>
      </c>
      <c r="L6" s="52" t="s">
        <v>386</v>
      </c>
      <c r="M6" s="52" t="s">
        <v>387</v>
      </c>
      <c r="N6" s="52" t="s">
        <v>390</v>
      </c>
      <c r="O6" s="52" t="s">
        <v>391</v>
      </c>
      <c r="P6" s="52" t="s">
        <v>392</v>
      </c>
      <c r="Q6" s="53" t="s">
        <v>393</v>
      </c>
      <c r="R6" s="52" t="s">
        <v>394</v>
      </c>
    </row>
    <row r="7" spans="1:18" ht="16.5" customHeight="1" x14ac:dyDescent="0.25">
      <c r="A7" s="57"/>
      <c r="B7" s="81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53"/>
      <c r="R7" s="56"/>
    </row>
    <row r="8" spans="1:18" x14ac:dyDescent="0.25">
      <c r="A8" s="57">
        <v>1</v>
      </c>
      <c r="B8" s="57"/>
      <c r="C8" s="57">
        <v>2</v>
      </c>
      <c r="D8" s="57">
        <v>3</v>
      </c>
      <c r="E8" s="57">
        <v>4</v>
      </c>
      <c r="F8" s="57">
        <v>5</v>
      </c>
      <c r="G8" s="57">
        <v>6</v>
      </c>
      <c r="H8" s="57">
        <v>7</v>
      </c>
      <c r="I8" s="57">
        <v>8</v>
      </c>
      <c r="J8" s="57">
        <v>9</v>
      </c>
      <c r="K8" s="57">
        <v>10</v>
      </c>
      <c r="L8" s="57">
        <v>11</v>
      </c>
      <c r="M8" s="57">
        <v>12</v>
      </c>
      <c r="N8" s="57">
        <v>13</v>
      </c>
      <c r="O8" s="57">
        <v>14</v>
      </c>
      <c r="P8" s="57">
        <v>15</v>
      </c>
      <c r="Q8" s="57">
        <v>16</v>
      </c>
      <c r="R8" s="57">
        <v>17</v>
      </c>
    </row>
    <row r="9" spans="1:18" ht="102.6" customHeight="1" x14ac:dyDescent="0.25">
      <c r="A9" s="274">
        <v>1</v>
      </c>
      <c r="B9" s="274" t="s">
        <v>395</v>
      </c>
      <c r="C9" s="294" t="s">
        <v>351</v>
      </c>
      <c r="D9" s="58" t="s">
        <v>396</v>
      </c>
      <c r="E9" s="59">
        <v>11656.266250000001</v>
      </c>
      <c r="F9" s="59">
        <f t="shared" ref="F9:F14" si="0">G9+H9+I9</f>
        <v>9442.6878704999999</v>
      </c>
      <c r="G9" s="59">
        <f>G10*E28</f>
        <v>2331.6699567000001</v>
      </c>
      <c r="H9" s="59">
        <f>H10*E28</f>
        <v>1695.3600216</v>
      </c>
      <c r="I9" s="59">
        <f>I10*E30</f>
        <v>5415.6578921999999</v>
      </c>
      <c r="J9" s="59"/>
      <c r="K9" s="59">
        <f>K10*1.19*E33</f>
        <v>136.37044035299999</v>
      </c>
      <c r="L9" s="59">
        <v>0</v>
      </c>
      <c r="M9" s="59">
        <f>M10*1.266*E34</f>
        <v>66.539350027799998</v>
      </c>
      <c r="N9" s="60">
        <f t="shared" ref="N9:N22" si="1">K9/(G9+H9)</f>
        <v>3.3863775806946002E-2</v>
      </c>
      <c r="O9" s="60">
        <f t="shared" ref="O9:O22" si="2">L9/(G9+H9)</f>
        <v>0</v>
      </c>
      <c r="P9" s="60">
        <f t="shared" ref="P9:P22" si="3">M9/(G9+H9)</f>
        <v>1.652318219292E-2</v>
      </c>
      <c r="Q9" s="82">
        <v>0</v>
      </c>
      <c r="R9" s="83">
        <f>N9+O9+P9+Q9</f>
        <v>5.0386957999864999E-2</v>
      </c>
    </row>
    <row r="10" spans="1:18" ht="72.599999999999994" hidden="1" customHeight="1" x14ac:dyDescent="0.25">
      <c r="A10" s="276"/>
      <c r="B10" s="275"/>
      <c r="C10" s="295"/>
      <c r="D10" s="58" t="s">
        <v>397</v>
      </c>
      <c r="E10" s="59">
        <v>2179.8248199999998</v>
      </c>
      <c r="F10" s="59">
        <f t="shared" si="0"/>
        <v>1875.52594</v>
      </c>
      <c r="G10" s="59">
        <f>382868.63/1000</f>
        <v>382.86863</v>
      </c>
      <c r="H10" s="59">
        <f>278384.24/1000</f>
        <v>278.38423999999998</v>
      </c>
      <c r="I10" s="59">
        <f>1214273.07/1000</f>
        <v>1214.27307</v>
      </c>
      <c r="J10" s="59"/>
      <c r="K10" s="59">
        <f>29920.89/1000</f>
        <v>29.92089</v>
      </c>
      <c r="L10" s="59">
        <v>0</v>
      </c>
      <c r="M10" s="59">
        <f>13442.13/1000</f>
        <v>13.442130000000001</v>
      </c>
      <c r="N10" s="60">
        <f t="shared" si="1"/>
        <v>4.5248786595059001E-2</v>
      </c>
      <c r="O10" s="60">
        <f t="shared" si="2"/>
        <v>0</v>
      </c>
      <c r="P10" s="60">
        <f t="shared" si="3"/>
        <v>2.0328274718868E-2</v>
      </c>
      <c r="Q10" s="82">
        <v>0</v>
      </c>
      <c r="R10" s="83"/>
    </row>
    <row r="11" spans="1:18" ht="192.75" customHeight="1" x14ac:dyDescent="0.25">
      <c r="A11" s="274">
        <v>2</v>
      </c>
      <c r="B11" s="275"/>
      <c r="C11" s="294" t="s">
        <v>398</v>
      </c>
      <c r="D11" s="58" t="s">
        <v>396</v>
      </c>
      <c r="E11" s="59">
        <v>688044.21</v>
      </c>
      <c r="F11" s="59">
        <f t="shared" si="0"/>
        <v>521424.06839999999</v>
      </c>
      <c r="G11" s="59">
        <f>G12*F28</f>
        <v>99804.705000000002</v>
      </c>
      <c r="H11" s="59">
        <f>H12*F28</f>
        <v>246917.90760000001</v>
      </c>
      <c r="I11" s="59">
        <f>I12*F30</f>
        <v>174701.4558</v>
      </c>
      <c r="J11" s="59"/>
      <c r="K11" s="59">
        <f>K12*1.19*F33</f>
        <v>8486.4829769999997</v>
      </c>
      <c r="L11" s="59">
        <f>L12*1.19*F33</f>
        <v>11572.501646999999</v>
      </c>
      <c r="M11" s="59">
        <f>M12*1.266*F34</f>
        <v>3883.6190735999999</v>
      </c>
      <c r="N11" s="60">
        <f t="shared" si="1"/>
        <v>2.4476289311970999E-2</v>
      </c>
      <c r="O11" s="60">
        <f t="shared" si="2"/>
        <v>3.3376829853179003E-2</v>
      </c>
      <c r="P11" s="60">
        <f t="shared" si="3"/>
        <v>1.1200939692042E-2</v>
      </c>
      <c r="Q11" s="82">
        <v>0</v>
      </c>
      <c r="R11" s="83">
        <f>N11+O11+P11+Q11</f>
        <v>6.9054058857192999E-2</v>
      </c>
    </row>
    <row r="12" spans="1:18" ht="100.9" hidden="1" customHeight="1" x14ac:dyDescent="0.25">
      <c r="A12" s="276"/>
      <c r="B12" s="276"/>
      <c r="C12" s="295"/>
      <c r="D12" s="58" t="s">
        <v>397</v>
      </c>
      <c r="E12" s="59">
        <v>116471.93</v>
      </c>
      <c r="F12" s="59">
        <f t="shared" si="0"/>
        <v>91466.75</v>
      </c>
      <c r="G12" s="59">
        <v>15053.5</v>
      </c>
      <c r="H12" s="59">
        <v>37242.519999999997</v>
      </c>
      <c r="I12" s="59">
        <v>39170.730000000003</v>
      </c>
      <c r="J12" s="59"/>
      <c r="K12" s="59">
        <v>1862.01</v>
      </c>
      <c r="L12" s="59">
        <v>2539.11</v>
      </c>
      <c r="M12" s="59">
        <v>784.56</v>
      </c>
      <c r="N12" s="60">
        <f t="shared" si="1"/>
        <v>3.5605195194586998E-2</v>
      </c>
      <c r="O12" s="60">
        <f t="shared" si="2"/>
        <v>4.8552643203058E-2</v>
      </c>
      <c r="P12" s="60">
        <f t="shared" si="3"/>
        <v>1.5002288893112999E-2</v>
      </c>
      <c r="Q12" s="82">
        <v>0</v>
      </c>
      <c r="R12" s="83"/>
    </row>
    <row r="13" spans="1:18" ht="49.15" customHeight="1" x14ac:dyDescent="0.25">
      <c r="A13" s="274">
        <v>3</v>
      </c>
      <c r="B13" s="274" t="s">
        <v>353</v>
      </c>
      <c r="C13" s="296" t="s">
        <v>354</v>
      </c>
      <c r="D13" s="58" t="s">
        <v>399</v>
      </c>
      <c r="E13" s="59">
        <v>170961.79</v>
      </c>
      <c r="F13" s="59">
        <f t="shared" si="0"/>
        <v>129121.52159999999</v>
      </c>
      <c r="G13" s="59">
        <f>G14*G28</f>
        <v>91503.198799999998</v>
      </c>
      <c r="H13" s="59">
        <f>H14*G28</f>
        <v>37618.322800000002</v>
      </c>
      <c r="I13" s="59">
        <f>I14*G30</f>
        <v>0</v>
      </c>
      <c r="J13" s="59"/>
      <c r="K13" s="59">
        <f>K14*1.19*G33</f>
        <v>1996.481088</v>
      </c>
      <c r="L13" s="59">
        <f>L14*1.19*G33</f>
        <v>2500.7293079999999</v>
      </c>
      <c r="M13" s="59">
        <f>M14*1.266*G34</f>
        <v>200.53819799999999</v>
      </c>
      <c r="N13" s="60">
        <f t="shared" si="1"/>
        <v>1.5462031915832E-2</v>
      </c>
      <c r="O13" s="60">
        <f t="shared" si="2"/>
        <v>1.9367254017862E-2</v>
      </c>
      <c r="P13" s="60">
        <f t="shared" si="3"/>
        <v>1.5530966140659E-3</v>
      </c>
      <c r="Q13" s="82">
        <v>4.5614105389631997E-3</v>
      </c>
      <c r="R13" s="83">
        <f>N13+O13+P13+Q13</f>
        <v>4.0943793086723003E-2</v>
      </c>
    </row>
    <row r="14" spans="1:18" ht="57" hidden="1" customHeight="1" x14ac:dyDescent="0.25">
      <c r="A14" s="276"/>
      <c r="B14" s="275"/>
      <c r="C14" s="297"/>
      <c r="D14" s="58" t="s">
        <v>397</v>
      </c>
      <c r="E14" s="59">
        <v>29033.31</v>
      </c>
      <c r="F14" s="59">
        <f t="shared" si="0"/>
        <v>22378.080000000002</v>
      </c>
      <c r="G14" s="59">
        <v>15858.44</v>
      </c>
      <c r="H14" s="59">
        <v>6519.64</v>
      </c>
      <c r="I14" s="59">
        <v>0</v>
      </c>
      <c r="J14" s="59"/>
      <c r="K14" s="59">
        <v>420.48</v>
      </c>
      <c r="L14" s="59">
        <v>526.67999999999995</v>
      </c>
      <c r="M14" s="59">
        <v>39.700000000000003</v>
      </c>
      <c r="N14" s="60">
        <f t="shared" si="1"/>
        <v>1.8789815748268001E-2</v>
      </c>
      <c r="O14" s="60">
        <f t="shared" si="2"/>
        <v>2.3535531198387E-2</v>
      </c>
      <c r="P14" s="60">
        <f t="shared" si="3"/>
        <v>1.7740574705247E-3</v>
      </c>
      <c r="Q14" s="82">
        <v>4.9753003421204997E-3</v>
      </c>
      <c r="R14" s="83"/>
    </row>
    <row r="15" spans="1:18" ht="67.900000000000006" customHeight="1" x14ac:dyDescent="0.25">
      <c r="A15" s="274">
        <v>4</v>
      </c>
      <c r="B15" s="275"/>
      <c r="C15" s="298" t="s">
        <v>355</v>
      </c>
      <c r="D15" s="61" t="s">
        <v>399</v>
      </c>
      <c r="E15" s="59">
        <v>725870.83</v>
      </c>
      <c r="F15" s="59">
        <v>551588.679</v>
      </c>
      <c r="G15" s="59">
        <v>319494.33</v>
      </c>
      <c r="H15" s="59">
        <v>231687.44</v>
      </c>
      <c r="I15" s="59">
        <v>406.85</v>
      </c>
      <c r="J15" s="59"/>
      <c r="K15" s="59">
        <v>12415.71</v>
      </c>
      <c r="L15" s="59">
        <v>14808.286339</v>
      </c>
      <c r="M15" s="59">
        <v>3822.96</v>
      </c>
      <c r="N15" s="60">
        <f t="shared" si="1"/>
        <v>2.2525618000755001E-2</v>
      </c>
      <c r="O15" s="60">
        <f t="shared" si="2"/>
        <v>2.6866429814977E-2</v>
      </c>
      <c r="P15" s="60">
        <f t="shared" si="3"/>
        <v>6.9359333128888E-3</v>
      </c>
      <c r="Q15" s="82">
        <v>3.5515340532281999E-3</v>
      </c>
      <c r="R15" s="83">
        <f>N15+O15+P15+Q15</f>
        <v>5.9879515181849002E-2</v>
      </c>
    </row>
    <row r="16" spans="1:18" ht="67.900000000000006" hidden="1" customHeight="1" x14ac:dyDescent="0.25">
      <c r="A16" s="276"/>
      <c r="B16" s="276"/>
      <c r="C16" s="299"/>
      <c r="D16" s="61" t="s">
        <v>397</v>
      </c>
      <c r="E16" s="59">
        <v>125177.97</v>
      </c>
      <c r="F16" s="59">
        <v>95613.7</v>
      </c>
      <c r="G16" s="59">
        <v>55371.64</v>
      </c>
      <c r="H16" s="59">
        <v>40153.81</v>
      </c>
      <c r="I16" s="59">
        <v>88.25</v>
      </c>
      <c r="J16" s="59"/>
      <c r="K16" s="59">
        <v>2724.12</v>
      </c>
      <c r="L16" s="59">
        <v>3249.07</v>
      </c>
      <c r="M16" s="59">
        <v>772.31</v>
      </c>
      <c r="N16" s="60">
        <f t="shared" si="1"/>
        <v>2.8517217139516E-2</v>
      </c>
      <c r="O16" s="60">
        <f t="shared" si="2"/>
        <v>3.4012611298874E-2</v>
      </c>
      <c r="P16" s="60">
        <f t="shared" si="3"/>
        <v>8.0848611548021993E-3</v>
      </c>
      <c r="Q16" s="82">
        <v>3.8737899135989E-3</v>
      </c>
      <c r="R16" s="83"/>
    </row>
    <row r="17" spans="1:18" ht="67.900000000000006" customHeight="1" x14ac:dyDescent="0.25">
      <c r="A17" s="274">
        <v>5</v>
      </c>
      <c r="B17" s="289" t="s">
        <v>356</v>
      </c>
      <c r="C17" s="294" t="s">
        <v>400</v>
      </c>
      <c r="D17" s="58" t="s">
        <v>401</v>
      </c>
      <c r="E17" s="59">
        <v>561932.85</v>
      </c>
      <c r="F17" s="59">
        <f>G17+H17+I17</f>
        <v>399667.21620000002</v>
      </c>
      <c r="G17" s="59">
        <f>G18*I28</f>
        <v>163785.296</v>
      </c>
      <c r="H17" s="59">
        <f>H18*I28</f>
        <v>147763.611</v>
      </c>
      <c r="I17" s="59">
        <f>I18*I30</f>
        <v>88118.309200000003</v>
      </c>
      <c r="J17" s="59"/>
      <c r="K17" s="59">
        <f>K18*1.19*I33</f>
        <v>19215.596995</v>
      </c>
      <c r="L17" s="59">
        <f>L18*1.19*I33</f>
        <v>0</v>
      </c>
      <c r="M17" s="59">
        <f>M18*1.266*I34</f>
        <v>1734.8322095999999</v>
      </c>
      <c r="N17" s="60">
        <f t="shared" si="1"/>
        <v>6.1677626090981999E-2</v>
      </c>
      <c r="O17" s="60">
        <f t="shared" si="2"/>
        <v>0</v>
      </c>
      <c r="P17" s="60">
        <f t="shared" si="3"/>
        <v>5.5684105147574998E-3</v>
      </c>
      <c r="Q17" s="82">
        <v>5.5643872525604002E-3</v>
      </c>
      <c r="R17" s="83">
        <f>N17+O17+P17+Q17</f>
        <v>7.2810423858299E-2</v>
      </c>
    </row>
    <row r="18" spans="1:18" ht="67.900000000000006" hidden="1" customHeight="1" x14ac:dyDescent="0.25">
      <c r="A18" s="276"/>
      <c r="B18" s="289"/>
      <c r="C18" s="295"/>
      <c r="D18" s="58" t="s">
        <v>397</v>
      </c>
      <c r="E18" s="59">
        <v>94393.09</v>
      </c>
      <c r="F18" s="59">
        <f>G18+H18+I18</f>
        <v>69651.210000000006</v>
      </c>
      <c r="G18" s="59">
        <v>25792.959999999999</v>
      </c>
      <c r="H18" s="59">
        <v>23269.86</v>
      </c>
      <c r="I18" s="59">
        <v>20588.39</v>
      </c>
      <c r="J18" s="59"/>
      <c r="K18" s="59">
        <v>4087.99</v>
      </c>
      <c r="L18" s="59">
        <v>0</v>
      </c>
      <c r="M18" s="59">
        <v>343.44</v>
      </c>
      <c r="N18" s="60">
        <f t="shared" si="1"/>
        <v>8.3321545724441004E-2</v>
      </c>
      <c r="O18" s="60">
        <f t="shared" si="2"/>
        <v>0</v>
      </c>
      <c r="P18" s="60">
        <f t="shared" si="3"/>
        <v>7.0000052993284996E-3</v>
      </c>
      <c r="Q18" s="82">
        <v>9.4728844648146997E-3</v>
      </c>
      <c r="R18" s="83"/>
    </row>
    <row r="19" spans="1:18" ht="67.900000000000006" customHeight="1" x14ac:dyDescent="0.25">
      <c r="A19" s="274">
        <v>6</v>
      </c>
      <c r="B19" s="289"/>
      <c r="C19" s="294" t="s">
        <v>358</v>
      </c>
      <c r="D19" s="61" t="s">
        <v>399</v>
      </c>
      <c r="E19" s="59">
        <v>738823.57</v>
      </c>
      <c r="F19" s="59">
        <v>511472.86</v>
      </c>
      <c r="G19" s="59">
        <v>257334.67</v>
      </c>
      <c r="H19" s="59">
        <v>230898.09</v>
      </c>
      <c r="I19" s="59">
        <v>23240.1</v>
      </c>
      <c r="J19" s="59"/>
      <c r="K19" s="59">
        <v>19584.188309000001</v>
      </c>
      <c r="L19" s="59">
        <v>0</v>
      </c>
      <c r="M19" s="59">
        <v>2539.5687809999999</v>
      </c>
      <c r="N19" s="60">
        <f t="shared" si="1"/>
        <v>4.0112401119907999E-2</v>
      </c>
      <c r="O19" s="60">
        <f t="shared" si="2"/>
        <v>0</v>
      </c>
      <c r="P19" s="60">
        <f t="shared" si="3"/>
        <v>5.2015534168579998E-3</v>
      </c>
      <c r="Q19" s="82">
        <v>5.1286902198045999E-3</v>
      </c>
      <c r="R19" s="83">
        <f>N19+O19+P19+Q19</f>
        <v>5.0442644756571002E-2</v>
      </c>
    </row>
    <row r="20" spans="1:18" ht="67.900000000000006" hidden="1" customHeight="1" x14ac:dyDescent="0.25">
      <c r="A20" s="276"/>
      <c r="B20" s="289"/>
      <c r="C20" s="295"/>
      <c r="D20" s="61" t="s">
        <v>397</v>
      </c>
      <c r="E20" s="59">
        <v>128717.35</v>
      </c>
      <c r="F20" s="59">
        <v>89613.6</v>
      </c>
      <c r="G20" s="59">
        <v>44598.73</v>
      </c>
      <c r="H20" s="59">
        <v>40017</v>
      </c>
      <c r="I20" s="59">
        <v>4997.87</v>
      </c>
      <c r="J20" s="59"/>
      <c r="K20" s="59">
        <v>4023.79</v>
      </c>
      <c r="L20" s="59">
        <v>0</v>
      </c>
      <c r="M20" s="59">
        <v>481.05</v>
      </c>
      <c r="N20" s="60">
        <f t="shared" si="1"/>
        <v>4.7553687712675E-2</v>
      </c>
      <c r="O20" s="60">
        <f t="shared" si="2"/>
        <v>0</v>
      </c>
      <c r="P20" s="60">
        <f t="shared" si="3"/>
        <v>5.6851131580381003E-3</v>
      </c>
      <c r="Q20" s="82">
        <v>5.5940533914911996E-3</v>
      </c>
      <c r="R20" s="83"/>
    </row>
    <row r="21" spans="1:18" ht="67.900000000000006" customHeight="1" x14ac:dyDescent="0.25">
      <c r="A21" s="274">
        <v>7</v>
      </c>
      <c r="B21" s="274" t="s">
        <v>359</v>
      </c>
      <c r="C21" s="294" t="s">
        <v>360</v>
      </c>
      <c r="D21" s="61" t="s">
        <v>402</v>
      </c>
      <c r="E21" s="59">
        <v>16001185.93</v>
      </c>
      <c r="F21" s="59">
        <f>G21+H21+I21+J21</f>
        <v>6269109.2307000002</v>
      </c>
      <c r="G21" s="59">
        <f>123094.59*K28+325303.92*K29</f>
        <v>2908258.6863000002</v>
      </c>
      <c r="H21" s="59">
        <f>110226.08*K28+375865.25*K29</f>
        <v>3158998.0832000002</v>
      </c>
      <c r="I21" s="59">
        <f>I22*K30</f>
        <v>201852.46119999999</v>
      </c>
      <c r="J21" s="59">
        <f>J22*K35</f>
        <v>0</v>
      </c>
      <c r="K21" s="59">
        <f>K22*K33*1.19</f>
        <v>48825.362634999998</v>
      </c>
      <c r="L21" s="59">
        <f>L22*1.19*K33</f>
        <v>73238.020449999996</v>
      </c>
      <c r="M21" s="59">
        <f>M22*K34*1.266</f>
        <v>11514.8831238</v>
      </c>
      <c r="N21" s="60">
        <f t="shared" si="1"/>
        <v>8.0473539343916007E-3</v>
      </c>
      <c r="O21" s="60">
        <f t="shared" si="2"/>
        <v>1.2071027027926E-2</v>
      </c>
      <c r="P21" s="60">
        <f t="shared" si="3"/>
        <v>1.8978730522309999E-3</v>
      </c>
      <c r="Q21" s="82">
        <v>5.9210415358545E-4</v>
      </c>
      <c r="R21" s="83">
        <f>N21+O21+P21+Q21</f>
        <v>2.2608358168133998E-2</v>
      </c>
    </row>
    <row r="22" spans="1:18" ht="67.900000000000006" hidden="1" customHeight="1" x14ac:dyDescent="0.25">
      <c r="A22" s="276"/>
      <c r="B22" s="276"/>
      <c r="C22" s="295"/>
      <c r="D22" s="84" t="s">
        <v>397</v>
      </c>
      <c r="E22" s="85">
        <v>2195184.4700000002</v>
      </c>
      <c r="F22" s="85">
        <f>G22+H22+I22+J22</f>
        <v>981651.63</v>
      </c>
      <c r="G22" s="85">
        <f>123094.59+325303.92</f>
        <v>448398.51</v>
      </c>
      <c r="H22" s="85">
        <f>110226.08+375865.25</f>
        <v>486091.33</v>
      </c>
      <c r="I22" s="85">
        <v>47161.79</v>
      </c>
      <c r="J22" s="85">
        <v>0</v>
      </c>
      <c r="K22" s="85">
        <v>10387.27</v>
      </c>
      <c r="L22" s="85">
        <v>15580.9</v>
      </c>
      <c r="M22" s="85">
        <v>2279.5700000000002</v>
      </c>
      <c r="N22" s="86">
        <f t="shared" si="1"/>
        <v>1.1115444551008E-2</v>
      </c>
      <c r="O22" s="86">
        <f t="shared" si="2"/>
        <v>1.6673161475998E-2</v>
      </c>
      <c r="P22" s="86">
        <f t="shared" si="3"/>
        <v>2.4393737656901999E-3</v>
      </c>
      <c r="Q22" s="87">
        <v>7.7662380726578996E-4</v>
      </c>
      <c r="R22" s="88"/>
    </row>
    <row r="23" spans="1:18" ht="67.900000000000006" customHeight="1" x14ac:dyDescent="0.25">
      <c r="A23" s="64"/>
      <c r="B23" s="64"/>
      <c r="C23" s="89" t="s">
        <v>403</v>
      </c>
      <c r="D23" s="65"/>
      <c r="E23" s="90"/>
      <c r="F23" s="90"/>
      <c r="G23" s="90"/>
      <c r="H23" s="90"/>
      <c r="I23" s="90"/>
      <c r="J23" s="90"/>
      <c r="K23" s="90"/>
      <c r="L23" s="90"/>
      <c r="M23" s="90"/>
      <c r="N23" s="67">
        <f>(N9+N11+N13+N15+N17+N19+N21)/7</f>
        <v>2.9452156597254999E-2</v>
      </c>
      <c r="O23" s="67">
        <f>(O9+O11+O13+O15+O17+O19+O21)/7</f>
        <v>1.3097362959135E-2</v>
      </c>
      <c r="P23" s="67">
        <f>(P9+P11+P13+P15+P17+P19+P21)/7</f>
        <v>6.9829983993947003E-3</v>
      </c>
      <c r="Q23" s="67">
        <f>(Q9+Q11+Q13+Q15+Q17+Q19+Q21)/7</f>
        <v>2.7711608883059999E-3</v>
      </c>
      <c r="R23" s="67">
        <f>N23+O23+P23+Q23</f>
        <v>5.2303678844090998E-2</v>
      </c>
    </row>
    <row r="24" spans="1:18" ht="67.900000000000006" customHeight="1" x14ac:dyDescent="0.25">
      <c r="A24" s="68"/>
      <c r="B24" s="68"/>
      <c r="C24" s="73"/>
      <c r="D24" s="69"/>
      <c r="E24" s="70"/>
      <c r="F24" s="70"/>
      <c r="G24" s="70"/>
      <c r="H24" s="70"/>
      <c r="I24" s="70"/>
      <c r="J24" s="70"/>
      <c r="K24" s="70"/>
      <c r="L24" s="70"/>
      <c r="M24" s="70"/>
      <c r="N24" s="71"/>
      <c r="O24" s="71"/>
      <c r="P24" s="71"/>
      <c r="Q24" s="70"/>
    </row>
    <row r="26" spans="1:18" ht="14.45" customHeight="1" outlineLevel="1" x14ac:dyDescent="0.25">
      <c r="D26" s="300" t="s">
        <v>404</v>
      </c>
      <c r="E26" s="300"/>
      <c r="F26" s="300"/>
      <c r="G26" s="300"/>
      <c r="H26" s="300"/>
      <c r="I26" s="300"/>
      <c r="J26" s="300"/>
      <c r="K26" s="300"/>
      <c r="L26" s="73"/>
      <c r="R26" s="91"/>
    </row>
    <row r="27" spans="1:18" outlineLevel="1" x14ac:dyDescent="0.25">
      <c r="D27" s="92"/>
      <c r="E27" s="92" t="s">
        <v>364</v>
      </c>
      <c r="F27" s="92" t="s">
        <v>365</v>
      </c>
      <c r="G27" s="92" t="s">
        <v>366</v>
      </c>
      <c r="H27" s="93" t="s">
        <v>367</v>
      </c>
      <c r="I27" s="93" t="s">
        <v>368</v>
      </c>
      <c r="J27" s="93" t="s">
        <v>369</v>
      </c>
      <c r="K27" s="64" t="s">
        <v>370</v>
      </c>
    </row>
    <row r="28" spans="1:18" outlineLevel="1" x14ac:dyDescent="0.25">
      <c r="D28" s="301" t="s">
        <v>371</v>
      </c>
      <c r="E28" s="303">
        <v>6.09</v>
      </c>
      <c r="F28" s="305">
        <v>6.63</v>
      </c>
      <c r="G28" s="303">
        <v>5.77</v>
      </c>
      <c r="H28" s="307">
        <v>5.77</v>
      </c>
      <c r="I28" s="307">
        <v>6.35</v>
      </c>
      <c r="J28" s="303">
        <v>5.77</v>
      </c>
      <c r="K28" s="94">
        <v>6.29</v>
      </c>
      <c r="L28" t="s">
        <v>372</v>
      </c>
    </row>
    <row r="29" spans="1:18" outlineLevel="1" x14ac:dyDescent="0.25">
      <c r="D29" s="302"/>
      <c r="E29" s="304"/>
      <c r="F29" s="306"/>
      <c r="G29" s="304"/>
      <c r="H29" s="308"/>
      <c r="I29" s="308"/>
      <c r="J29" s="304"/>
      <c r="K29" s="94">
        <v>6.56</v>
      </c>
      <c r="L29" t="s">
        <v>373</v>
      </c>
    </row>
    <row r="30" spans="1:18" outlineLevel="1" x14ac:dyDescent="0.25">
      <c r="D30" s="95" t="s">
        <v>374</v>
      </c>
      <c r="E30" s="94">
        <v>4.46</v>
      </c>
      <c r="F30" s="92">
        <v>4.46</v>
      </c>
      <c r="G30" s="94">
        <v>4.6500000000000004</v>
      </c>
      <c r="H30" s="93">
        <v>4.6100000000000003</v>
      </c>
      <c r="I30" s="93">
        <v>4.28</v>
      </c>
      <c r="J30" s="94">
        <v>4.6500000000000004</v>
      </c>
      <c r="K30" s="94">
        <v>4.28</v>
      </c>
    </row>
    <row r="31" spans="1:18" outlineLevel="1" x14ac:dyDescent="0.25">
      <c r="D31" s="301" t="s">
        <v>348</v>
      </c>
      <c r="E31" s="303">
        <v>11.37</v>
      </c>
      <c r="F31" s="305">
        <v>13.56</v>
      </c>
      <c r="G31" s="303">
        <v>15.91</v>
      </c>
      <c r="H31" s="307">
        <v>15.91</v>
      </c>
      <c r="I31" s="307">
        <v>14.03</v>
      </c>
      <c r="J31" s="303">
        <v>15.91</v>
      </c>
      <c r="K31" s="94">
        <v>8.2899999999999991</v>
      </c>
      <c r="L31" t="s">
        <v>372</v>
      </c>
    </row>
    <row r="32" spans="1:18" outlineLevel="1" x14ac:dyDescent="0.25">
      <c r="D32" s="302"/>
      <c r="E32" s="304"/>
      <c r="F32" s="306"/>
      <c r="G32" s="304"/>
      <c r="H32" s="308"/>
      <c r="I32" s="308"/>
      <c r="J32" s="304"/>
      <c r="K32" s="94">
        <v>11.84</v>
      </c>
      <c r="L32" t="s">
        <v>373</v>
      </c>
    </row>
    <row r="33" spans="4:12" ht="15" customHeight="1" outlineLevel="1" x14ac:dyDescent="0.25">
      <c r="D33" s="96" t="s">
        <v>375</v>
      </c>
      <c r="E33" s="97">
        <v>3.83</v>
      </c>
      <c r="F33" s="98">
        <v>3.83</v>
      </c>
      <c r="G33" s="97">
        <v>3.99</v>
      </c>
      <c r="H33" s="99">
        <v>3.83</v>
      </c>
      <c r="I33" s="99">
        <v>3.95</v>
      </c>
      <c r="J33" s="97">
        <v>4.09</v>
      </c>
      <c r="K33" s="94">
        <v>3.95</v>
      </c>
      <c r="L33" t="s">
        <v>405</v>
      </c>
    </row>
    <row r="34" spans="4:12" outlineLevel="1" x14ac:dyDescent="0.25">
      <c r="D34" s="96" t="s">
        <v>376</v>
      </c>
      <c r="E34" s="97">
        <v>3.91</v>
      </c>
      <c r="F34" s="98">
        <v>3.91</v>
      </c>
      <c r="G34" s="97">
        <v>3.99</v>
      </c>
      <c r="H34" s="99">
        <v>3.91</v>
      </c>
      <c r="I34" s="99">
        <v>3.99</v>
      </c>
      <c r="J34" s="97">
        <v>4.17</v>
      </c>
      <c r="K34" s="94">
        <v>3.99</v>
      </c>
      <c r="L34" t="s">
        <v>405</v>
      </c>
    </row>
    <row r="35" spans="4:12" outlineLevel="1" x14ac:dyDescent="0.25">
      <c r="D35" s="95" t="s">
        <v>315</v>
      </c>
      <c r="E35" s="94">
        <v>8.7899999999999991</v>
      </c>
      <c r="F35" s="92">
        <v>8.7899999999999991</v>
      </c>
      <c r="G35" s="94">
        <v>9.19</v>
      </c>
      <c r="H35" s="93">
        <v>9.1</v>
      </c>
      <c r="I35" s="93">
        <v>8.42</v>
      </c>
      <c r="J35" s="94">
        <v>9.19</v>
      </c>
      <c r="K35" s="94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08" t="s">
        <v>10</v>
      </c>
      <c r="B2" s="208"/>
      <c r="C2" s="208"/>
      <c r="D2" s="208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11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11"/>
    </row>
    <row r="5" spans="1:4" x14ac:dyDescent="0.25">
      <c r="A5" s="5"/>
      <c r="B5" s="1"/>
      <c r="C5" s="1"/>
    </row>
    <row r="6" spans="1:4" x14ac:dyDescent="0.25">
      <c r="A6" s="208" t="s">
        <v>12</v>
      </c>
      <c r="B6" s="208"/>
      <c r="C6" s="208"/>
      <c r="D6" s="208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12" t="s">
        <v>5</v>
      </c>
      <c r="B15" s="213" t="s">
        <v>15</v>
      </c>
      <c r="C15" s="213"/>
      <c r="D15" s="213"/>
    </row>
    <row r="16" spans="1:4" x14ac:dyDescent="0.25">
      <c r="A16" s="212"/>
      <c r="B16" s="212" t="s">
        <v>17</v>
      </c>
      <c r="C16" s="213" t="s">
        <v>28</v>
      </c>
      <c r="D16" s="213"/>
    </row>
    <row r="17" spans="1:4" ht="39" customHeight="1" x14ac:dyDescent="0.25">
      <c r="A17" s="212"/>
      <c r="B17" s="212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14" t="s">
        <v>29</v>
      </c>
      <c r="B2" s="214"/>
      <c r="C2" s="214"/>
      <c r="D2" s="214"/>
    </row>
    <row r="3" spans="1:10" x14ac:dyDescent="0.25">
      <c r="H3" s="103" t="s">
        <v>30</v>
      </c>
      <c r="I3" s="103" t="s">
        <v>31</v>
      </c>
      <c r="J3" s="103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100">
        <v>3985.09</v>
      </c>
      <c r="I4" s="100">
        <v>3153.63</v>
      </c>
      <c r="J4" s="100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1">
        <v>3</v>
      </c>
      <c r="B7" s="108" t="s">
        <v>41</v>
      </c>
      <c r="C7" s="108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2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G32"/>
  <sheetViews>
    <sheetView tabSelected="1" view="pageBreakPreview" zoomScale="70" zoomScaleNormal="55" zoomScaleSheetLayoutView="70" workbookViewId="0">
      <selection activeCell="V16" sqref="V16"/>
    </sheetView>
  </sheetViews>
  <sheetFormatPr defaultColWidth="9.140625" defaultRowHeight="15.75" x14ac:dyDescent="0.25"/>
  <cols>
    <col min="1" max="2" width="9.140625" style="113"/>
    <col min="3" max="3" width="36.85546875" style="113" customWidth="1"/>
    <col min="4" max="4" width="36.5703125" style="113" customWidth="1"/>
    <col min="5" max="5" width="17.5703125" style="113" customWidth="1"/>
    <col min="6" max="6" width="18.7109375" style="113" customWidth="1"/>
    <col min="7" max="7" width="9.140625" style="113"/>
  </cols>
  <sheetData>
    <row r="3" spans="2:4" x14ac:dyDescent="0.25">
      <c r="B3" s="215" t="s">
        <v>45</v>
      </c>
      <c r="C3" s="215"/>
      <c r="D3" s="215"/>
    </row>
    <row r="4" spans="2:4" x14ac:dyDescent="0.25">
      <c r="B4" s="216" t="s">
        <v>46</v>
      </c>
      <c r="C4" s="216"/>
      <c r="D4" s="216"/>
    </row>
    <row r="5" spans="2:4" x14ac:dyDescent="0.25">
      <c r="B5" s="114"/>
      <c r="C5" s="114"/>
      <c r="D5" s="114"/>
    </row>
    <row r="6" spans="2:4" x14ac:dyDescent="0.25">
      <c r="B6" s="114"/>
      <c r="C6" s="114"/>
      <c r="D6" s="114"/>
    </row>
    <row r="7" spans="2:4" ht="35.25" customHeight="1" x14ac:dyDescent="0.25">
      <c r="B7" s="217" t="s">
        <v>47</v>
      </c>
      <c r="C7" s="218"/>
      <c r="D7" s="218"/>
    </row>
    <row r="8" spans="2:4" ht="31.5" customHeight="1" x14ac:dyDescent="0.25">
      <c r="B8" s="218" t="s">
        <v>48</v>
      </c>
      <c r="C8" s="218"/>
      <c r="D8" s="218"/>
    </row>
    <row r="9" spans="2:4" x14ac:dyDescent="0.25">
      <c r="B9" s="218" t="s">
        <v>49</v>
      </c>
      <c r="C9" s="218"/>
      <c r="D9" s="218"/>
    </row>
    <row r="10" spans="2:4" x14ac:dyDescent="0.25">
      <c r="B10" s="183"/>
    </row>
    <row r="11" spans="2:4" x14ac:dyDescent="0.25">
      <c r="B11" s="122" t="s">
        <v>33</v>
      </c>
      <c r="C11" s="122" t="s">
        <v>50</v>
      </c>
      <c r="D11" s="115" t="s">
        <v>51</v>
      </c>
    </row>
    <row r="12" spans="2:4" ht="157.5" customHeight="1" x14ac:dyDescent="0.25">
      <c r="B12" s="122">
        <v>1</v>
      </c>
      <c r="C12" s="115" t="s">
        <v>52</v>
      </c>
      <c r="D12" s="122" t="s">
        <v>53</v>
      </c>
    </row>
    <row r="13" spans="2:4" ht="31.5" customHeight="1" x14ac:dyDescent="0.25">
      <c r="B13" s="122">
        <v>2</v>
      </c>
      <c r="C13" s="115" t="s">
        <v>54</v>
      </c>
      <c r="D13" s="122" t="s">
        <v>55</v>
      </c>
    </row>
    <row r="14" spans="2:4" x14ac:dyDescent="0.25">
      <c r="B14" s="122">
        <v>3</v>
      </c>
      <c r="C14" s="115" t="s">
        <v>56</v>
      </c>
      <c r="D14" s="122" t="s">
        <v>57</v>
      </c>
    </row>
    <row r="15" spans="2:4" x14ac:dyDescent="0.25">
      <c r="B15" s="122">
        <v>4</v>
      </c>
      <c r="C15" s="115" t="s">
        <v>58</v>
      </c>
      <c r="D15" s="122">
        <v>1</v>
      </c>
    </row>
    <row r="16" spans="2:4" ht="94.5" customHeight="1" x14ac:dyDescent="0.25">
      <c r="B16" s="122">
        <v>5</v>
      </c>
      <c r="C16" s="117" t="s">
        <v>59</v>
      </c>
      <c r="D16" s="122" t="s">
        <v>60</v>
      </c>
    </row>
    <row r="17" spans="2:6" ht="78.75" customHeight="1" x14ac:dyDescent="0.25">
      <c r="B17" s="122">
        <v>6</v>
      </c>
      <c r="C17" s="117" t="s">
        <v>61</v>
      </c>
      <c r="D17" s="118">
        <f>D18+D19</f>
        <v>495.48263880000002</v>
      </c>
    </row>
    <row r="18" spans="2:6" x14ac:dyDescent="0.25">
      <c r="B18" s="119" t="s">
        <v>62</v>
      </c>
      <c r="C18" s="115" t="s">
        <v>63</v>
      </c>
      <c r="D18" s="118">
        <f>'Прил.2 Расч стоим'!F14</f>
        <v>14.444894</v>
      </c>
    </row>
    <row r="19" spans="2:6" ht="15.75" customHeight="1" x14ac:dyDescent="0.25">
      <c r="B19" s="119" t="s">
        <v>64</v>
      </c>
      <c r="C19" s="115" t="s">
        <v>65</v>
      </c>
      <c r="D19" s="118">
        <f>'Прил.2 Расч стоим'!H14</f>
        <v>481.03774479999998</v>
      </c>
    </row>
    <row r="20" spans="2:6" ht="16.5" customHeight="1" x14ac:dyDescent="0.25">
      <c r="B20" s="119" t="s">
        <v>66</v>
      </c>
      <c r="C20" s="115" t="s">
        <v>67</v>
      </c>
      <c r="D20" s="118"/>
      <c r="F20" s="120"/>
    </row>
    <row r="21" spans="2:6" ht="35.25" customHeight="1" x14ac:dyDescent="0.25">
      <c r="B21" s="119" t="s">
        <v>68</v>
      </c>
      <c r="C21" s="121" t="s">
        <v>69</v>
      </c>
      <c r="D21" s="118"/>
    </row>
    <row r="22" spans="2:6" x14ac:dyDescent="0.25">
      <c r="B22" s="122">
        <v>7</v>
      </c>
      <c r="C22" s="121" t="s">
        <v>70</v>
      </c>
      <c r="D22" s="122" t="s">
        <v>71</v>
      </c>
    </row>
    <row r="23" spans="2:6" ht="123" customHeight="1" x14ac:dyDescent="0.25">
      <c r="B23" s="122">
        <v>8</v>
      </c>
      <c r="C23" s="123" t="s">
        <v>72</v>
      </c>
      <c r="D23" s="118">
        <f>D17</f>
        <v>495.48263880000002</v>
      </c>
    </row>
    <row r="24" spans="2:6" ht="60.75" customHeight="1" x14ac:dyDescent="0.25">
      <c r="B24" s="122">
        <v>9</v>
      </c>
      <c r="C24" s="117" t="s">
        <v>73</v>
      </c>
      <c r="D24" s="118">
        <f>D17/D15</f>
        <v>495.48263880000002</v>
      </c>
    </row>
    <row r="25" spans="2:6" ht="118.5" customHeight="1" x14ac:dyDescent="0.25">
      <c r="B25" s="122">
        <v>10</v>
      </c>
      <c r="C25" s="115" t="s">
        <v>74</v>
      </c>
      <c r="D25" s="115"/>
    </row>
    <row r="26" spans="2:6" x14ac:dyDescent="0.25">
      <c r="B26" s="124"/>
      <c r="C26" s="125"/>
      <c r="D26" s="125"/>
    </row>
    <row r="27" spans="2:6" ht="37.5" customHeight="1" x14ac:dyDescent="0.25">
      <c r="B27" s="126"/>
    </row>
    <row r="28" spans="2:6" x14ac:dyDescent="0.25">
      <c r="B28" s="113" t="s">
        <v>75</v>
      </c>
    </row>
    <row r="29" spans="2:6" x14ac:dyDescent="0.25">
      <c r="B29" s="126" t="s">
        <v>76</v>
      </c>
    </row>
    <row r="31" spans="2:6" x14ac:dyDescent="0.25">
      <c r="B31" s="113" t="s">
        <v>77</v>
      </c>
    </row>
    <row r="32" spans="2:6" x14ac:dyDescent="0.25">
      <c r="B32" s="126" t="s">
        <v>78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67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2"/>
  <sheetViews>
    <sheetView view="pageBreakPreview" zoomScale="70" zoomScaleNormal="70" workbookViewId="0">
      <selection activeCell="F18" sqref="F18"/>
    </sheetView>
  </sheetViews>
  <sheetFormatPr defaultColWidth="9.140625" defaultRowHeight="15.75" x14ac:dyDescent="0.25"/>
  <cols>
    <col min="1" max="1" width="5.5703125" style="113" customWidth="1"/>
    <col min="2" max="2" width="9.140625" style="113"/>
    <col min="3" max="3" width="35.28515625" style="113" customWidth="1"/>
    <col min="4" max="4" width="13.85546875" style="113" customWidth="1"/>
    <col min="5" max="5" width="24.85546875" style="113" customWidth="1"/>
    <col min="6" max="6" width="15.5703125" style="113" customWidth="1"/>
    <col min="7" max="7" width="14.85546875" style="113" customWidth="1"/>
    <col min="8" max="8" width="16.7109375" style="113" customWidth="1"/>
    <col min="9" max="10" width="13" style="113" customWidth="1"/>
    <col min="11" max="11" width="18" style="113" customWidth="1"/>
    <col min="12" max="12" width="9.140625" style="113"/>
  </cols>
  <sheetData>
    <row r="3" spans="2:12" x14ac:dyDescent="0.25">
      <c r="B3" s="215" t="s">
        <v>79</v>
      </c>
      <c r="C3" s="215"/>
      <c r="D3" s="215"/>
      <c r="E3" s="215"/>
      <c r="F3" s="215"/>
      <c r="G3" s="215"/>
      <c r="H3" s="215"/>
      <c r="I3" s="215"/>
      <c r="J3" s="215"/>
      <c r="K3" s="126"/>
    </row>
    <row r="4" spans="2:12" x14ac:dyDescent="0.25">
      <c r="B4" s="216" t="s">
        <v>80</v>
      </c>
      <c r="C4" s="216"/>
      <c r="D4" s="216"/>
      <c r="E4" s="216"/>
      <c r="F4" s="216"/>
      <c r="G4" s="216"/>
      <c r="H4" s="216"/>
      <c r="I4" s="216"/>
      <c r="J4" s="216"/>
      <c r="K4" s="216"/>
    </row>
    <row r="5" spans="2:12" x14ac:dyDescent="0.25">
      <c r="B5" s="114"/>
      <c r="C5" s="114"/>
      <c r="D5" s="114"/>
      <c r="E5" s="114"/>
      <c r="F5" s="114"/>
      <c r="G5" s="114"/>
      <c r="H5" s="114"/>
      <c r="I5" s="114"/>
      <c r="J5" s="114"/>
      <c r="K5" s="114"/>
    </row>
    <row r="6" spans="2:12" ht="15.75" customHeight="1" x14ac:dyDescent="0.25">
      <c r="B6" s="220" t="s">
        <v>81</v>
      </c>
      <c r="C6" s="220"/>
      <c r="D6" s="220"/>
      <c r="E6" s="220"/>
      <c r="F6" s="220"/>
      <c r="G6" s="220"/>
      <c r="H6" s="220"/>
      <c r="I6" s="220"/>
      <c r="J6" s="220"/>
      <c r="K6" s="126"/>
      <c r="L6" s="127"/>
    </row>
    <row r="7" spans="2:12" x14ac:dyDescent="0.25">
      <c r="B7" s="218" t="s">
        <v>49</v>
      </c>
      <c r="C7" s="218"/>
      <c r="D7" s="218"/>
      <c r="E7" s="218"/>
      <c r="F7" s="218"/>
      <c r="G7" s="218"/>
      <c r="H7" s="218"/>
      <c r="I7" s="218"/>
      <c r="J7" s="218"/>
      <c r="K7" s="218"/>
      <c r="L7" s="127"/>
    </row>
    <row r="8" spans="2:12" x14ac:dyDescent="0.25">
      <c r="B8" s="183"/>
    </row>
    <row r="9" spans="2:12" ht="15.75" customHeight="1" x14ac:dyDescent="0.25">
      <c r="B9" s="221" t="s">
        <v>33</v>
      </c>
      <c r="C9" s="221" t="s">
        <v>82</v>
      </c>
      <c r="D9" s="221" t="s">
        <v>51</v>
      </c>
      <c r="E9" s="221"/>
      <c r="F9" s="221"/>
      <c r="G9" s="221"/>
      <c r="H9" s="221"/>
      <c r="I9" s="221"/>
      <c r="J9" s="221"/>
    </row>
    <row r="10" spans="2:12" ht="15.75" customHeight="1" x14ac:dyDescent="0.25">
      <c r="B10" s="221"/>
      <c r="C10" s="221"/>
      <c r="D10" s="221" t="s">
        <v>83</v>
      </c>
      <c r="E10" s="221" t="s">
        <v>84</v>
      </c>
      <c r="F10" s="221" t="s">
        <v>85</v>
      </c>
      <c r="G10" s="221"/>
      <c r="H10" s="221"/>
      <c r="I10" s="221"/>
      <c r="J10" s="221"/>
    </row>
    <row r="11" spans="2:12" ht="31.5" customHeight="1" x14ac:dyDescent="0.25">
      <c r="B11" s="221"/>
      <c r="C11" s="221"/>
      <c r="D11" s="221"/>
      <c r="E11" s="221"/>
      <c r="F11" s="122" t="s">
        <v>86</v>
      </c>
      <c r="G11" s="122" t="s">
        <v>87</v>
      </c>
      <c r="H11" s="122" t="s">
        <v>43</v>
      </c>
      <c r="I11" s="122" t="s">
        <v>88</v>
      </c>
      <c r="J11" s="122" t="s">
        <v>89</v>
      </c>
    </row>
    <row r="12" spans="2:12" ht="47.25" customHeight="1" x14ac:dyDescent="0.25">
      <c r="B12" s="184">
        <v>1</v>
      </c>
      <c r="C12" s="137" t="s">
        <v>90</v>
      </c>
      <c r="D12" s="128"/>
      <c r="E12" s="116"/>
      <c r="F12" s="222">
        <v>14.444894</v>
      </c>
      <c r="G12" s="223"/>
      <c r="H12" s="129">
        <v>481.03774479999998</v>
      </c>
      <c r="I12" s="130"/>
      <c r="J12" s="131">
        <v>495.48263880000002</v>
      </c>
    </row>
    <row r="13" spans="2:12" ht="15.75" customHeight="1" x14ac:dyDescent="0.25">
      <c r="B13" s="219" t="s">
        <v>91</v>
      </c>
      <c r="C13" s="219"/>
      <c r="D13" s="219"/>
      <c r="E13" s="219"/>
      <c r="F13" s="132"/>
      <c r="G13" s="132"/>
      <c r="H13" s="132"/>
      <c r="I13" s="133"/>
      <c r="J13" s="134"/>
    </row>
    <row r="14" spans="2:12" ht="28.5" customHeight="1" x14ac:dyDescent="0.25">
      <c r="B14" s="219" t="s">
        <v>92</v>
      </c>
      <c r="C14" s="219"/>
      <c r="D14" s="219"/>
      <c r="E14" s="219"/>
      <c r="F14" s="224">
        <f>F12</f>
        <v>14.444894</v>
      </c>
      <c r="G14" s="225"/>
      <c r="H14" s="132">
        <f>H12</f>
        <v>481.03774479999998</v>
      </c>
      <c r="I14" s="133"/>
      <c r="J14" s="134">
        <f>J12</f>
        <v>495.48263880000002</v>
      </c>
    </row>
    <row r="18" spans="2:2" x14ac:dyDescent="0.25">
      <c r="B18" s="113" t="s">
        <v>75</v>
      </c>
    </row>
    <row r="19" spans="2:2" x14ac:dyDescent="0.25">
      <c r="B19" s="126" t="s">
        <v>76</v>
      </c>
    </row>
    <row r="21" spans="2:2" x14ac:dyDescent="0.25">
      <c r="B21" s="113" t="s">
        <v>77</v>
      </c>
    </row>
    <row r="22" spans="2:2" x14ac:dyDescent="0.25">
      <c r="B22" s="126" t="s">
        <v>78</v>
      </c>
    </row>
  </sheetData>
  <mergeCells count="14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4:M45"/>
  <sheetViews>
    <sheetView view="pageBreakPreview" topLeftCell="A27" zoomScale="85" zoomScaleSheetLayoutView="85" workbookViewId="0">
      <selection activeCell="D43" sqref="D43"/>
    </sheetView>
  </sheetViews>
  <sheetFormatPr defaultColWidth="9.140625" defaultRowHeight="15.75" x14ac:dyDescent="0.25"/>
  <cols>
    <col min="1" max="1" width="9.140625" style="113"/>
    <col min="2" max="2" width="12.5703125" style="113" customWidth="1"/>
    <col min="3" max="3" width="22.42578125" style="113" customWidth="1"/>
    <col min="4" max="4" width="49.7109375" style="113" customWidth="1"/>
    <col min="5" max="5" width="10.140625" style="135" customWidth="1"/>
    <col min="6" max="6" width="20.7109375" style="113" customWidth="1"/>
    <col min="7" max="7" width="16.140625" style="113" customWidth="1"/>
    <col min="8" max="8" width="16.7109375" style="113" customWidth="1"/>
    <col min="9" max="9" width="9.140625" style="113"/>
    <col min="10" max="10" width="10.28515625" style="113" customWidth="1"/>
    <col min="11" max="11" width="9.140625" style="113"/>
  </cols>
  <sheetData>
    <row r="4" spans="1:13" x14ac:dyDescent="0.25">
      <c r="A4" s="215" t="s">
        <v>93</v>
      </c>
      <c r="B4" s="215"/>
      <c r="C4" s="215"/>
      <c r="D4" s="215"/>
      <c r="E4" s="215"/>
      <c r="F4" s="215"/>
      <c r="G4" s="215"/>
      <c r="H4" s="215"/>
    </row>
    <row r="5" spans="1:13" x14ac:dyDescent="0.25">
      <c r="A5" s="216" t="s">
        <v>94</v>
      </c>
      <c r="B5" s="216"/>
      <c r="C5" s="216"/>
      <c r="D5" s="216"/>
      <c r="E5" s="216"/>
      <c r="F5" s="216"/>
      <c r="G5" s="216"/>
      <c r="H5" s="216"/>
    </row>
    <row r="6" spans="1:13" x14ac:dyDescent="0.25">
      <c r="A6" s="183"/>
    </row>
    <row r="7" spans="1:13" x14ac:dyDescent="0.25">
      <c r="A7" s="220" t="s">
        <v>95</v>
      </c>
      <c r="B7" s="220"/>
      <c r="C7" s="220"/>
      <c r="D7" s="220"/>
      <c r="E7" s="220"/>
      <c r="F7" s="220"/>
      <c r="G7" s="220"/>
      <c r="H7" s="220"/>
    </row>
    <row r="8" spans="1:13" x14ac:dyDescent="0.25">
      <c r="A8" s="136"/>
      <c r="B8" s="136"/>
      <c r="C8" s="136"/>
      <c r="D8" s="136"/>
      <c r="E8" s="114"/>
      <c r="F8" s="136"/>
      <c r="G8" s="136"/>
      <c r="H8" s="136"/>
    </row>
    <row r="9" spans="1:13" ht="38.25" customHeight="1" x14ac:dyDescent="0.25">
      <c r="A9" s="221" t="s">
        <v>96</v>
      </c>
      <c r="B9" s="221" t="s">
        <v>97</v>
      </c>
      <c r="C9" s="221" t="s">
        <v>98</v>
      </c>
      <c r="D9" s="221" t="s">
        <v>99</v>
      </c>
      <c r="E9" s="221" t="s">
        <v>100</v>
      </c>
      <c r="F9" s="221" t="s">
        <v>101</v>
      </c>
      <c r="G9" s="221" t="s">
        <v>102</v>
      </c>
      <c r="H9" s="221"/>
    </row>
    <row r="10" spans="1:13" ht="40.5" customHeight="1" x14ac:dyDescent="0.25">
      <c r="A10" s="221"/>
      <c r="B10" s="221"/>
      <c r="C10" s="221"/>
      <c r="D10" s="221"/>
      <c r="E10" s="221"/>
      <c r="F10" s="221"/>
      <c r="G10" s="122" t="s">
        <v>103</v>
      </c>
      <c r="H10" s="122" t="s">
        <v>104</v>
      </c>
    </row>
    <row r="11" spans="1:13" x14ac:dyDescent="0.25">
      <c r="A11" s="137">
        <v>1</v>
      </c>
      <c r="B11" s="137"/>
      <c r="C11" s="137">
        <v>2</v>
      </c>
      <c r="D11" s="137" t="s">
        <v>105</v>
      </c>
      <c r="E11" s="137">
        <v>4</v>
      </c>
      <c r="F11" s="137">
        <v>5</v>
      </c>
      <c r="G11" s="137">
        <v>6</v>
      </c>
      <c r="H11" s="137">
        <v>7</v>
      </c>
    </row>
    <row r="12" spans="1:13" s="139" customFormat="1" x14ac:dyDescent="0.25">
      <c r="A12" s="226" t="s">
        <v>106</v>
      </c>
      <c r="B12" s="227"/>
      <c r="C12" s="228"/>
      <c r="D12" s="228"/>
      <c r="E12" s="227"/>
      <c r="F12" s="138">
        <f>SUM(F13:F14)</f>
        <v>112.36</v>
      </c>
      <c r="G12" s="138"/>
      <c r="H12" s="138">
        <f>SUM(H13:H14)</f>
        <v>1067.43</v>
      </c>
      <c r="I12" s="113"/>
      <c r="J12" s="113"/>
      <c r="K12" s="113"/>
      <c r="L12" s="113"/>
      <c r="M12" s="113"/>
    </row>
    <row r="13" spans="1:13" x14ac:dyDescent="0.25">
      <c r="A13" s="140">
        <v>1</v>
      </c>
      <c r="B13" s="141" t="s">
        <v>107</v>
      </c>
      <c r="C13" s="142" t="s">
        <v>108</v>
      </c>
      <c r="D13" s="143" t="s">
        <v>109</v>
      </c>
      <c r="E13" s="144" t="s">
        <v>110</v>
      </c>
      <c r="F13" s="140">
        <v>100</v>
      </c>
      <c r="G13" s="145">
        <v>9.6199999999999992</v>
      </c>
      <c r="H13" s="145">
        <f>ROUND(F13*G13,2)</f>
        <v>962</v>
      </c>
    </row>
    <row r="14" spans="1:13" x14ac:dyDescent="0.25">
      <c r="A14" s="140">
        <v>2</v>
      </c>
      <c r="B14" s="141" t="s">
        <v>107</v>
      </c>
      <c r="C14" s="142" t="s">
        <v>111</v>
      </c>
      <c r="D14" s="143" t="s">
        <v>112</v>
      </c>
      <c r="E14" s="144" t="s">
        <v>110</v>
      </c>
      <c r="F14" s="140">
        <v>12.36</v>
      </c>
      <c r="G14" s="145">
        <v>8.5299999999999994</v>
      </c>
      <c r="H14" s="145">
        <f>ROUND(F14*G14,2)</f>
        <v>105.43</v>
      </c>
    </row>
    <row r="15" spans="1:13" x14ac:dyDescent="0.25">
      <c r="A15" s="226" t="s">
        <v>113</v>
      </c>
      <c r="B15" s="227"/>
      <c r="C15" s="228"/>
      <c r="D15" s="228"/>
      <c r="E15" s="227"/>
      <c r="F15" s="185">
        <f>F16</f>
        <v>2.02</v>
      </c>
      <c r="G15" s="138"/>
      <c r="H15" s="138">
        <f>H16</f>
        <v>23.28</v>
      </c>
    </row>
    <row r="16" spans="1:13" x14ac:dyDescent="0.25">
      <c r="A16" s="140">
        <v>3</v>
      </c>
      <c r="B16" s="140" t="s">
        <v>107</v>
      </c>
      <c r="C16" s="143">
        <v>2</v>
      </c>
      <c r="D16" s="143" t="s">
        <v>113</v>
      </c>
      <c r="E16" s="144" t="s">
        <v>110</v>
      </c>
      <c r="F16" s="140">
        <v>2.02</v>
      </c>
      <c r="G16" s="145"/>
      <c r="H16" s="145">
        <v>23.28</v>
      </c>
    </row>
    <row r="17" spans="1:13" s="139" customFormat="1" x14ac:dyDescent="0.25">
      <c r="A17" s="226" t="s">
        <v>114</v>
      </c>
      <c r="B17" s="227"/>
      <c r="C17" s="228"/>
      <c r="D17" s="228"/>
      <c r="E17" s="227"/>
      <c r="F17" s="185"/>
      <c r="G17" s="138"/>
      <c r="H17" s="138">
        <f>SUM(H18:H19)</f>
        <v>135.16</v>
      </c>
      <c r="I17" s="113"/>
      <c r="J17" s="113"/>
      <c r="K17" s="113"/>
      <c r="L17" s="113"/>
      <c r="M17" s="113"/>
    </row>
    <row r="18" spans="1:13" x14ac:dyDescent="0.25">
      <c r="A18" s="140">
        <v>4</v>
      </c>
      <c r="B18" s="140" t="s">
        <v>107</v>
      </c>
      <c r="C18" s="143" t="s">
        <v>115</v>
      </c>
      <c r="D18" s="143" t="s">
        <v>116</v>
      </c>
      <c r="E18" s="144" t="s">
        <v>117</v>
      </c>
      <c r="F18" s="140">
        <v>1.92</v>
      </c>
      <c r="G18" s="145">
        <v>65.709999999999994</v>
      </c>
      <c r="H18" s="145">
        <f>ROUND(F18*G18,2)</f>
        <v>126.16</v>
      </c>
    </row>
    <row r="19" spans="1:13" s="139" customFormat="1" x14ac:dyDescent="0.25">
      <c r="A19" s="140">
        <v>5</v>
      </c>
      <c r="B19" s="140" t="s">
        <v>107</v>
      </c>
      <c r="C19" s="143" t="s">
        <v>118</v>
      </c>
      <c r="D19" s="143" t="s">
        <v>119</v>
      </c>
      <c r="E19" s="144" t="s">
        <v>117</v>
      </c>
      <c r="F19" s="140">
        <v>0.1</v>
      </c>
      <c r="G19" s="145">
        <v>89.99</v>
      </c>
      <c r="H19" s="145">
        <f>ROUND(F19*G19,2)</f>
        <v>9</v>
      </c>
      <c r="I19" s="113"/>
      <c r="J19" s="113"/>
      <c r="K19" s="113"/>
      <c r="L19" s="113"/>
      <c r="M19" s="113"/>
    </row>
    <row r="20" spans="1:13" x14ac:dyDescent="0.25">
      <c r="A20" s="226" t="s">
        <v>43</v>
      </c>
      <c r="B20" s="227"/>
      <c r="C20" s="228"/>
      <c r="D20" s="228"/>
      <c r="E20" s="227"/>
      <c r="F20" s="185"/>
      <c r="G20" s="138"/>
      <c r="H20" s="138">
        <f>SUM(H21:H21)</f>
        <v>86517.58</v>
      </c>
    </row>
    <row r="21" spans="1:13" s="139" customFormat="1" ht="94.5" customHeight="1" x14ac:dyDescent="0.25">
      <c r="A21" s="140">
        <v>6</v>
      </c>
      <c r="B21" s="140" t="s">
        <v>107</v>
      </c>
      <c r="C21" s="143" t="s">
        <v>120</v>
      </c>
      <c r="D21" s="143" t="s">
        <v>121</v>
      </c>
      <c r="E21" s="144" t="s">
        <v>122</v>
      </c>
      <c r="F21" s="140">
        <v>2</v>
      </c>
      <c r="G21" s="145">
        <v>43258.79</v>
      </c>
      <c r="H21" s="145">
        <f>ROUND(F21*G21,2)</f>
        <v>86517.58</v>
      </c>
      <c r="I21" s="113"/>
      <c r="J21" s="113"/>
      <c r="K21" s="113"/>
      <c r="L21" s="113"/>
      <c r="M21" s="113"/>
    </row>
    <row r="22" spans="1:13" x14ac:dyDescent="0.25">
      <c r="A22" s="226" t="s">
        <v>123</v>
      </c>
      <c r="B22" s="227"/>
      <c r="C22" s="228"/>
      <c r="D22" s="228"/>
      <c r="E22" s="227"/>
      <c r="F22" s="185"/>
      <c r="G22" s="138"/>
      <c r="H22" s="138">
        <f>SUM(H23:H38)</f>
        <v>447.93</v>
      </c>
    </row>
    <row r="23" spans="1:13" ht="31.5" customHeight="1" x14ac:dyDescent="0.25">
      <c r="A23" s="140">
        <v>7</v>
      </c>
      <c r="B23" s="140" t="s">
        <v>107</v>
      </c>
      <c r="C23" s="143" t="s">
        <v>124</v>
      </c>
      <c r="D23" s="143" t="s">
        <v>125</v>
      </c>
      <c r="E23" s="144" t="s">
        <v>126</v>
      </c>
      <c r="F23" s="140">
        <v>1.2E-2</v>
      </c>
      <c r="G23" s="145">
        <v>15481</v>
      </c>
      <c r="H23" s="145">
        <f t="shared" ref="H23:H38" si="0">ROUND(F23*G23,2)</f>
        <v>185.77</v>
      </c>
    </row>
    <row r="24" spans="1:13" ht="47.25" customHeight="1" x14ac:dyDescent="0.25">
      <c r="A24" s="140">
        <v>8</v>
      </c>
      <c r="B24" s="140" t="s">
        <v>107</v>
      </c>
      <c r="C24" s="143" t="s">
        <v>127</v>
      </c>
      <c r="D24" s="143" t="s">
        <v>128</v>
      </c>
      <c r="E24" s="144" t="s">
        <v>126</v>
      </c>
      <c r="F24" s="140">
        <v>8.0000000000000004E-4</v>
      </c>
      <c r="G24" s="145">
        <v>75162.289999999994</v>
      </c>
      <c r="H24" s="145">
        <f t="shared" si="0"/>
        <v>60.13</v>
      </c>
    </row>
    <row r="25" spans="1:13" x14ac:dyDescent="0.25">
      <c r="A25" s="140">
        <v>9</v>
      </c>
      <c r="B25" s="140" t="s">
        <v>107</v>
      </c>
      <c r="C25" s="143" t="s">
        <v>129</v>
      </c>
      <c r="D25" s="143" t="s">
        <v>130</v>
      </c>
      <c r="E25" s="144" t="s">
        <v>131</v>
      </c>
      <c r="F25" s="140">
        <v>0.3</v>
      </c>
      <c r="G25" s="145">
        <v>155</v>
      </c>
      <c r="H25" s="145">
        <f t="shared" si="0"/>
        <v>46.5</v>
      </c>
    </row>
    <row r="26" spans="1:13" x14ac:dyDescent="0.25">
      <c r="A26" s="140">
        <v>10</v>
      </c>
      <c r="B26" s="140" t="s">
        <v>107</v>
      </c>
      <c r="C26" s="143" t="s">
        <v>132</v>
      </c>
      <c r="D26" s="143" t="s">
        <v>133</v>
      </c>
      <c r="E26" s="144" t="s">
        <v>134</v>
      </c>
      <c r="F26" s="140">
        <v>0.2</v>
      </c>
      <c r="G26" s="145">
        <v>203</v>
      </c>
      <c r="H26" s="145">
        <f t="shared" si="0"/>
        <v>40.6</v>
      </c>
    </row>
    <row r="27" spans="1:13" ht="31.5" customHeight="1" x14ac:dyDescent="0.25">
      <c r="A27" s="140">
        <v>11</v>
      </c>
      <c r="B27" s="140" t="s">
        <v>107</v>
      </c>
      <c r="C27" s="143" t="s">
        <v>135</v>
      </c>
      <c r="D27" s="143" t="s">
        <v>136</v>
      </c>
      <c r="E27" s="144" t="s">
        <v>126</v>
      </c>
      <c r="F27" s="140">
        <v>1.9400000000000001E-3</v>
      </c>
      <c r="G27" s="145">
        <v>12606</v>
      </c>
      <c r="H27" s="145">
        <f t="shared" si="0"/>
        <v>24.46</v>
      </c>
    </row>
    <row r="28" spans="1:13" ht="31.5" customHeight="1" x14ac:dyDescent="0.25">
      <c r="A28" s="140">
        <v>12</v>
      </c>
      <c r="B28" s="140" t="s">
        <v>107</v>
      </c>
      <c r="C28" s="143" t="s">
        <v>137</v>
      </c>
      <c r="D28" s="143" t="s">
        <v>138</v>
      </c>
      <c r="E28" s="144" t="s">
        <v>139</v>
      </c>
      <c r="F28" s="140">
        <v>21.4</v>
      </c>
      <c r="G28" s="145">
        <v>1</v>
      </c>
      <c r="H28" s="145">
        <f t="shared" si="0"/>
        <v>21.4</v>
      </c>
    </row>
    <row r="29" spans="1:13" ht="31.5" customHeight="1" x14ac:dyDescent="0.25">
      <c r="A29" s="140">
        <v>13</v>
      </c>
      <c r="B29" s="140" t="s">
        <v>107</v>
      </c>
      <c r="C29" s="143" t="s">
        <v>140</v>
      </c>
      <c r="D29" s="143" t="s">
        <v>141</v>
      </c>
      <c r="E29" s="144" t="s">
        <v>126</v>
      </c>
      <c r="F29" s="140">
        <v>5.5999999999999995E-4</v>
      </c>
      <c r="G29" s="145">
        <v>37517</v>
      </c>
      <c r="H29" s="145">
        <f t="shared" si="0"/>
        <v>21.01</v>
      </c>
    </row>
    <row r="30" spans="1:13" x14ac:dyDescent="0.25">
      <c r="A30" s="140">
        <v>14</v>
      </c>
      <c r="B30" s="140" t="s">
        <v>107</v>
      </c>
      <c r="C30" s="143" t="s">
        <v>142</v>
      </c>
      <c r="D30" s="143" t="s">
        <v>143</v>
      </c>
      <c r="E30" s="144" t="s">
        <v>126</v>
      </c>
      <c r="F30" s="140">
        <v>3.6000000000000002E-4</v>
      </c>
      <c r="G30" s="145">
        <v>42700.01</v>
      </c>
      <c r="H30" s="145">
        <f t="shared" si="0"/>
        <v>15.37</v>
      </c>
    </row>
    <row r="31" spans="1:13" ht="31.5" customHeight="1" x14ac:dyDescent="0.25">
      <c r="A31" s="140">
        <v>15</v>
      </c>
      <c r="B31" s="140" t="s">
        <v>107</v>
      </c>
      <c r="C31" s="143" t="s">
        <v>144</v>
      </c>
      <c r="D31" s="143" t="s">
        <v>145</v>
      </c>
      <c r="E31" s="144" t="s">
        <v>126</v>
      </c>
      <c r="F31" s="140">
        <v>1.2E-4</v>
      </c>
      <c r="G31" s="145">
        <v>114220</v>
      </c>
      <c r="H31" s="145">
        <f t="shared" si="0"/>
        <v>13.71</v>
      </c>
    </row>
    <row r="32" spans="1:13" x14ac:dyDescent="0.25">
      <c r="A32" s="140">
        <v>16</v>
      </c>
      <c r="B32" s="140" t="s">
        <v>107</v>
      </c>
      <c r="C32" s="143" t="s">
        <v>146</v>
      </c>
      <c r="D32" s="143" t="s">
        <v>147</v>
      </c>
      <c r="E32" s="144" t="s">
        <v>131</v>
      </c>
      <c r="F32" s="140">
        <v>0.24</v>
      </c>
      <c r="G32" s="145">
        <v>28.26</v>
      </c>
      <c r="H32" s="145">
        <f t="shared" si="0"/>
        <v>6.78</v>
      </c>
    </row>
    <row r="33" spans="1:10" x14ac:dyDescent="0.25">
      <c r="A33" s="140">
        <v>17</v>
      </c>
      <c r="B33" s="140" t="s">
        <v>107</v>
      </c>
      <c r="C33" s="143" t="s">
        <v>148</v>
      </c>
      <c r="D33" s="143" t="s">
        <v>149</v>
      </c>
      <c r="E33" s="144" t="s">
        <v>131</v>
      </c>
      <c r="F33" s="140">
        <v>3.6999999999999998E-2</v>
      </c>
      <c r="G33" s="145">
        <v>138.76</v>
      </c>
      <c r="H33" s="145">
        <f t="shared" si="0"/>
        <v>5.13</v>
      </c>
    </row>
    <row r="34" spans="1:10" ht="47.25" customHeight="1" x14ac:dyDescent="0.25">
      <c r="A34" s="140">
        <v>18</v>
      </c>
      <c r="B34" s="140" t="s">
        <v>107</v>
      </c>
      <c r="C34" s="143" t="s">
        <v>150</v>
      </c>
      <c r="D34" s="143" t="s">
        <v>151</v>
      </c>
      <c r="E34" s="144" t="s">
        <v>152</v>
      </c>
      <c r="F34" s="140">
        <v>6.0000000000000001E-3</v>
      </c>
      <c r="G34" s="145">
        <v>405.22</v>
      </c>
      <c r="H34" s="145">
        <f t="shared" si="0"/>
        <v>2.4300000000000002</v>
      </c>
    </row>
    <row r="35" spans="1:10" ht="31.5" x14ac:dyDescent="0.25">
      <c r="A35" s="140">
        <v>19</v>
      </c>
      <c r="B35" s="140" t="s">
        <v>107</v>
      </c>
      <c r="C35" s="143" t="s">
        <v>153</v>
      </c>
      <c r="D35" s="143" t="s">
        <v>154</v>
      </c>
      <c r="E35" s="144" t="s">
        <v>131</v>
      </c>
      <c r="F35" s="140">
        <v>5.1999999999999998E-2</v>
      </c>
      <c r="G35" s="145">
        <v>39.020000000000003</v>
      </c>
      <c r="H35" s="145">
        <f t="shared" si="0"/>
        <v>2.0299999999999998</v>
      </c>
    </row>
    <row r="36" spans="1:10" ht="31.5" customHeight="1" x14ac:dyDescent="0.25">
      <c r="A36" s="140">
        <v>20</v>
      </c>
      <c r="B36" s="140" t="s">
        <v>107</v>
      </c>
      <c r="C36" s="143" t="s">
        <v>155</v>
      </c>
      <c r="D36" s="143" t="s">
        <v>156</v>
      </c>
      <c r="E36" s="144" t="s">
        <v>131</v>
      </c>
      <c r="F36" s="140">
        <v>0.04</v>
      </c>
      <c r="G36" s="145">
        <v>38.340000000000003</v>
      </c>
      <c r="H36" s="145">
        <f t="shared" si="0"/>
        <v>1.53</v>
      </c>
    </row>
    <row r="37" spans="1:10" ht="31.5" customHeight="1" x14ac:dyDescent="0.25">
      <c r="A37" s="140">
        <v>21</v>
      </c>
      <c r="B37" s="140" t="s">
        <v>107</v>
      </c>
      <c r="C37" s="143" t="s">
        <v>157</v>
      </c>
      <c r="D37" s="143" t="s">
        <v>158</v>
      </c>
      <c r="E37" s="144" t="s">
        <v>126</v>
      </c>
      <c r="F37" s="140">
        <v>4.8000000000000001E-5</v>
      </c>
      <c r="G37" s="145">
        <v>22419</v>
      </c>
      <c r="H37" s="145">
        <f t="shared" si="0"/>
        <v>1.08</v>
      </c>
      <c r="J37" s="112"/>
    </row>
    <row r="38" spans="1:10" x14ac:dyDescent="0.25">
      <c r="A38" s="140">
        <v>22</v>
      </c>
      <c r="B38" s="140" t="s">
        <v>107</v>
      </c>
      <c r="C38" s="143" t="s">
        <v>159</v>
      </c>
      <c r="D38" s="143" t="s">
        <v>160</v>
      </c>
      <c r="E38" s="144" t="s">
        <v>126</v>
      </c>
      <c r="F38" s="140">
        <v>0.35</v>
      </c>
      <c r="G38" s="145"/>
      <c r="H38" s="145">
        <f t="shared" si="0"/>
        <v>0</v>
      </c>
      <c r="J38" s="112"/>
    </row>
    <row r="41" spans="1:10" x14ac:dyDescent="0.25">
      <c r="B41" s="113" t="s">
        <v>75</v>
      </c>
    </row>
    <row r="42" spans="1:10" x14ac:dyDescent="0.25">
      <c r="B42" s="126" t="s">
        <v>76</v>
      </c>
    </row>
    <row r="44" spans="1:10" x14ac:dyDescent="0.25">
      <c r="B44" s="113" t="s">
        <v>77</v>
      </c>
    </row>
    <row r="45" spans="1:10" x14ac:dyDescent="0.25">
      <c r="B45" s="126" t="s">
        <v>78</v>
      </c>
    </row>
  </sheetData>
  <mergeCells count="15">
    <mergeCell ref="A15:E15"/>
    <mergeCell ref="A22:E22"/>
    <mergeCell ref="A12:E12"/>
    <mergeCell ref="A17:E17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0:E20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K50"/>
  <sheetViews>
    <sheetView view="pageBreakPreview" topLeftCell="A31" workbookViewId="0">
      <selection activeCell="D45" sqref="D45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50" t="s">
        <v>161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08" t="s">
        <v>162</v>
      </c>
      <c r="C5" s="208"/>
      <c r="D5" s="208"/>
      <c r="E5" s="208"/>
    </row>
    <row r="6" spans="2:5" x14ac:dyDescent="0.25">
      <c r="B6" s="110"/>
      <c r="C6" s="4"/>
      <c r="D6" s="4"/>
      <c r="E6" s="4"/>
    </row>
    <row r="7" spans="2:5" ht="25.5" customHeight="1" x14ac:dyDescent="0.25">
      <c r="B7" s="229" t="s">
        <v>47</v>
      </c>
      <c r="C7" s="229"/>
      <c r="D7" s="229"/>
      <c r="E7" s="229"/>
    </row>
    <row r="8" spans="2:5" x14ac:dyDescent="0.25">
      <c r="B8" s="230" t="s">
        <v>49</v>
      </c>
      <c r="C8" s="230"/>
      <c r="D8" s="230"/>
      <c r="E8" s="230"/>
    </row>
    <row r="9" spans="2:5" x14ac:dyDescent="0.25">
      <c r="B9" s="110"/>
      <c r="C9" s="4"/>
      <c r="D9" s="4"/>
      <c r="E9" s="4"/>
    </row>
    <row r="10" spans="2:5" ht="51" customHeight="1" x14ac:dyDescent="0.25">
      <c r="B10" s="2" t="s">
        <v>163</v>
      </c>
      <c r="C10" s="2" t="s">
        <v>164</v>
      </c>
      <c r="D10" s="2" t="s">
        <v>165</v>
      </c>
      <c r="E10" s="2" t="s">
        <v>166</v>
      </c>
    </row>
    <row r="11" spans="2:5" x14ac:dyDescent="0.25">
      <c r="B11" s="24" t="s">
        <v>167</v>
      </c>
      <c r="C11" s="192">
        <f>'Прил.5 Расчет СМР и ОБ'!J14</f>
        <v>3618.12</v>
      </c>
      <c r="D11" s="26">
        <f t="shared" ref="D11:D18" si="0">C11/$C$24</f>
        <v>0.22859070731882988</v>
      </c>
      <c r="E11" s="26">
        <f t="shared" ref="E11:E18" si="1">C11/$C$40</f>
        <v>5.8365827486498998E-3</v>
      </c>
    </row>
    <row r="12" spans="2:5" x14ac:dyDescent="0.25">
      <c r="B12" s="24" t="s">
        <v>168</v>
      </c>
      <c r="C12" s="192">
        <f>'Прил.5 Расчет СМР и ОБ'!J20</f>
        <v>1699.41</v>
      </c>
      <c r="D12" s="26">
        <f t="shared" si="0"/>
        <v>0.10736773073438491</v>
      </c>
      <c r="E12" s="26">
        <f t="shared" si="1"/>
        <v>2.7414090988920011E-3</v>
      </c>
    </row>
    <row r="13" spans="2:5" x14ac:dyDescent="0.25">
      <c r="B13" s="24" t="s">
        <v>169</v>
      </c>
      <c r="C13" s="192">
        <f>'Прил.5 Расчет СМР и ОБ'!J22</f>
        <v>121.22</v>
      </c>
      <c r="D13" s="26">
        <f t="shared" si="0"/>
        <v>7.6586087639958205E-3</v>
      </c>
      <c r="E13" s="26">
        <f t="shared" si="1"/>
        <v>1.9554646081151007E-4</v>
      </c>
    </row>
    <row r="14" spans="2:5" x14ac:dyDescent="0.25">
      <c r="B14" s="24" t="s">
        <v>170</v>
      </c>
      <c r="C14" s="192">
        <f>C13+C12</f>
        <v>1820.63</v>
      </c>
      <c r="D14" s="26">
        <f t="shared" si="0"/>
        <v>0.11502633949838073</v>
      </c>
      <c r="E14" s="26">
        <f t="shared" si="1"/>
        <v>2.9369555597035112E-3</v>
      </c>
    </row>
    <row r="15" spans="2:5" x14ac:dyDescent="0.25">
      <c r="B15" s="24" t="s">
        <v>171</v>
      </c>
      <c r="C15" s="192">
        <f>'Прил.5 Расчет СМР и ОБ'!J16</f>
        <v>1031.07</v>
      </c>
      <c r="D15" s="26">
        <f t="shared" si="0"/>
        <v>6.5142400084913135E-2</v>
      </c>
      <c r="E15" s="26">
        <f t="shared" si="1"/>
        <v>1.6632741243105403E-3</v>
      </c>
    </row>
    <row r="16" spans="2:5" x14ac:dyDescent="0.25">
      <c r="B16" s="24" t="s">
        <v>172</v>
      </c>
      <c r="C16" s="192">
        <f>'Прил.5 Расчет СМР и ОБ'!J40</f>
        <v>3214.93</v>
      </c>
      <c r="D16" s="26">
        <f t="shared" si="0"/>
        <v>0.20311739872655571</v>
      </c>
      <c r="E16" s="26">
        <f t="shared" si="1"/>
        <v>5.186175410466491E-3</v>
      </c>
    </row>
    <row r="17" spans="2:6" x14ac:dyDescent="0.25">
      <c r="B17" s="24" t="s">
        <v>173</v>
      </c>
      <c r="C17" s="192">
        <f>'Прил.5 Расчет СМР и ОБ'!J50</f>
        <v>386.44</v>
      </c>
      <c r="D17" s="26">
        <f t="shared" si="0"/>
        <v>2.4415053380288276E-2</v>
      </c>
      <c r="E17" s="26">
        <f t="shared" si="1"/>
        <v>6.2338701795083286E-4</v>
      </c>
    </row>
    <row r="18" spans="2:6" x14ac:dyDescent="0.25">
      <c r="B18" s="24" t="s">
        <v>174</v>
      </c>
      <c r="C18" s="192">
        <f>C17+C16</f>
        <v>3601.37</v>
      </c>
      <c r="D18" s="26">
        <f t="shared" si="0"/>
        <v>0.22753245210684397</v>
      </c>
      <c r="E18" s="26">
        <f t="shared" si="1"/>
        <v>5.8095624284173241E-3</v>
      </c>
    </row>
    <row r="19" spans="2:6" x14ac:dyDescent="0.25">
      <c r="B19" s="24" t="s">
        <v>175</v>
      </c>
      <c r="C19" s="192">
        <f>C18+C14+C11</f>
        <v>9040.119999999999</v>
      </c>
      <c r="D19" s="26"/>
      <c r="E19" s="24"/>
    </row>
    <row r="20" spans="2:6" x14ac:dyDescent="0.25">
      <c r="B20" s="24" t="s">
        <v>176</v>
      </c>
      <c r="C20" s="192">
        <f>ROUND(C21*(C11+C15),2)</f>
        <v>2417.58</v>
      </c>
      <c r="D20" s="26">
        <f>C20/$C$24</f>
        <v>0.15274129166524514</v>
      </c>
      <c r="E20" s="26">
        <f>C20/$C$40</f>
        <v>3.8999275097235647E-3</v>
      </c>
    </row>
    <row r="21" spans="2:6" x14ac:dyDescent="0.25">
      <c r="B21" s="24" t="s">
        <v>177</v>
      </c>
      <c r="C21" s="28">
        <f>'Прил.5 Расчет СМР и ОБ'!D54</f>
        <v>0.52</v>
      </c>
      <c r="D21" s="26"/>
      <c r="E21" s="24"/>
    </row>
    <row r="22" spans="2:6" x14ac:dyDescent="0.25">
      <c r="B22" s="24" t="s">
        <v>178</v>
      </c>
      <c r="C22" s="192">
        <f>ROUND(C23*(C11+C15),2)</f>
        <v>4370.24</v>
      </c>
      <c r="D22" s="26">
        <f>C22/$C$24</f>
        <v>0.27610920941070033</v>
      </c>
      <c r="E22" s="26">
        <f>C22/$C$40</f>
        <v>7.0498677189976388E-3</v>
      </c>
    </row>
    <row r="23" spans="2:6" x14ac:dyDescent="0.25">
      <c r="B23" s="24" t="s">
        <v>179</v>
      </c>
      <c r="C23" s="28">
        <f>'Прил.5 Расчет СМР и ОБ'!D53</f>
        <v>0.94</v>
      </c>
      <c r="D23" s="26"/>
      <c r="E23" s="24"/>
    </row>
    <row r="24" spans="2:6" x14ac:dyDescent="0.25">
      <c r="B24" s="24" t="s">
        <v>180</v>
      </c>
      <c r="C24" s="192">
        <f>C19+C20+C22</f>
        <v>15827.939999999999</v>
      </c>
      <c r="D24" s="26">
        <f>C24/$C$24</f>
        <v>1</v>
      </c>
      <c r="E24" s="26">
        <f>C24/$C$40</f>
        <v>2.5532895965491936E-2</v>
      </c>
    </row>
    <row r="25" spans="2:6" ht="25.5" customHeight="1" x14ac:dyDescent="0.25">
      <c r="B25" s="24" t="s">
        <v>181</v>
      </c>
      <c r="C25" s="192">
        <f>'Прил.5 Расчет СМР и ОБ'!J29</f>
        <v>541600</v>
      </c>
      <c r="D25" s="26"/>
      <c r="E25" s="26">
        <f>C25/$C$40</f>
        <v>0.87368390674405094</v>
      </c>
    </row>
    <row r="26" spans="2:6" ht="25.5" customHeight="1" x14ac:dyDescent="0.25">
      <c r="B26" s="24" t="s">
        <v>182</v>
      </c>
      <c r="C26" s="192">
        <f>'Прил.5 Расчет СМР и ОБ'!J30</f>
        <v>541600.05000000005</v>
      </c>
      <c r="D26" s="26"/>
      <c r="E26" s="26">
        <f>C26/$C$40</f>
        <v>0.87368398740172337</v>
      </c>
    </row>
    <row r="27" spans="2:6" x14ac:dyDescent="0.25">
      <c r="B27" s="24" t="s">
        <v>183</v>
      </c>
      <c r="C27" s="25">
        <f>C24+C25</f>
        <v>557427.93999999994</v>
      </c>
      <c r="D27" s="26"/>
      <c r="E27" s="26">
        <f>C27/$C$40</f>
        <v>0.89921680270954285</v>
      </c>
    </row>
    <row r="28" spans="2:6" ht="33" customHeight="1" x14ac:dyDescent="0.25">
      <c r="B28" s="24" t="s">
        <v>184</v>
      </c>
      <c r="C28" s="24"/>
      <c r="D28" s="24"/>
      <c r="E28" s="24"/>
      <c r="F28" s="146"/>
    </row>
    <row r="29" spans="2:6" ht="25.5" customHeight="1" x14ac:dyDescent="0.25">
      <c r="B29" s="24" t="s">
        <v>185</v>
      </c>
      <c r="C29" s="25">
        <f>ROUND(C24*3.9%,2)</f>
        <v>617.29</v>
      </c>
      <c r="D29" s="24"/>
      <c r="E29" s="26">
        <f t="shared" ref="E29:E38" si="2">C29/$C$40</f>
        <v>9.9578349112635755E-4</v>
      </c>
    </row>
    <row r="30" spans="2:6" ht="38.25" customHeight="1" x14ac:dyDescent="0.25">
      <c r="B30" s="24" t="s">
        <v>186</v>
      </c>
      <c r="C30" s="203">
        <f>ROUND((C24+C29)*2.1%,2)</f>
        <v>345.35</v>
      </c>
      <c r="D30" s="204"/>
      <c r="E30" s="205">
        <f t="shared" si="2"/>
        <v>5.5710254282507023E-4</v>
      </c>
      <c r="F30" s="146"/>
    </row>
    <row r="31" spans="2:6" x14ac:dyDescent="0.25">
      <c r="B31" s="24" t="s">
        <v>187</v>
      </c>
      <c r="C31" s="203">
        <v>32120</v>
      </c>
      <c r="D31" s="204"/>
      <c r="E31" s="205">
        <f t="shared" si="2"/>
        <v>5.1814488708675992E-2</v>
      </c>
    </row>
    <row r="32" spans="2:6" ht="25.5" customHeight="1" x14ac:dyDescent="0.25">
      <c r="B32" s="24" t="s">
        <v>188</v>
      </c>
      <c r="C32" s="203">
        <v>0</v>
      </c>
      <c r="D32" s="204"/>
      <c r="E32" s="205">
        <f t="shared" si="2"/>
        <v>0</v>
      </c>
    </row>
    <row r="33" spans="2:11" ht="25.5" customHeight="1" x14ac:dyDescent="0.25">
      <c r="B33" s="24" t="s">
        <v>189</v>
      </c>
      <c r="C33" s="25">
        <v>0</v>
      </c>
      <c r="D33" s="204"/>
      <c r="E33" s="205">
        <f t="shared" si="2"/>
        <v>0</v>
      </c>
    </row>
    <row r="34" spans="2:11" ht="51" customHeight="1" x14ac:dyDescent="0.25">
      <c r="B34" s="24" t="s">
        <v>190</v>
      </c>
      <c r="C34" s="25">
        <v>0</v>
      </c>
      <c r="D34" s="24"/>
      <c r="E34" s="26">
        <f t="shared" si="2"/>
        <v>0</v>
      </c>
      <c r="G34" s="147"/>
    </row>
    <row r="35" spans="2:11" ht="76.5" customHeight="1" x14ac:dyDescent="0.25">
      <c r="B35" s="24" t="s">
        <v>191</v>
      </c>
      <c r="C35" s="25">
        <v>0</v>
      </c>
      <c r="D35" s="24"/>
      <c r="E35" s="26">
        <f t="shared" si="2"/>
        <v>0</v>
      </c>
    </row>
    <row r="36" spans="2:11" ht="25.5" customHeight="1" x14ac:dyDescent="0.25">
      <c r="B36" s="24" t="s">
        <v>192</v>
      </c>
      <c r="C36" s="25">
        <f>ROUND((C27+C32+C33+C34+C35+C29+C31+C30)*1.72%,2)</f>
        <v>10156.780000000001</v>
      </c>
      <c r="D36" s="24"/>
      <c r="E36" s="26">
        <f t="shared" si="2"/>
        <v>1.638444466458612E-2</v>
      </c>
      <c r="K36" s="146"/>
    </row>
    <row r="37" spans="2:11" x14ac:dyDescent="0.25">
      <c r="B37" s="24" t="s">
        <v>193</v>
      </c>
      <c r="C37" s="25">
        <f>ROUND((C27+C32+C33+C34+C35+C29+C31+C30)*0.2%,2)</f>
        <v>1181.02</v>
      </c>
      <c r="D37" s="24"/>
      <c r="E37" s="26">
        <f t="shared" si="2"/>
        <v>1.9051664836463424E-3</v>
      </c>
      <c r="K37" s="146"/>
    </row>
    <row r="38" spans="2:11" ht="38.25" customHeight="1" x14ac:dyDescent="0.25">
      <c r="B38" s="24" t="s">
        <v>194</v>
      </c>
      <c r="C38" s="192">
        <f>C27+C32+C33+C34+C35+C29+C31+C30+C36+C37</f>
        <v>601848.38</v>
      </c>
      <c r="D38" s="24"/>
      <c r="E38" s="26">
        <f t="shared" si="2"/>
        <v>0.97087378860040285</v>
      </c>
    </row>
    <row r="39" spans="2:11" ht="13.5" customHeight="1" x14ac:dyDescent="0.25">
      <c r="B39" s="24" t="s">
        <v>195</v>
      </c>
      <c r="C39" s="192">
        <f>ROUND(C38*3%,2)</f>
        <v>18055.45</v>
      </c>
      <c r="D39" s="24"/>
      <c r="E39" s="26">
        <f>C39/$C$38</f>
        <v>2.9999997673832737E-2</v>
      </c>
    </row>
    <row r="40" spans="2:11" x14ac:dyDescent="0.25">
      <c r="B40" s="24" t="s">
        <v>196</v>
      </c>
      <c r="C40" s="192">
        <f>C39+C38</f>
        <v>619903.82999999996</v>
      </c>
      <c r="D40" s="24"/>
      <c r="E40" s="26">
        <f>C40/$C$40</f>
        <v>1</v>
      </c>
    </row>
    <row r="41" spans="2:11" x14ac:dyDescent="0.25">
      <c r="B41" s="24" t="s">
        <v>197</v>
      </c>
      <c r="C41" s="192">
        <f>C40/'Прил.5 Расчет СМР и ОБ'!E57</f>
        <v>619903.82999999996</v>
      </c>
      <c r="D41" s="24"/>
      <c r="E41" s="24"/>
    </row>
    <row r="42" spans="2:11" x14ac:dyDescent="0.25">
      <c r="B42" s="111"/>
      <c r="C42" s="4"/>
      <c r="D42" s="4"/>
      <c r="E42" s="4"/>
    </row>
    <row r="43" spans="2:11" x14ac:dyDescent="0.25">
      <c r="B43" s="111" t="s">
        <v>198</v>
      </c>
      <c r="C43" s="4"/>
      <c r="D43" s="4"/>
      <c r="E43" s="4"/>
    </row>
    <row r="44" spans="2:11" x14ac:dyDescent="0.25">
      <c r="B44" s="111" t="s">
        <v>199</v>
      </c>
      <c r="C44" s="4"/>
      <c r="D44" s="4"/>
      <c r="E44" s="4"/>
    </row>
    <row r="45" spans="2:11" x14ac:dyDescent="0.25">
      <c r="B45" s="111"/>
      <c r="C45" s="4"/>
      <c r="D45" s="4"/>
      <c r="E45" s="4"/>
    </row>
    <row r="46" spans="2:11" x14ac:dyDescent="0.25">
      <c r="B46" s="111" t="s">
        <v>200</v>
      </c>
      <c r="C46" s="4"/>
      <c r="D46" s="4"/>
      <c r="E46" s="4"/>
    </row>
    <row r="47" spans="2:11" x14ac:dyDescent="0.25">
      <c r="B47" s="230" t="s">
        <v>201</v>
      </c>
      <c r="C47" s="230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63"/>
  <sheetViews>
    <sheetView view="pageBreakPreview" zoomScale="85" zoomScaleSheetLayoutView="85" workbookViewId="0">
      <selection activeCell="H16" sqref="H16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31" t="s">
        <v>202</v>
      </c>
      <c r="I2" s="231"/>
      <c r="J2" s="231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08" t="s">
        <v>203</v>
      </c>
      <c r="B4" s="208"/>
      <c r="C4" s="208"/>
      <c r="D4" s="208"/>
      <c r="E4" s="208"/>
      <c r="F4" s="208"/>
      <c r="G4" s="208"/>
      <c r="H4" s="208"/>
      <c r="I4" s="208"/>
      <c r="J4" s="208"/>
    </row>
    <row r="5" spans="1:14" s="4" customFormat="1" ht="12.75" customHeight="1" x14ac:dyDescent="0.2">
      <c r="A5" s="187"/>
      <c r="B5" s="187"/>
      <c r="C5" s="33"/>
      <c r="D5" s="187"/>
      <c r="E5" s="187"/>
      <c r="F5" s="187"/>
      <c r="G5" s="187"/>
      <c r="H5" s="187"/>
      <c r="I5" s="187"/>
      <c r="J5" s="187"/>
    </row>
    <row r="6" spans="1:14" s="4" customFormat="1" ht="12.75" customHeight="1" x14ac:dyDescent="0.2">
      <c r="A6" s="148" t="s">
        <v>204</v>
      </c>
      <c r="B6" s="149"/>
      <c r="C6" s="149"/>
      <c r="D6" s="237" t="s">
        <v>205</v>
      </c>
      <c r="E6" s="237"/>
      <c r="F6" s="237"/>
      <c r="G6" s="237"/>
      <c r="H6" s="237"/>
      <c r="I6" s="237"/>
      <c r="J6" s="237"/>
    </row>
    <row r="7" spans="1:14" s="4" customFormat="1" ht="12.75" customHeight="1" x14ac:dyDescent="0.2">
      <c r="A7" s="211" t="s">
        <v>49</v>
      </c>
      <c r="B7" s="229"/>
      <c r="C7" s="229"/>
      <c r="D7" s="229"/>
      <c r="E7" s="229"/>
      <c r="F7" s="229"/>
      <c r="G7" s="229"/>
      <c r="H7" s="229"/>
      <c r="I7" s="47"/>
      <c r="J7" s="47"/>
    </row>
    <row r="8" spans="1:14" s="4" customFormat="1" ht="13.5" customHeight="1" x14ac:dyDescent="0.2">
      <c r="A8" s="211"/>
      <c r="B8" s="229"/>
      <c r="C8" s="229"/>
      <c r="D8" s="229"/>
      <c r="E8" s="229"/>
      <c r="F8" s="229"/>
      <c r="G8" s="229"/>
      <c r="H8" s="229"/>
    </row>
    <row r="9" spans="1:14" ht="27" customHeight="1" x14ac:dyDescent="0.25">
      <c r="A9" s="234" t="s">
        <v>13</v>
      </c>
      <c r="B9" s="234" t="s">
        <v>98</v>
      </c>
      <c r="C9" s="234" t="s">
        <v>163</v>
      </c>
      <c r="D9" s="234" t="s">
        <v>100</v>
      </c>
      <c r="E9" s="235" t="s">
        <v>206</v>
      </c>
      <c r="F9" s="232" t="s">
        <v>102</v>
      </c>
      <c r="G9" s="233"/>
      <c r="H9" s="235" t="s">
        <v>207</v>
      </c>
      <c r="I9" s="232" t="s">
        <v>208</v>
      </c>
      <c r="J9" s="233"/>
      <c r="M9" s="12"/>
      <c r="N9" s="12"/>
    </row>
    <row r="10" spans="1:14" ht="28.5" customHeight="1" x14ac:dyDescent="0.25">
      <c r="A10" s="234"/>
      <c r="B10" s="234"/>
      <c r="C10" s="234"/>
      <c r="D10" s="234"/>
      <c r="E10" s="236"/>
      <c r="F10" s="2" t="s">
        <v>209</v>
      </c>
      <c r="G10" s="2" t="s">
        <v>104</v>
      </c>
      <c r="H10" s="236"/>
      <c r="I10" s="2" t="s">
        <v>209</v>
      </c>
      <c r="J10" s="2" t="s">
        <v>104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86">
        <v>9</v>
      </c>
      <c r="J11" s="186">
        <v>10</v>
      </c>
      <c r="M11" s="12"/>
      <c r="N11" s="12"/>
    </row>
    <row r="12" spans="1:14" x14ac:dyDescent="0.25">
      <c r="A12" s="2"/>
      <c r="B12" s="243" t="s">
        <v>210</v>
      </c>
      <c r="C12" s="244"/>
      <c r="D12" s="234"/>
      <c r="E12" s="245"/>
      <c r="F12" s="246"/>
      <c r="G12" s="246"/>
      <c r="H12" s="247"/>
      <c r="I12" s="150"/>
      <c r="J12" s="150"/>
    </row>
    <row r="13" spans="1:14" ht="25.5" customHeight="1" x14ac:dyDescent="0.25">
      <c r="A13" s="2">
        <v>1</v>
      </c>
      <c r="B13" s="151" t="s">
        <v>211</v>
      </c>
      <c r="C13" s="8" t="s">
        <v>212</v>
      </c>
      <c r="D13" s="2" t="s">
        <v>213</v>
      </c>
      <c r="E13" s="152">
        <v>8.24</v>
      </c>
      <c r="F13" s="31">
        <v>9.51</v>
      </c>
      <c r="G13" s="31">
        <f>Прил.3!H12</f>
        <v>1067.43</v>
      </c>
      <c r="H13" s="153">
        <f>G13/$G$14</f>
        <v>1</v>
      </c>
      <c r="I13" s="31">
        <f>ФОТр.тек.!E13</f>
        <v>439.09244974661999</v>
      </c>
      <c r="J13" s="31">
        <f>ROUND(I13*E13,2)</f>
        <v>3618.12</v>
      </c>
    </row>
    <row r="14" spans="1:14" s="12" customFormat="1" ht="25.5" customHeight="1" x14ac:dyDescent="0.2">
      <c r="A14" s="2"/>
      <c r="B14" s="2"/>
      <c r="C14" s="160" t="s">
        <v>214</v>
      </c>
      <c r="D14" s="2" t="s">
        <v>213</v>
      </c>
      <c r="E14" s="152">
        <f>SUM(E13:E13)</f>
        <v>8.24</v>
      </c>
      <c r="F14" s="31"/>
      <c r="G14" s="31">
        <f>SUM(G13:G13)</f>
        <v>1067.43</v>
      </c>
      <c r="H14" s="189">
        <v>1</v>
      </c>
      <c r="I14" s="150"/>
      <c r="J14" s="31">
        <f>SUM(J13:J13)</f>
        <v>3618.12</v>
      </c>
    </row>
    <row r="15" spans="1:14" s="12" customFormat="1" ht="14.25" customHeight="1" x14ac:dyDescent="0.2">
      <c r="A15" s="2"/>
      <c r="B15" s="244" t="s">
        <v>113</v>
      </c>
      <c r="C15" s="244"/>
      <c r="D15" s="234"/>
      <c r="E15" s="245"/>
      <c r="F15" s="246"/>
      <c r="G15" s="246"/>
      <c r="H15" s="247"/>
      <c r="I15" s="150"/>
      <c r="J15" s="150"/>
    </row>
    <row r="16" spans="1:14" s="12" customFormat="1" ht="14.25" customHeight="1" x14ac:dyDescent="0.2">
      <c r="A16" s="2">
        <v>2</v>
      </c>
      <c r="B16" s="2">
        <v>2</v>
      </c>
      <c r="C16" s="8" t="s">
        <v>113</v>
      </c>
      <c r="D16" s="2" t="s">
        <v>213</v>
      </c>
      <c r="E16" s="152">
        <f>Прил.3!F16</f>
        <v>2.02</v>
      </c>
      <c r="F16" s="31">
        <f>G16/E16</f>
        <v>11.524752475247524</v>
      </c>
      <c r="G16" s="31">
        <f>Прил.3!H15</f>
        <v>23.28</v>
      </c>
      <c r="H16" s="189">
        <v>1</v>
      </c>
      <c r="I16" s="31">
        <f>ROUND(F16*Прил.10!D11,2)</f>
        <v>510.43</v>
      </c>
      <c r="J16" s="31">
        <f>ROUND(I16*E16,2)</f>
        <v>1031.07</v>
      </c>
    </row>
    <row r="17" spans="1:10" s="12" customFormat="1" ht="14.25" customHeight="1" x14ac:dyDescent="0.2">
      <c r="A17" s="2"/>
      <c r="B17" s="243" t="s">
        <v>114</v>
      </c>
      <c r="C17" s="244"/>
      <c r="D17" s="234"/>
      <c r="E17" s="245"/>
      <c r="F17" s="246"/>
      <c r="G17" s="246"/>
      <c r="H17" s="247"/>
      <c r="I17" s="150"/>
      <c r="J17" s="150"/>
    </row>
    <row r="18" spans="1:10" s="12" customFormat="1" ht="14.25" customHeight="1" x14ac:dyDescent="0.2">
      <c r="A18" s="2"/>
      <c r="B18" s="244" t="s">
        <v>215</v>
      </c>
      <c r="C18" s="244"/>
      <c r="D18" s="234"/>
      <c r="E18" s="245"/>
      <c r="F18" s="246"/>
      <c r="G18" s="246"/>
      <c r="H18" s="247"/>
      <c r="I18" s="150"/>
      <c r="J18" s="150"/>
    </row>
    <row r="19" spans="1:10" s="12" customFormat="1" ht="25.5" customHeight="1" x14ac:dyDescent="0.2">
      <c r="A19" s="2">
        <v>3</v>
      </c>
      <c r="B19" s="151" t="s">
        <v>115</v>
      </c>
      <c r="C19" s="8" t="s">
        <v>116</v>
      </c>
      <c r="D19" s="2" t="s">
        <v>117</v>
      </c>
      <c r="E19" s="152">
        <v>1.92</v>
      </c>
      <c r="F19" s="154">
        <v>65.709999999999994</v>
      </c>
      <c r="G19" s="31">
        <f>ROUND(E19*F19,2)</f>
        <v>126.16</v>
      </c>
      <c r="H19" s="153">
        <f>G19/$G$23</f>
        <v>0.93341225214560519</v>
      </c>
      <c r="I19" s="31">
        <f>ROUND(F19*Прил.10!$D$12,2)</f>
        <v>885.11</v>
      </c>
      <c r="J19" s="31">
        <f>ROUND(I19*E19,2)</f>
        <v>1699.41</v>
      </c>
    </row>
    <row r="20" spans="1:10" s="12" customFormat="1" ht="14.25" customHeight="1" x14ac:dyDescent="0.2">
      <c r="A20" s="2"/>
      <c r="B20" s="2"/>
      <c r="C20" s="8" t="s">
        <v>216</v>
      </c>
      <c r="D20" s="2"/>
      <c r="E20" s="152"/>
      <c r="F20" s="31"/>
      <c r="G20" s="31">
        <f>SUM(G19:G19)</f>
        <v>126.16</v>
      </c>
      <c r="H20" s="189">
        <f>G20/G23</f>
        <v>0.93341225214560519</v>
      </c>
      <c r="I20" s="155"/>
      <c r="J20" s="31">
        <f>SUM(J19:J19)</f>
        <v>1699.41</v>
      </c>
    </row>
    <row r="21" spans="1:10" s="12" customFormat="1" ht="14.25" customHeight="1" outlineLevel="1" x14ac:dyDescent="0.2">
      <c r="A21" s="2">
        <v>4</v>
      </c>
      <c r="B21" s="151" t="s">
        <v>118</v>
      </c>
      <c r="C21" s="8" t="s">
        <v>119</v>
      </c>
      <c r="D21" s="2" t="s">
        <v>117</v>
      </c>
      <c r="E21" s="152">
        <v>0.1</v>
      </c>
      <c r="F21" s="154">
        <v>89.99</v>
      </c>
      <c r="G21" s="31">
        <f>ROUND(E21*F21,2)</f>
        <v>9</v>
      </c>
      <c r="H21" s="153">
        <f>G21/$G$23</f>
        <v>6.6587747854394794E-2</v>
      </c>
      <c r="I21" s="31">
        <f>ROUND(F21*Прил.10!$D$12,2)</f>
        <v>1212.17</v>
      </c>
      <c r="J21" s="31">
        <f>ROUND(I21*E21,2)</f>
        <v>121.22</v>
      </c>
    </row>
    <row r="22" spans="1:10" s="12" customFormat="1" ht="14.25" customHeight="1" x14ac:dyDescent="0.2">
      <c r="A22" s="2"/>
      <c r="B22" s="2"/>
      <c r="C22" s="8" t="s">
        <v>217</v>
      </c>
      <c r="D22" s="2"/>
      <c r="E22" s="188"/>
      <c r="F22" s="31"/>
      <c r="G22" s="155">
        <f>SUM(G21:G21)</f>
        <v>9</v>
      </c>
      <c r="H22" s="153">
        <f>G22/G23</f>
        <v>6.6587747854394794E-2</v>
      </c>
      <c r="I22" s="31"/>
      <c r="J22" s="31">
        <f>SUM(J21:J21)</f>
        <v>121.22</v>
      </c>
    </row>
    <row r="23" spans="1:10" s="12" customFormat="1" ht="25.5" customHeight="1" x14ac:dyDescent="0.2">
      <c r="A23" s="2"/>
      <c r="B23" s="2"/>
      <c r="C23" s="160" t="s">
        <v>218</v>
      </c>
      <c r="D23" s="2"/>
      <c r="E23" s="188"/>
      <c r="F23" s="31"/>
      <c r="G23" s="31">
        <f>G22+G20</f>
        <v>135.16</v>
      </c>
      <c r="H23" s="156">
        <v>1</v>
      </c>
      <c r="I23" s="157"/>
      <c r="J23" s="158">
        <f>J22+J20</f>
        <v>1820.63</v>
      </c>
    </row>
    <row r="24" spans="1:10" s="12" customFormat="1" ht="14.25" customHeight="1" x14ac:dyDescent="0.2">
      <c r="A24" s="2"/>
      <c r="B24" s="243" t="s">
        <v>43</v>
      </c>
      <c r="C24" s="243"/>
      <c r="D24" s="248"/>
      <c r="E24" s="249"/>
      <c r="F24" s="250"/>
      <c r="G24" s="250"/>
      <c r="H24" s="251"/>
      <c r="I24" s="150"/>
      <c r="J24" s="150"/>
    </row>
    <row r="25" spans="1:10" x14ac:dyDescent="0.25">
      <c r="A25" s="2"/>
      <c r="B25" s="244" t="s">
        <v>219</v>
      </c>
      <c r="C25" s="244"/>
      <c r="D25" s="234"/>
      <c r="E25" s="245"/>
      <c r="F25" s="246"/>
      <c r="G25" s="246"/>
      <c r="H25" s="247"/>
      <c r="I25" s="150"/>
      <c r="J25" s="150"/>
    </row>
    <row r="26" spans="1:10" s="12" customFormat="1" ht="127.5" customHeight="1" x14ac:dyDescent="0.2">
      <c r="A26" s="2">
        <v>5</v>
      </c>
      <c r="B26" s="193" t="s">
        <v>220</v>
      </c>
      <c r="C26" s="194" t="s">
        <v>221</v>
      </c>
      <c r="D26" s="193" t="s">
        <v>122</v>
      </c>
      <c r="E26" s="195">
        <v>2</v>
      </c>
      <c r="F26" s="196">
        <f>ROUND(I26/Прил.10!$D$14,2)</f>
        <v>43258.79</v>
      </c>
      <c r="G26" s="197">
        <f>ROUND(E26*F26,2)</f>
        <v>86517.58</v>
      </c>
      <c r="H26" s="198">
        <f>G26/$G$29</f>
        <v>1</v>
      </c>
      <c r="I26" s="31">
        <v>270800</v>
      </c>
      <c r="J26" s="31">
        <f>ROUND(I26*E26,2)</f>
        <v>541600</v>
      </c>
    </row>
    <row r="27" spans="1:10" x14ac:dyDescent="0.25">
      <c r="A27" s="2"/>
      <c r="B27" s="193"/>
      <c r="C27" s="194" t="s">
        <v>222</v>
      </c>
      <c r="D27" s="193"/>
      <c r="E27" s="199"/>
      <c r="F27" s="196"/>
      <c r="G27" s="197">
        <f>SUM(G26:G26)</f>
        <v>86517.58</v>
      </c>
      <c r="H27" s="198">
        <f>G27/$G$29</f>
        <v>1</v>
      </c>
      <c r="I27" s="155"/>
      <c r="J27" s="31">
        <f>SUM(J26:J26)</f>
        <v>541600</v>
      </c>
    </row>
    <row r="28" spans="1:10" x14ac:dyDescent="0.25">
      <c r="A28" s="2"/>
      <c r="B28" s="193"/>
      <c r="C28" s="194" t="s">
        <v>223</v>
      </c>
      <c r="D28" s="193"/>
      <c r="E28" s="199"/>
      <c r="F28" s="196"/>
      <c r="G28" s="197">
        <v>0</v>
      </c>
      <c r="H28" s="198">
        <f>G28/$G$29</f>
        <v>0</v>
      </c>
      <c r="I28" s="155"/>
      <c r="J28" s="31">
        <v>0</v>
      </c>
    </row>
    <row r="29" spans="1:10" x14ac:dyDescent="0.25">
      <c r="A29" s="2"/>
      <c r="B29" s="193"/>
      <c r="C29" s="200" t="s">
        <v>224</v>
      </c>
      <c r="D29" s="193"/>
      <c r="E29" s="201"/>
      <c r="F29" s="196"/>
      <c r="G29" s="197">
        <f>G27+G28</f>
        <v>86517.58</v>
      </c>
      <c r="H29" s="198">
        <f>H27+H28</f>
        <v>1</v>
      </c>
      <c r="I29" s="155"/>
      <c r="J29" s="31">
        <f>J28+J27</f>
        <v>541600</v>
      </c>
    </row>
    <row r="30" spans="1:10" ht="25.5" customHeight="1" x14ac:dyDescent="0.25">
      <c r="A30" s="2"/>
      <c r="B30" s="193"/>
      <c r="C30" s="194" t="s">
        <v>225</v>
      </c>
      <c r="D30" s="193"/>
      <c r="E30" s="195"/>
      <c r="F30" s="196"/>
      <c r="G30" s="197">
        <f>'Прил.6 Расчет ОБ'!G13</f>
        <v>86517.58</v>
      </c>
      <c r="H30" s="202"/>
      <c r="I30" s="155"/>
      <c r="J30" s="31">
        <f>ROUND(G30*Прил.10!D14,2)</f>
        <v>541600.05000000005</v>
      </c>
    </row>
    <row r="31" spans="1:10" s="12" customFormat="1" ht="14.25" customHeight="1" x14ac:dyDescent="0.2">
      <c r="A31" s="2"/>
      <c r="B31" s="252" t="s">
        <v>123</v>
      </c>
      <c r="C31" s="252"/>
      <c r="D31" s="253"/>
      <c r="E31" s="254"/>
      <c r="F31" s="255"/>
      <c r="G31" s="255"/>
      <c r="H31" s="256"/>
      <c r="I31" s="150"/>
      <c r="J31" s="150"/>
    </row>
    <row r="32" spans="1:10" s="12" customFormat="1" ht="14.25" customHeight="1" x14ac:dyDescent="0.2">
      <c r="A32" s="186"/>
      <c r="B32" s="238" t="s">
        <v>226</v>
      </c>
      <c r="C32" s="238"/>
      <c r="D32" s="239"/>
      <c r="E32" s="240"/>
      <c r="F32" s="241"/>
      <c r="G32" s="241"/>
      <c r="H32" s="242"/>
      <c r="I32" s="161"/>
      <c r="J32" s="161"/>
    </row>
    <row r="33" spans="1:12" s="12" customFormat="1" ht="25.5" customHeight="1" x14ac:dyDescent="0.2">
      <c r="A33" s="2">
        <v>9</v>
      </c>
      <c r="B33" s="193" t="s">
        <v>124</v>
      </c>
      <c r="C33" s="194" t="s">
        <v>125</v>
      </c>
      <c r="D33" s="193" t="s">
        <v>126</v>
      </c>
      <c r="E33" s="195">
        <v>1.2E-2</v>
      </c>
      <c r="F33" s="196">
        <v>15481</v>
      </c>
      <c r="G33" s="197">
        <f t="shared" ref="G33:G39" si="0">ROUND(E33*F33,2)</f>
        <v>185.77</v>
      </c>
      <c r="H33" s="198">
        <f t="shared" ref="H33:H51" si="1">G33/$G$51</f>
        <v>0.41472998013082407</v>
      </c>
      <c r="I33" s="31">
        <f>ROUND(F33*Прил.10!$D$13,2)</f>
        <v>124467.24</v>
      </c>
      <c r="J33" s="31">
        <f t="shared" ref="J33:J39" si="2">ROUND(I33*E33,2)</f>
        <v>1493.61</v>
      </c>
    </row>
    <row r="34" spans="1:12" s="12" customFormat="1" ht="38.25" customHeight="1" x14ac:dyDescent="0.2">
      <c r="A34" s="2">
        <v>10</v>
      </c>
      <c r="B34" s="193" t="s">
        <v>127</v>
      </c>
      <c r="C34" s="194" t="s">
        <v>128</v>
      </c>
      <c r="D34" s="193" t="s">
        <v>126</v>
      </c>
      <c r="E34" s="195">
        <v>8.0000000000000004E-4</v>
      </c>
      <c r="F34" s="196">
        <v>75162.289999999994</v>
      </c>
      <c r="G34" s="197">
        <f t="shared" si="0"/>
        <v>60.13</v>
      </c>
      <c r="H34" s="198">
        <f t="shared" si="1"/>
        <v>0.13423972495702455</v>
      </c>
      <c r="I34" s="31">
        <f>ROUND(F34*Прил.10!$D$13,2)</f>
        <v>604304.81000000006</v>
      </c>
      <c r="J34" s="31">
        <f t="shared" si="2"/>
        <v>483.44</v>
      </c>
    </row>
    <row r="35" spans="1:12" s="12" customFormat="1" ht="14.25" customHeight="1" x14ac:dyDescent="0.2">
      <c r="A35" s="2">
        <v>11</v>
      </c>
      <c r="B35" s="2" t="s">
        <v>129</v>
      </c>
      <c r="C35" s="8" t="s">
        <v>130</v>
      </c>
      <c r="D35" s="2" t="s">
        <v>131</v>
      </c>
      <c r="E35" s="159">
        <v>0.3</v>
      </c>
      <c r="F35" s="154">
        <v>155</v>
      </c>
      <c r="G35" s="31">
        <f t="shared" si="0"/>
        <v>46.5</v>
      </c>
      <c r="H35" s="153">
        <f t="shared" si="1"/>
        <v>0.10381086330453421</v>
      </c>
      <c r="I35" s="31">
        <f>ROUND(F35*Прил.10!$D$13,2)</f>
        <v>1246.2</v>
      </c>
      <c r="J35" s="31">
        <f t="shared" si="2"/>
        <v>373.86</v>
      </c>
    </row>
    <row r="36" spans="1:12" s="12" customFormat="1" ht="14.25" customHeight="1" x14ac:dyDescent="0.2">
      <c r="A36" s="2">
        <v>12</v>
      </c>
      <c r="B36" s="2" t="s">
        <v>132</v>
      </c>
      <c r="C36" s="8" t="s">
        <v>133</v>
      </c>
      <c r="D36" s="2" t="s">
        <v>134</v>
      </c>
      <c r="E36" s="159">
        <v>0.2</v>
      </c>
      <c r="F36" s="154">
        <v>203</v>
      </c>
      <c r="G36" s="31">
        <f t="shared" si="0"/>
        <v>40.6</v>
      </c>
      <c r="H36" s="153">
        <f t="shared" si="1"/>
        <v>9.0639162369120188E-2</v>
      </c>
      <c r="I36" s="31">
        <f>ROUND(F36*Прил.10!$D$13,2)</f>
        <v>1632.12</v>
      </c>
      <c r="J36" s="31">
        <f t="shared" si="2"/>
        <v>326.42</v>
      </c>
    </row>
    <row r="37" spans="1:12" s="12" customFormat="1" ht="25.5" customHeight="1" x14ac:dyDescent="0.2">
      <c r="A37" s="2">
        <v>13</v>
      </c>
      <c r="B37" s="2" t="s">
        <v>135</v>
      </c>
      <c r="C37" s="8" t="s">
        <v>136</v>
      </c>
      <c r="D37" s="2" t="s">
        <v>126</v>
      </c>
      <c r="E37" s="159">
        <v>1.9400000000000001E-3</v>
      </c>
      <c r="F37" s="154">
        <v>12606</v>
      </c>
      <c r="G37" s="31">
        <f t="shared" si="0"/>
        <v>24.46</v>
      </c>
      <c r="H37" s="153">
        <f t="shared" si="1"/>
        <v>5.4606746589868964E-2</v>
      </c>
      <c r="I37" s="31">
        <f>ROUND(F37*Прил.10!$D$13,2)</f>
        <v>101352.24</v>
      </c>
      <c r="J37" s="31">
        <f t="shared" si="2"/>
        <v>196.62</v>
      </c>
    </row>
    <row r="38" spans="1:12" s="12" customFormat="1" ht="25.5" customHeight="1" x14ac:dyDescent="0.2">
      <c r="A38" s="2">
        <v>14</v>
      </c>
      <c r="B38" s="2" t="s">
        <v>137</v>
      </c>
      <c r="C38" s="8" t="s">
        <v>138</v>
      </c>
      <c r="D38" s="2" t="s">
        <v>139</v>
      </c>
      <c r="E38" s="159">
        <v>21.4</v>
      </c>
      <c r="F38" s="154">
        <v>1</v>
      </c>
      <c r="G38" s="31">
        <f t="shared" si="0"/>
        <v>21.4</v>
      </c>
      <c r="H38" s="153">
        <f t="shared" si="1"/>
        <v>4.7775322036925416E-2</v>
      </c>
      <c r="I38" s="31">
        <f>ROUND(F38*Прил.10!$D$13,2)</f>
        <v>8.0399999999999991</v>
      </c>
      <c r="J38" s="31">
        <f t="shared" si="2"/>
        <v>172.06</v>
      </c>
    </row>
    <row r="39" spans="1:12" s="12" customFormat="1" ht="38.25" customHeight="1" x14ac:dyDescent="0.2">
      <c r="A39" s="2">
        <v>15</v>
      </c>
      <c r="B39" s="2" t="s">
        <v>140</v>
      </c>
      <c r="C39" s="8" t="s">
        <v>141</v>
      </c>
      <c r="D39" s="2" t="s">
        <v>126</v>
      </c>
      <c r="E39" s="159">
        <v>5.5999999999999995E-4</v>
      </c>
      <c r="F39" s="154">
        <v>37517</v>
      </c>
      <c r="G39" s="31">
        <f t="shared" si="0"/>
        <v>21.01</v>
      </c>
      <c r="H39" s="153">
        <f t="shared" si="1"/>
        <v>4.6904650280177713E-2</v>
      </c>
      <c r="I39" s="31">
        <f>ROUND(F39*Прил.10!$D$13,2)</f>
        <v>301636.68</v>
      </c>
      <c r="J39" s="31">
        <f t="shared" si="2"/>
        <v>168.92</v>
      </c>
    </row>
    <row r="40" spans="1:12" s="12" customFormat="1" ht="14.25" customHeight="1" x14ac:dyDescent="0.2">
      <c r="A40" s="162"/>
      <c r="B40" s="163"/>
      <c r="C40" s="164" t="s">
        <v>227</v>
      </c>
      <c r="D40" s="162"/>
      <c r="E40" s="165"/>
      <c r="F40" s="158"/>
      <c r="G40" s="158">
        <f>SUM(G33:G39)</f>
        <v>399.86999999999995</v>
      </c>
      <c r="H40" s="153">
        <f t="shared" si="1"/>
        <v>0.89270644966847501</v>
      </c>
      <c r="I40" s="31"/>
      <c r="J40" s="158">
        <f>SUM(J33:J39)</f>
        <v>3214.93</v>
      </c>
      <c r="K40" s="27"/>
      <c r="L40" s="27"/>
    </row>
    <row r="41" spans="1:12" s="12" customFormat="1" ht="14.25" customHeight="1" outlineLevel="1" x14ac:dyDescent="0.2">
      <c r="A41" s="2">
        <v>16</v>
      </c>
      <c r="B41" s="2" t="s">
        <v>142</v>
      </c>
      <c r="C41" s="8" t="s">
        <v>143</v>
      </c>
      <c r="D41" s="2" t="s">
        <v>126</v>
      </c>
      <c r="E41" s="159">
        <v>3.6000000000000002E-4</v>
      </c>
      <c r="F41" s="154">
        <v>42700.01</v>
      </c>
      <c r="G41" s="31">
        <f t="shared" ref="G41:G49" si="3">ROUND(E41*F41,2)</f>
        <v>15.37</v>
      </c>
      <c r="H41" s="153">
        <f t="shared" si="1"/>
        <v>3.4313397182595497E-2</v>
      </c>
      <c r="I41" s="31">
        <f>ROUND(F41*Прил.10!$D$13,2)</f>
        <v>343308.08</v>
      </c>
      <c r="J41" s="31">
        <f t="shared" ref="J41:J49" si="4">ROUND(I41*E41,2)</f>
        <v>123.59</v>
      </c>
    </row>
    <row r="42" spans="1:12" s="12" customFormat="1" ht="25.5" customHeight="1" outlineLevel="1" x14ac:dyDescent="0.2">
      <c r="A42" s="2">
        <v>17</v>
      </c>
      <c r="B42" s="2" t="s">
        <v>144</v>
      </c>
      <c r="C42" s="8" t="s">
        <v>145</v>
      </c>
      <c r="D42" s="2" t="s">
        <v>126</v>
      </c>
      <c r="E42" s="159">
        <v>1.2E-4</v>
      </c>
      <c r="F42" s="154">
        <v>114220</v>
      </c>
      <c r="G42" s="31">
        <f t="shared" si="3"/>
        <v>13.71</v>
      </c>
      <c r="H42" s="153">
        <f t="shared" si="1"/>
        <v>3.0607460987207829E-2</v>
      </c>
      <c r="I42" s="31">
        <f>ROUND(F42*Прил.10!$D$13,2)</f>
        <v>918328.8</v>
      </c>
      <c r="J42" s="31">
        <f t="shared" si="4"/>
        <v>110.2</v>
      </c>
    </row>
    <row r="43" spans="1:12" s="12" customFormat="1" ht="14.25" customHeight="1" outlineLevel="1" x14ac:dyDescent="0.2">
      <c r="A43" s="2">
        <v>18</v>
      </c>
      <c r="B43" s="2" t="s">
        <v>146</v>
      </c>
      <c r="C43" s="8" t="s">
        <v>147</v>
      </c>
      <c r="D43" s="2" t="s">
        <v>131</v>
      </c>
      <c r="E43" s="159">
        <v>0.24</v>
      </c>
      <c r="F43" s="154">
        <v>28.26</v>
      </c>
      <c r="G43" s="31">
        <f t="shared" si="3"/>
        <v>6.78</v>
      </c>
      <c r="H43" s="153">
        <f t="shared" si="1"/>
        <v>1.5136293617306278E-2</v>
      </c>
      <c r="I43" s="31">
        <f>ROUND(F43*Прил.10!$D$13,2)</f>
        <v>227.21</v>
      </c>
      <c r="J43" s="31">
        <f t="shared" si="4"/>
        <v>54.53</v>
      </c>
    </row>
    <row r="44" spans="1:12" s="12" customFormat="1" ht="14.25" customHeight="1" outlineLevel="1" x14ac:dyDescent="0.2">
      <c r="A44" s="2">
        <v>19</v>
      </c>
      <c r="B44" s="2" t="s">
        <v>148</v>
      </c>
      <c r="C44" s="8" t="s">
        <v>149</v>
      </c>
      <c r="D44" s="2" t="s">
        <v>131</v>
      </c>
      <c r="E44" s="159">
        <v>3.6999999999999998E-2</v>
      </c>
      <c r="F44" s="154">
        <v>138.76</v>
      </c>
      <c r="G44" s="31">
        <f t="shared" si="3"/>
        <v>5.13</v>
      </c>
      <c r="H44" s="153">
        <f t="shared" si="1"/>
        <v>1.1452682338758289E-2</v>
      </c>
      <c r="I44" s="31">
        <f>ROUND(F44*Прил.10!$D$13,2)</f>
        <v>1115.6300000000001</v>
      </c>
      <c r="J44" s="31">
        <f t="shared" si="4"/>
        <v>41.28</v>
      </c>
    </row>
    <row r="45" spans="1:12" s="12" customFormat="1" ht="38.25" customHeight="1" outlineLevel="1" x14ac:dyDescent="0.2">
      <c r="A45" s="2">
        <v>20</v>
      </c>
      <c r="B45" s="2" t="s">
        <v>150</v>
      </c>
      <c r="C45" s="8" t="s">
        <v>151</v>
      </c>
      <c r="D45" s="2" t="s">
        <v>152</v>
      </c>
      <c r="E45" s="159">
        <v>6.0000000000000001E-3</v>
      </c>
      <c r="F45" s="154">
        <v>405.22</v>
      </c>
      <c r="G45" s="31">
        <f t="shared" si="3"/>
        <v>2.4300000000000002</v>
      </c>
      <c r="H45" s="153">
        <f t="shared" si="1"/>
        <v>5.4249547920434005E-3</v>
      </c>
      <c r="I45" s="31">
        <f>ROUND(F45*Прил.10!$D$13,2)</f>
        <v>3257.97</v>
      </c>
      <c r="J45" s="31">
        <f t="shared" si="4"/>
        <v>19.55</v>
      </c>
    </row>
    <row r="46" spans="1:12" s="12" customFormat="1" ht="25.5" customHeight="1" outlineLevel="1" x14ac:dyDescent="0.2">
      <c r="A46" s="2">
        <v>21</v>
      </c>
      <c r="B46" s="2" t="s">
        <v>153</v>
      </c>
      <c r="C46" s="8" t="s">
        <v>154</v>
      </c>
      <c r="D46" s="2" t="s">
        <v>131</v>
      </c>
      <c r="E46" s="159">
        <v>5.1999999999999998E-2</v>
      </c>
      <c r="F46" s="154">
        <v>39.020000000000003</v>
      </c>
      <c r="G46" s="31">
        <f t="shared" si="3"/>
        <v>2.0299999999999998</v>
      </c>
      <c r="H46" s="153">
        <f t="shared" si="1"/>
        <v>4.5319581184560089E-3</v>
      </c>
      <c r="I46" s="31">
        <f>ROUND(F46*Прил.10!$D$13,2)</f>
        <v>313.72000000000003</v>
      </c>
      <c r="J46" s="31">
        <f t="shared" si="4"/>
        <v>16.309999999999999</v>
      </c>
    </row>
    <row r="47" spans="1:12" s="12" customFormat="1" ht="25.5" customHeight="1" outlineLevel="1" x14ac:dyDescent="0.2">
      <c r="A47" s="2">
        <v>22</v>
      </c>
      <c r="B47" s="2" t="s">
        <v>155</v>
      </c>
      <c r="C47" s="8" t="s">
        <v>156</v>
      </c>
      <c r="D47" s="2" t="s">
        <v>131</v>
      </c>
      <c r="E47" s="159">
        <v>0.04</v>
      </c>
      <c r="F47" s="154">
        <v>38.340000000000003</v>
      </c>
      <c r="G47" s="31">
        <f t="shared" si="3"/>
        <v>1.53</v>
      </c>
      <c r="H47" s="153">
        <f t="shared" si="1"/>
        <v>3.4157122764717704E-3</v>
      </c>
      <c r="I47" s="31">
        <f>ROUND(F47*Прил.10!$D$13,2)</f>
        <v>308.25</v>
      </c>
      <c r="J47" s="31">
        <f t="shared" si="4"/>
        <v>12.33</v>
      </c>
    </row>
    <row r="48" spans="1:12" s="12" customFormat="1" ht="25.5" customHeight="1" outlineLevel="1" x14ac:dyDescent="0.2">
      <c r="A48" s="2">
        <v>23</v>
      </c>
      <c r="B48" s="2" t="s">
        <v>157</v>
      </c>
      <c r="C48" s="8" t="s">
        <v>158</v>
      </c>
      <c r="D48" s="2" t="s">
        <v>126</v>
      </c>
      <c r="E48" s="159">
        <v>4.8000000000000001E-5</v>
      </c>
      <c r="F48" s="154">
        <v>22419</v>
      </c>
      <c r="G48" s="31">
        <f t="shared" si="3"/>
        <v>1.08</v>
      </c>
      <c r="H48" s="153">
        <f t="shared" si="1"/>
        <v>2.4110910186859557E-3</v>
      </c>
      <c r="I48" s="31">
        <f>ROUND(F48*Прил.10!$D$13,2)</f>
        <v>180248.76</v>
      </c>
      <c r="J48" s="31">
        <f t="shared" si="4"/>
        <v>8.65</v>
      </c>
    </row>
    <row r="49" spans="1:10" s="12" customFormat="1" ht="14.25" customHeight="1" outlineLevel="1" x14ac:dyDescent="0.2">
      <c r="A49" s="2">
        <v>24</v>
      </c>
      <c r="B49" s="2" t="s">
        <v>159</v>
      </c>
      <c r="C49" s="8" t="s">
        <v>160</v>
      </c>
      <c r="D49" s="2" t="s">
        <v>126</v>
      </c>
      <c r="E49" s="159">
        <v>0.35</v>
      </c>
      <c r="F49" s="154"/>
      <c r="G49" s="31">
        <f t="shared" si="3"/>
        <v>0</v>
      </c>
      <c r="H49" s="153">
        <f t="shared" si="1"/>
        <v>0</v>
      </c>
      <c r="I49" s="31">
        <f>ROUND(F49*Прил.10!$D$13,2)</f>
        <v>0</v>
      </c>
      <c r="J49" s="31">
        <f t="shared" si="4"/>
        <v>0</v>
      </c>
    </row>
    <row r="50" spans="1:10" s="12" customFormat="1" ht="14.25" customHeight="1" x14ac:dyDescent="0.2">
      <c r="A50" s="2"/>
      <c r="B50" s="2"/>
      <c r="C50" s="8" t="s">
        <v>228</v>
      </c>
      <c r="D50" s="2"/>
      <c r="E50" s="188"/>
      <c r="F50" s="154"/>
      <c r="G50" s="31">
        <f>SUM(G41:G49)</f>
        <v>48.06</v>
      </c>
      <c r="H50" s="153">
        <f t="shared" si="1"/>
        <v>0.10729355033152503</v>
      </c>
      <c r="I50" s="31"/>
      <c r="J50" s="31">
        <f>SUM(J41:J49)</f>
        <v>386.44</v>
      </c>
    </row>
    <row r="51" spans="1:10" s="12" customFormat="1" ht="14.25" customHeight="1" x14ac:dyDescent="0.2">
      <c r="A51" s="2"/>
      <c r="B51" s="2"/>
      <c r="C51" s="160" t="s">
        <v>229</v>
      </c>
      <c r="D51" s="2"/>
      <c r="E51" s="188"/>
      <c r="F51" s="154"/>
      <c r="G51" s="31">
        <f>G40+G50</f>
        <v>447.92999999999995</v>
      </c>
      <c r="H51" s="189">
        <f t="shared" si="1"/>
        <v>1</v>
      </c>
      <c r="I51" s="31"/>
      <c r="J51" s="31">
        <f>J40+J50</f>
        <v>3601.37</v>
      </c>
    </row>
    <row r="52" spans="1:10" s="12" customFormat="1" ht="14.25" customHeight="1" x14ac:dyDescent="0.2">
      <c r="A52" s="2"/>
      <c r="B52" s="2"/>
      <c r="C52" s="8" t="s">
        <v>230</v>
      </c>
      <c r="D52" s="2"/>
      <c r="E52" s="188"/>
      <c r="F52" s="154"/>
      <c r="G52" s="31">
        <f>G14+G23+G51</f>
        <v>1650.52</v>
      </c>
      <c r="H52" s="189"/>
      <c r="I52" s="31"/>
      <c r="J52" s="31">
        <f>J14+J23+J51</f>
        <v>9040.119999999999</v>
      </c>
    </row>
    <row r="53" spans="1:10" s="12" customFormat="1" ht="14.25" customHeight="1" x14ac:dyDescent="0.2">
      <c r="A53" s="2"/>
      <c r="B53" s="2"/>
      <c r="C53" s="8" t="s">
        <v>231</v>
      </c>
      <c r="D53" s="166">
        <f>ROUND(G53/(G$16+$G$14),2)</f>
        <v>0.94</v>
      </c>
      <c r="E53" s="188"/>
      <c r="F53" s="154"/>
      <c r="G53" s="31">
        <v>1029.8699999999999</v>
      </c>
      <c r="H53" s="189"/>
      <c r="I53" s="31"/>
      <c r="J53" s="31">
        <f>ROUND(D53*(J14+J16),2)</f>
        <v>4370.24</v>
      </c>
    </row>
    <row r="54" spans="1:10" s="12" customFormat="1" ht="14.25" customHeight="1" x14ac:dyDescent="0.2">
      <c r="A54" s="2"/>
      <c r="B54" s="2"/>
      <c r="C54" s="8" t="s">
        <v>232</v>
      </c>
      <c r="D54" s="166">
        <f>ROUND(G54/(G$14+G$16),2)</f>
        <v>0.52</v>
      </c>
      <c r="E54" s="188"/>
      <c r="F54" s="154"/>
      <c r="G54" s="31">
        <v>569.17999999999995</v>
      </c>
      <c r="H54" s="189"/>
      <c r="I54" s="31"/>
      <c r="J54" s="31">
        <f>ROUND(D54*(J14+J16),2)</f>
        <v>2417.58</v>
      </c>
    </row>
    <row r="55" spans="1:10" s="12" customFormat="1" ht="14.25" customHeight="1" x14ac:dyDescent="0.2">
      <c r="A55" s="2"/>
      <c r="B55" s="2"/>
      <c r="C55" s="8" t="s">
        <v>233</v>
      </c>
      <c r="D55" s="2"/>
      <c r="E55" s="188"/>
      <c r="F55" s="154"/>
      <c r="G55" s="31">
        <f>G14+G23+G51+G53+G54</f>
        <v>3249.5699999999997</v>
      </c>
      <c r="H55" s="189"/>
      <c r="I55" s="31"/>
      <c r="J55" s="31">
        <f>J14+J23+J51+J53+J54</f>
        <v>15827.939999999999</v>
      </c>
    </row>
    <row r="56" spans="1:10" s="12" customFormat="1" ht="14.25" customHeight="1" x14ac:dyDescent="0.2">
      <c r="A56" s="2"/>
      <c r="B56" s="2"/>
      <c r="C56" s="8" t="s">
        <v>234</v>
      </c>
      <c r="D56" s="2"/>
      <c r="E56" s="188"/>
      <c r="F56" s="154"/>
      <c r="G56" s="31">
        <f>G55+G29</f>
        <v>89767.15</v>
      </c>
      <c r="H56" s="189"/>
      <c r="I56" s="31"/>
      <c r="J56" s="31">
        <f>J55+J29</f>
        <v>557427.93999999994</v>
      </c>
    </row>
    <row r="57" spans="1:10" s="12" customFormat="1" ht="34.5" customHeight="1" x14ac:dyDescent="0.2">
      <c r="A57" s="2"/>
      <c r="B57" s="2"/>
      <c r="C57" s="8" t="s">
        <v>197</v>
      </c>
      <c r="D57" s="2" t="s">
        <v>235</v>
      </c>
      <c r="E57" s="191">
        <v>1</v>
      </c>
      <c r="F57" s="154"/>
      <c r="G57" s="31">
        <f>G56/E57</f>
        <v>89767.15</v>
      </c>
      <c r="H57" s="189"/>
      <c r="I57" s="31"/>
      <c r="J57" s="31">
        <f>J56/E57</f>
        <v>557427.93999999994</v>
      </c>
    </row>
    <row r="59" spans="1:10" s="12" customFormat="1" ht="14.25" customHeight="1" x14ac:dyDescent="0.2">
      <c r="A59" s="4" t="s">
        <v>236</v>
      </c>
    </row>
    <row r="60" spans="1:10" s="12" customFormat="1" ht="14.25" customHeight="1" x14ac:dyDescent="0.2">
      <c r="A60" s="167" t="s">
        <v>76</v>
      </c>
    </row>
    <row r="61" spans="1:10" s="12" customFormat="1" ht="14.25" customHeight="1" x14ac:dyDescent="0.2">
      <c r="A61" s="4"/>
    </row>
    <row r="62" spans="1:10" s="12" customFormat="1" ht="14.25" customHeight="1" x14ac:dyDescent="0.2">
      <c r="A62" s="4" t="s">
        <v>237</v>
      </c>
    </row>
    <row r="63" spans="1:10" s="12" customFormat="1" ht="14.25" customHeight="1" x14ac:dyDescent="0.2">
      <c r="A63" s="167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32:H32"/>
    <mergeCell ref="B12:H12"/>
    <mergeCell ref="B15:H15"/>
    <mergeCell ref="B17:H17"/>
    <mergeCell ref="B18:H18"/>
    <mergeCell ref="B25:H25"/>
    <mergeCell ref="B24:H24"/>
    <mergeCell ref="B31:H31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0"/>
  <sheetViews>
    <sheetView view="pageBreakPreview" workbookViewId="0">
      <selection activeCell="A16" sqref="A16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57" t="s">
        <v>238</v>
      </c>
      <c r="B1" s="257"/>
      <c r="C1" s="257"/>
      <c r="D1" s="257"/>
      <c r="E1" s="257"/>
      <c r="F1" s="257"/>
      <c r="G1" s="257"/>
    </row>
    <row r="2" spans="1:7" ht="21.75" customHeight="1" x14ac:dyDescent="0.25">
      <c r="A2" s="50"/>
      <c r="B2" s="50"/>
      <c r="C2" s="50"/>
      <c r="D2" s="50"/>
      <c r="E2" s="50"/>
      <c r="F2" s="50"/>
      <c r="G2" s="50"/>
    </row>
    <row r="3" spans="1:7" x14ac:dyDescent="0.25">
      <c r="A3" s="208" t="s">
        <v>239</v>
      </c>
      <c r="B3" s="208"/>
      <c r="C3" s="208"/>
      <c r="D3" s="208"/>
      <c r="E3" s="208"/>
      <c r="F3" s="208"/>
      <c r="G3" s="208"/>
    </row>
    <row r="4" spans="1:7" ht="25.5" customHeight="1" x14ac:dyDescent="0.25">
      <c r="A4" s="211" t="s">
        <v>47</v>
      </c>
      <c r="B4" s="211"/>
      <c r="C4" s="211"/>
      <c r="D4" s="211"/>
      <c r="E4" s="211"/>
      <c r="F4" s="211"/>
      <c r="G4" s="211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62" t="s">
        <v>13</v>
      </c>
      <c r="B6" s="262" t="s">
        <v>98</v>
      </c>
      <c r="C6" s="262" t="s">
        <v>163</v>
      </c>
      <c r="D6" s="262" t="s">
        <v>100</v>
      </c>
      <c r="E6" s="235" t="s">
        <v>206</v>
      </c>
      <c r="F6" s="262" t="s">
        <v>102</v>
      </c>
      <c r="G6" s="262"/>
    </row>
    <row r="7" spans="1:7" x14ac:dyDescent="0.25">
      <c r="A7" s="262"/>
      <c r="B7" s="262"/>
      <c r="C7" s="262"/>
      <c r="D7" s="262"/>
      <c r="E7" s="236"/>
      <c r="F7" s="2" t="s">
        <v>209</v>
      </c>
      <c r="G7" s="2" t="s">
        <v>104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24"/>
      <c r="B9" s="258" t="s">
        <v>240</v>
      </c>
      <c r="C9" s="259"/>
      <c r="D9" s="259"/>
      <c r="E9" s="259"/>
      <c r="F9" s="259"/>
      <c r="G9" s="260"/>
    </row>
    <row r="10" spans="1:7" ht="27" customHeight="1" x14ac:dyDescent="0.25">
      <c r="A10" s="2"/>
      <c r="B10" s="160"/>
      <c r="C10" s="8" t="s">
        <v>241</v>
      </c>
      <c r="D10" s="160"/>
      <c r="E10" s="168"/>
      <c r="F10" s="154"/>
      <c r="G10" s="31">
        <v>0</v>
      </c>
    </row>
    <row r="11" spans="1:7" x14ac:dyDescent="0.25">
      <c r="A11" s="2"/>
      <c r="B11" s="244" t="s">
        <v>242</v>
      </c>
      <c r="C11" s="244"/>
      <c r="D11" s="244"/>
      <c r="E11" s="261"/>
      <c r="F11" s="246"/>
      <c r="G11" s="246"/>
    </row>
    <row r="12" spans="1:7" s="113" customFormat="1" ht="89.25" customHeight="1" x14ac:dyDescent="0.25">
      <c r="A12" s="2">
        <v>1</v>
      </c>
      <c r="B12" s="8" t="str">
        <f>'Прил.5 Расчет СМР и ОБ'!B26</f>
        <v>БЦ.54.24</v>
      </c>
      <c r="C12" s="8" t="str">
        <f>'Прил.5 Расчет СМР и ОБ'!C26</f>
        <v>АРМ персонала комплекса систем безопасности</v>
      </c>
      <c r="D12" s="2" t="str">
        <f>'Прил.5 Расчет СМР и ОБ'!D26</f>
        <v>шт</v>
      </c>
      <c r="E12" s="159">
        <f>'Прил.5 Расчет СМР и ОБ'!E26</f>
        <v>2</v>
      </c>
      <c r="F12" s="154">
        <f>'Прил.5 Расчет СМР и ОБ'!F26</f>
        <v>43258.79</v>
      </c>
      <c r="G12" s="31">
        <f>ROUND(E12*F12,2)</f>
        <v>86517.58</v>
      </c>
    </row>
    <row r="13" spans="1:7" ht="25.5" customHeight="1" x14ac:dyDescent="0.25">
      <c r="A13" s="2"/>
      <c r="B13" s="8"/>
      <c r="C13" s="8" t="s">
        <v>243</v>
      </c>
      <c r="D13" s="8"/>
      <c r="E13" s="45"/>
      <c r="F13" s="154"/>
      <c r="G13" s="31">
        <f>SUM(G12:G12)</f>
        <v>86517.58</v>
      </c>
    </row>
    <row r="14" spans="1:7" ht="19.5" customHeight="1" x14ac:dyDescent="0.25">
      <c r="A14" s="2"/>
      <c r="B14" s="8"/>
      <c r="C14" s="8" t="s">
        <v>244</v>
      </c>
      <c r="D14" s="8"/>
      <c r="E14" s="45"/>
      <c r="F14" s="154"/>
      <c r="G14" s="31">
        <f>G10+G13</f>
        <v>86517.58</v>
      </c>
    </row>
    <row r="15" spans="1:7" x14ac:dyDescent="0.25">
      <c r="A15" s="29"/>
      <c r="B15" s="169"/>
      <c r="C15" s="29"/>
      <c r="D15" s="29"/>
      <c r="E15" s="29"/>
      <c r="F15" s="29"/>
      <c r="G15" s="29"/>
    </row>
    <row r="16" spans="1:7" x14ac:dyDescent="0.25">
      <c r="A16" s="4" t="s">
        <v>236</v>
      </c>
      <c r="B16" s="12"/>
      <c r="C16" s="12"/>
      <c r="D16" s="29"/>
      <c r="E16" s="29"/>
      <c r="F16" s="29"/>
      <c r="G16" s="29"/>
    </row>
    <row r="17" spans="1:7" x14ac:dyDescent="0.25">
      <c r="A17" s="167" t="s">
        <v>76</v>
      </c>
      <c r="B17" s="12"/>
      <c r="C17" s="12"/>
      <c r="D17" s="29"/>
      <c r="E17" s="29"/>
      <c r="F17" s="29"/>
      <c r="G17" s="29"/>
    </row>
    <row r="18" spans="1:7" x14ac:dyDescent="0.25">
      <c r="A18" s="4"/>
      <c r="B18" s="12"/>
      <c r="C18" s="12"/>
      <c r="D18" s="29"/>
      <c r="E18" s="29"/>
      <c r="F18" s="29"/>
      <c r="G18" s="29"/>
    </row>
    <row r="19" spans="1:7" x14ac:dyDescent="0.25">
      <c r="A19" s="4" t="s">
        <v>237</v>
      </c>
      <c r="B19" s="12"/>
      <c r="C19" s="12"/>
      <c r="D19" s="29"/>
      <c r="E19" s="29"/>
      <c r="F19" s="29"/>
      <c r="G19" s="29"/>
    </row>
    <row r="20" spans="1:7" x14ac:dyDescent="0.25">
      <c r="A20" s="167" t="s">
        <v>78</v>
      </c>
      <c r="B20" s="12"/>
      <c r="C20" s="12"/>
      <c r="D20" s="29"/>
      <c r="E20" s="29"/>
      <c r="F20" s="29"/>
      <c r="G20" s="29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2023-11-24T11:06:08Z</cp:lastPrinted>
  <dcterms:created xsi:type="dcterms:W3CDTF">2020-09-30T08:50:27Z</dcterms:created>
  <dcterms:modified xsi:type="dcterms:W3CDTF">2023-11-24T11:06:26Z</dcterms:modified>
  <cp:category/>
</cp:coreProperties>
</file>