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4ED33200-22A7-4E7D-A3BE-AF2BA125F71A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стоим'!$A$1:$J$24</definedName>
    <definedName name="_xlnm.Print_Area" localSheetId="5">Прил.3!$A$1:$H$47</definedName>
    <definedName name="_xlnm.Print_Area" localSheetId="6">'Прил.4 РМ'!$A$1:$E$48</definedName>
    <definedName name="_xlnm.Print_Area" localSheetId="7">'Прил.5 Расчет СМР и ОБ'!$A$1:$J$65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12" i="9"/>
  <c r="D12" i="9"/>
  <c r="C12" i="9"/>
  <c r="B12" i="9"/>
  <c r="J49" i="8"/>
  <c r="I49" i="8"/>
  <c r="G49" i="8"/>
  <c r="I48" i="8"/>
  <c r="J48" i="8" s="1"/>
  <c r="G48" i="8"/>
  <c r="I47" i="8"/>
  <c r="J47" i="8" s="1"/>
  <c r="G47" i="8"/>
  <c r="J46" i="8"/>
  <c r="I46" i="8"/>
  <c r="G46" i="8"/>
  <c r="I45" i="8"/>
  <c r="J45" i="8" s="1"/>
  <c r="G45" i="8"/>
  <c r="I44" i="8"/>
  <c r="J44" i="8" s="1"/>
  <c r="G44" i="8"/>
  <c r="J43" i="8"/>
  <c r="I43" i="8"/>
  <c r="G43" i="8"/>
  <c r="I42" i="8"/>
  <c r="J42" i="8" s="1"/>
  <c r="G42" i="8"/>
  <c r="I41" i="8"/>
  <c r="J41" i="8" s="1"/>
  <c r="J50" i="8" s="1"/>
  <c r="C17" i="7" s="1"/>
  <c r="G41" i="8"/>
  <c r="J39" i="8"/>
  <c r="I39" i="8"/>
  <c r="G39" i="8"/>
  <c r="J38" i="8"/>
  <c r="I38" i="8"/>
  <c r="G38" i="8"/>
  <c r="I37" i="8"/>
  <c r="J37" i="8" s="1"/>
  <c r="G37" i="8"/>
  <c r="J36" i="8"/>
  <c r="I36" i="8"/>
  <c r="G36" i="8"/>
  <c r="J35" i="8"/>
  <c r="I35" i="8"/>
  <c r="G35" i="8"/>
  <c r="I34" i="8"/>
  <c r="J34" i="8" s="1"/>
  <c r="J40" i="8" s="1"/>
  <c r="G34" i="8"/>
  <c r="J33" i="8"/>
  <c r="I33" i="8"/>
  <c r="G33" i="8"/>
  <c r="G40" i="8" s="1"/>
  <c r="J27" i="8"/>
  <c r="J29" i="8" s="1"/>
  <c r="C25" i="7" s="1"/>
  <c r="J26" i="8"/>
  <c r="G26" i="8"/>
  <c r="G27" i="8" s="1"/>
  <c r="F26" i="8"/>
  <c r="F12" i="9" s="1"/>
  <c r="G12" i="9" s="1"/>
  <c r="G13" i="9" s="1"/>
  <c r="G22" i="8"/>
  <c r="G23" i="8" s="1"/>
  <c r="H20" i="8" s="1"/>
  <c r="J21" i="8"/>
  <c r="J22" i="8" s="1"/>
  <c r="I21" i="8"/>
  <c r="G21" i="8"/>
  <c r="J20" i="8"/>
  <c r="C12" i="7" s="1"/>
  <c r="G20" i="8"/>
  <c r="J19" i="8"/>
  <c r="I19" i="8"/>
  <c r="G19" i="8"/>
  <c r="G16" i="8"/>
  <c r="E16" i="8"/>
  <c r="J14" i="8"/>
  <c r="E14" i="8"/>
  <c r="J13" i="8"/>
  <c r="I13" i="8"/>
  <c r="G13" i="8"/>
  <c r="C11" i="7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5" i="6"/>
  <c r="F15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14" i="8" l="1"/>
  <c r="D54" i="8" s="1"/>
  <c r="C21" i="7" s="1"/>
  <c r="C16" i="7"/>
  <c r="J51" i="8"/>
  <c r="G30" i="8"/>
  <c r="J30" i="8" s="1"/>
  <c r="C26" i="7" s="1"/>
  <c r="G14" i="9"/>
  <c r="G29" i="8"/>
  <c r="H28" i="8" s="1"/>
  <c r="H21" i="8"/>
  <c r="H19" i="8"/>
  <c r="C18" i="7"/>
  <c r="J23" i="8"/>
  <c r="C13" i="7"/>
  <c r="G50" i="8"/>
  <c r="G51" i="8" s="1"/>
  <c r="J52" i="8"/>
  <c r="H22" i="8"/>
  <c r="F16" i="8"/>
  <c r="I16" i="8" s="1"/>
  <c r="J16" i="8" s="1"/>
  <c r="C15" i="7" s="1"/>
  <c r="D53" i="8" l="1"/>
  <c r="C23" i="7" s="1"/>
  <c r="C22" i="7" s="1"/>
  <c r="H13" i="8"/>
  <c r="H51" i="8"/>
  <c r="H37" i="8"/>
  <c r="H34" i="8"/>
  <c r="H38" i="8"/>
  <c r="H35" i="8"/>
  <c r="H42" i="8"/>
  <c r="H48" i="8"/>
  <c r="H45" i="8"/>
  <c r="H47" i="8"/>
  <c r="H41" i="8"/>
  <c r="H49" i="8"/>
  <c r="H36" i="8"/>
  <c r="H39" i="8"/>
  <c r="G55" i="8"/>
  <c r="G56" i="8" s="1"/>
  <c r="G57" i="8" s="1"/>
  <c r="H44" i="8"/>
  <c r="H40" i="8"/>
  <c r="H33" i="8"/>
  <c r="H46" i="8"/>
  <c r="H43" i="8"/>
  <c r="G52" i="8"/>
  <c r="H27" i="8"/>
  <c r="H29" i="8" s="1"/>
  <c r="C20" i="7"/>
  <c r="C14" i="7"/>
  <c r="C19" i="7"/>
  <c r="H26" i="8"/>
  <c r="J53" i="8"/>
  <c r="J55" i="8" s="1"/>
  <c r="J56" i="8" s="1"/>
  <c r="J57" i="8" s="1"/>
  <c r="H50" i="8"/>
  <c r="J54" i="8"/>
  <c r="C24" i="7" l="1"/>
  <c r="D14" i="7" s="1"/>
  <c r="D22" i="7" l="1"/>
  <c r="C29" i="7"/>
  <c r="C27" i="7"/>
  <c r="D24" i="7"/>
  <c r="D12" i="7"/>
  <c r="D11" i="7"/>
  <c r="D17" i="7"/>
  <c r="D18" i="7"/>
  <c r="D16" i="7"/>
  <c r="D15" i="7"/>
  <c r="D13" i="7"/>
  <c r="D20" i="7"/>
  <c r="C30" i="7" l="1"/>
  <c r="C36" i="7" l="1"/>
  <c r="C37" i="7"/>
  <c r="C38" i="7" l="1"/>
  <c r="C39" i="7" l="1"/>
  <c r="C40" i="7" l="1"/>
  <c r="E39" i="7"/>
  <c r="E40" i="7" l="1"/>
  <c r="E33" i="7"/>
  <c r="E32" i="7"/>
  <c r="E31" i="7"/>
  <c r="C41" i="7"/>
  <c r="D11" i="10" s="1"/>
  <c r="E34" i="7"/>
  <c r="E35" i="7"/>
  <c r="E11" i="7"/>
  <c r="E12" i="7"/>
  <c r="E25" i="7"/>
  <c r="E17" i="7"/>
  <c r="E16" i="7"/>
  <c r="E18" i="7"/>
  <c r="E26" i="7"/>
  <c r="E13" i="7"/>
  <c r="E15" i="7"/>
  <c r="E22" i="7"/>
  <c r="E20" i="7"/>
  <c r="E14" i="7"/>
  <c r="E24" i="7"/>
  <c r="E27" i="7"/>
  <c r="E29" i="7"/>
  <c r="E30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<sst xmlns="http://schemas.openxmlformats.org/spreadsheetml/2006/main" count="635" uniqueCount="407">
  <si>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</si>
  <si>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</si>
  <si>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</si>
  <si>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</si>
  <si>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</si>
  <si>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</si>
  <si>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</si>
  <si>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</si>
  <si>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</si>
  <si>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</si>
  <si>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</si>
  <si>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</si>
  <si>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</si>
  <si>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</si>
  <si>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</si>
  <si>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</si>
  <si>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</si>
  <si>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</si>
  <si>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</si>
  <si>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</si>
  <si>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</si>
  <si>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</si>
  <si>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</si>
  <si>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</si>
  <si>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</si>
  <si>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</si>
  <si>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</si>
  <si>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</si>
  <si>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</si>
  <si>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</si>
  <si>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</si>
  <si>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</si>
  <si>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</si>
  <si>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</si>
  <si>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</si>
  <si>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</si>
  <si>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</si>
  <si>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</si>
  <si>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</si>
  <si>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</si>
  <si>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</si>
  <si>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</si>
  <si>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</si>
  <si>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</si>
  <si>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</si>
  <si>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</si>
  <si>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</si>
  <si>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АРМ ПС 330 кВ</t>
  </si>
  <si>
    <t>Сопоставимый уровень цен: 4 квартал 2019 г.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</si>
  <si>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</si>
  <si>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</si>
  <si>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</si>
  <si>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</si>
  <si>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330 кВ Мурманская</t>
  </si>
  <si>
    <t>Наименование субъекта Российской Федерации</t>
  </si>
  <si>
    <t>Мурманская область</t>
  </si>
  <si>
    <t>Климатический район и подрайон</t>
  </si>
  <si>
    <t xml:space="preserve"> 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</si>
  <si>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</si>
  <si>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</si>
  <si>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АРМ - 2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</si>
  <si>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</si>
  <si>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</si>
  <si>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</si>
  <si>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</si>
  <si>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</si>
  <si>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</si>
  <si>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</si>
  <si>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</si>
  <si>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</si>
  <si>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</si>
  <si>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</si>
  <si>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</si>
  <si>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</si>
  <si>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</si>
  <si>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</si>
  <si>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</si>
  <si>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</si>
  <si>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</si>
  <si>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</si>
  <si>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</si>
  <si>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АРМ ПС 330 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</si>
  <si>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</si>
  <si>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</si>
  <si>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</si>
  <si>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</si>
  <si>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</si>
  <si>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</si>
  <si>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</si>
  <si>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</si>
  <si>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</si>
  <si>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Всего по объекту в сопоставимом уровне цен 4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</si>
  <si>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</si>
  <si>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</si>
  <si>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</si>
  <si>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</si>
  <si>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АРМ ПС 330 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</si>
  <si>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</si>
  <si>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</si>
  <si>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</si>
  <si>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</si>
  <si>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</si>
  <si>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</si>
  <si>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</si>
  <si>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</si>
  <si>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</si>
  <si>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</si>
  <si>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</si>
  <si>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</si>
  <si>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</si>
  <si>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</si>
  <si>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</si>
  <si>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1-3-0</t>
  </si>
  <si>
    <t>Затраты труда рабочих (ср 3)</t>
  </si>
  <si>
    <t>Затраты труда машинистов</t>
  </si>
  <si>
    <t>Машины и механизмы</t>
  </si>
  <si>
    <t>91.14.02-001</t>
  </si>
  <si>
    <t>Автомобили бортовые, грузоподъемность до 5 т</t>
  </si>
  <si>
    <t>маш.час</t>
  </si>
  <si>
    <t>91.06.05-011</t>
  </si>
  <si>
    <t>Погрузчики, грузоподъемность 5 т</t>
  </si>
  <si>
    <t>Прайс из СД ОП</t>
  </si>
  <si>
    <t>Рабочая станция HP T4K63EA Z840 / Win10p64DowngradeWin764 / 16GB DDR4-2400 (2x8GB) / 1TB 7200 / E5-2620v4 2.1 2133 / 3yw / SuperMultiODD / USBBusinessSlimkbd / USBmouse / MCR / T7T60AA NVIDIA Quadro M2000 4GB Graphics   HP Z840</t>
  </si>
  <si>
    <t>шт</t>
  </si>
  <si>
    <t>Материалы</t>
  </si>
  <si>
    <t>14.3.02.01-0219</t>
  </si>
  <si>
    <t>Краска универсальная, акриловая для внутренних и наружных работ</t>
  </si>
  <si>
    <t>т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</si>
  <si>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</si>
  <si>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</si>
  <si>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01.7.20.04-0003</t>
  </si>
  <si>
    <t>Нитки суровые</t>
  </si>
  <si>
    <t>кг</t>
  </si>
  <si>
    <t>20.2.10.03-0020</t>
  </si>
  <si>
    <t>Наконечники кабельные П2.5-4Д-МУ3</t>
  </si>
  <si>
    <t>100 шт</t>
  </si>
  <si>
    <t>01.7.15.02-0084</t>
  </si>
  <si>
    <t>Болты с шестигранной головкой, диаметр 12 (14) мм</t>
  </si>
  <si>
    <t>999-9950</t>
  </si>
  <si>
    <t>Вспомогательные ненормируемые ресурсы (2% от Оплаты труда рабочих)</t>
  </si>
  <si>
    <t>руб</t>
  </si>
  <si>
    <t>10.2.02.08-0001</t>
  </si>
  <si>
    <t>Проволока медная, круглая, мягкая, электротехническая, диаметр 1,0-3,0 мм и выше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</si>
  <si>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</si>
  <si>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</si>
  <si>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</si>
  <si>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</si>
  <si>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01.7.19.07-0003</t>
  </si>
  <si>
    <t>Резина прессованная</t>
  </si>
  <si>
    <t>01.7.11.06-0028</t>
  </si>
  <si>
    <t>Флюс ФКДТ</t>
  </si>
  <si>
    <t>01.7.05.03-0006</t>
  </si>
  <si>
    <t>Лакоткани стеклянные ЛСК-155/180, ширина 690, 790, 890, 940, 990, 1060, 1140 мм, толщина 0,08 мм</t>
  </si>
  <si>
    <t>10 м2</t>
  </si>
  <si>
    <t>01.7.06.03-0023</t>
  </si>
  <si>
    <t>Лента полиэтиленовая с липким слоем,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</si>
  <si>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</si>
  <si>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</si>
  <si>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</si>
  <si>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</si>
  <si>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</si>
  <si>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</si>
  <si>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</si>
  <si>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</si>
  <si>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</si>
  <si>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</si>
  <si>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</si>
  <si>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</si>
  <si>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</si>
  <si>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</si>
  <si>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</si>
  <si>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</si>
  <si>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</si>
  <si>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</si>
  <si>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</si>
  <si>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</si>
  <si>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</si>
  <si>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</si>
  <si>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</si>
  <si>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</si>
  <si>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</si>
  <si>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</si>
  <si>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</si>
  <si>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</si>
  <si>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</si>
  <si>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</si>
  <si>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</si>
  <si>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</si>
  <si>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</si>
  <si>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</si>
  <si>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</si>
  <si>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</si>
  <si>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</si>
  <si>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</si>
  <si>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</si>
  <si>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</si>
  <si>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</si>
  <si>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</si>
  <si>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</si>
  <si>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</si>
  <si>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</si>
  <si>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</si>
  <si>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</si>
  <si>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</si>
  <si>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</si>
  <si>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</si>
  <si>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АРМ ПС 330 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</si>
  <si>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</si>
  <si>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</si>
  <si>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</si>
  <si>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</si>
  <si>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</si>
  <si>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</si>
  <si>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</si>
  <si>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</si>
  <si>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</si>
  <si>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</si>
  <si>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</si>
  <si>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</si>
  <si>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</si>
  <si>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</si>
  <si>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БЦ.54.24</t>
  </si>
  <si>
    <t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</si>
  <si>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</si>
  <si>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</si>
  <si>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</si>
  <si>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</si>
  <si>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</si>
  <si>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</si>
  <si>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</si>
  <si>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</si>
  <si>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</si>
  <si>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</si>
  <si>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</si>
  <si>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</si>
  <si>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</si>
  <si>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</si>
  <si>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</si>
  <si>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</si>
  <si>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</si>
  <si>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</si>
  <si>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</si>
  <si>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</si>
  <si>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</si>
  <si>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</si>
  <si>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</si>
  <si>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</si>
  <si>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</si>
  <si>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</si>
  <si>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ПС</t>
  </si>
  <si>
    <t>Наименование РМ, входящих в состав показателя</t>
  </si>
  <si>
    <t>Норматив цены на 01.01.2023, тыс.руб.</t>
  </si>
  <si>
    <t>З1-04</t>
  </si>
  <si>
    <t>УНЦ постоянной части ПС 330 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</si>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</sst>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right" vertical="center" wrapText="1"/>
    </xf>
    <xf numFmtId="10" fontId="1" fillId="4" borderId="7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313063</xdr:colOff>
      <xdr:row>28</xdr:row>
      <xdr:rowOff>107043</xdr:rowOff>
    </xdr:from>
    <xdr:to>
      <xdr:col>2</xdr:col>
      <xdr:colOff>1360814</xdr:colOff>
      <xdr:row>31</xdr:row>
      <xdr:rowOff>76055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6C2983F-16E5-458C-8887-B646AAC31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263" y="13727793"/>
          <a:ext cx="1047751" cy="569087"/>
        </a:xfrm>
        <a:prstGeom prst="rect">
          <a:avLst/>
        </a:prstGeom>
      </xdr:spPr>
    </xdr:pic>
    <xdr:clientData/>
  </xdr:twoCellAnchor>
  <xdr:twoCellAnchor editAs="oneCell">
    <xdr:from>
      <xdr:col>2</xdr:col>
      <xdr:colOff>288925</xdr:colOff>
      <xdr:row>26</xdr:row>
      <xdr:rowOff>444500</xdr:rowOff>
    </xdr:from>
    <xdr:to>
      <xdr:col>2</xdr:col>
      <xdr:colOff>1570364</xdr:colOff>
      <xdr:row>28</xdr:row>
      <xdr:rowOff>97518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6C84888-C37F-4A0F-BC1F-6341DF532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125" y="13388975"/>
          <a:ext cx="1281439" cy="329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466371</xdr:colOff>
      <xdr:row>20</xdr:row>
      <xdr:rowOff>41728</xdr:rowOff>
    </xdr:from>
    <xdr:to>
      <xdr:col>2</xdr:col>
      <xdr:colOff>1514122</xdr:colOff>
      <xdr:row>23</xdr:row>
      <xdr:rowOff>10740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9F8B8F2-CC41-4452-B370-5A4052985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085" y="4872264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2</xdr:col>
      <xdr:colOff>442233</xdr:colOff>
      <xdr:row>18</xdr:row>
      <xdr:rowOff>107043</xdr:rowOff>
    </xdr:from>
    <xdr:to>
      <xdr:col>2</xdr:col>
      <xdr:colOff>1723672</xdr:colOff>
      <xdr:row>20</xdr:row>
      <xdr:rowOff>32203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7DED4D3-49B7-4608-998D-1D4B35A83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947" y="4529364"/>
          <a:ext cx="1281439" cy="333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287907</xdr:colOff>
      <xdr:row>41</xdr:row>
      <xdr:rowOff>37152</xdr:rowOff>
    </xdr:from>
    <xdr:to>
      <xdr:col>2</xdr:col>
      <xdr:colOff>1335658</xdr:colOff>
      <xdr:row>44</xdr:row>
      <xdr:rowOff>13367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22F131-F8FF-48C9-A104-549E51F9A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311" y="12199844"/>
          <a:ext cx="1047751" cy="569696"/>
        </a:xfrm>
        <a:prstGeom prst="rect">
          <a:avLst/>
        </a:prstGeom>
      </xdr:spPr>
    </xdr:pic>
    <xdr:clientData/>
  </xdr:twoCellAnchor>
  <xdr:twoCellAnchor editAs="oneCell">
    <xdr:from>
      <xdr:col>2</xdr:col>
      <xdr:colOff>263769</xdr:colOff>
      <xdr:row>39</xdr:row>
      <xdr:rowOff>86458</xdr:rowOff>
    </xdr:from>
    <xdr:to>
      <xdr:col>3</xdr:col>
      <xdr:colOff>59308</xdr:colOff>
      <xdr:row>41</xdr:row>
      <xdr:rowOff>27627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8C5CC7B-97EA-4EF5-A78C-67A019415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7173" y="11853496"/>
          <a:ext cx="1290231" cy="3368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919488</xdr:colOff>
      <xdr:row>43</xdr:row>
      <xdr:rowOff>9525</xdr:rowOff>
    </xdr:from>
    <xdr:to>
      <xdr:col>1</xdr:col>
      <xdr:colOff>1967239</xdr:colOff>
      <xdr:row>46</xdr:row>
      <xdr:rowOff>19358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BDAACA2-4297-4BC9-A95F-A82EA55C9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713" y="11630025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41</xdr:row>
      <xdr:rowOff>47625</xdr:rowOff>
    </xdr:from>
    <xdr:to>
      <xdr:col>1</xdr:col>
      <xdr:colOff>2176789</xdr:colOff>
      <xdr:row>43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C0D92D-9404-4A20-9C68-12A113B60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1287125"/>
          <a:ext cx="1281439" cy="333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444919</xdr:colOff>
      <xdr:row>59</xdr:row>
      <xdr:rowOff>31937</xdr:rowOff>
    </xdr:from>
    <xdr:to>
      <xdr:col>1</xdr:col>
      <xdr:colOff>1492670</xdr:colOff>
      <xdr:row>62</xdr:row>
      <xdr:rowOff>41770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5C03254-1E4A-41A7-945E-53062D559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19" y="15395762"/>
          <a:ext cx="1047751" cy="552758"/>
        </a:xfrm>
        <a:prstGeom prst="rect">
          <a:avLst/>
        </a:prstGeom>
      </xdr:spPr>
    </xdr:pic>
    <xdr:clientData/>
  </xdr:twoCellAnchor>
  <xdr:twoCellAnchor editAs="oneCell">
    <xdr:from>
      <xdr:col>1</xdr:col>
      <xdr:colOff>420781</xdr:colOff>
      <xdr:row>57</xdr:row>
      <xdr:rowOff>70037</xdr:rowOff>
    </xdr:from>
    <xdr:to>
      <xdr:col>2</xdr:col>
      <xdr:colOff>197270</xdr:colOff>
      <xdr:row>59</xdr:row>
      <xdr:rowOff>22412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ABCBFA0-E0EE-40AF-9565-E70E210BB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781" y="15062387"/>
          <a:ext cx="1281439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424188</xdr:colOff>
      <xdr:row>16</xdr:row>
      <xdr:rowOff>0</xdr:rowOff>
    </xdr:from>
    <xdr:to>
      <xdr:col>2</xdr:col>
      <xdr:colOff>300364</xdr:colOff>
      <xdr:row>19</xdr:row>
      <xdr:rowOff>9833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6D064A4-4B13-4885-BB50-B182B0B82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88" y="4743450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14</xdr:row>
      <xdr:rowOff>38100</xdr:rowOff>
    </xdr:from>
    <xdr:to>
      <xdr:col>2</xdr:col>
      <xdr:colOff>509914</xdr:colOff>
      <xdr:row>15</xdr:row>
      <xdr:rowOff>180975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39DF9EB-FA08-4469-9850-9A80AD674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4400550"/>
          <a:ext cx="1281439" cy="333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776613</xdr:colOff>
      <xdr:row>13</xdr:row>
      <xdr:rowOff>57150</xdr:rowOff>
    </xdr:from>
    <xdr:to>
      <xdr:col>1</xdr:col>
      <xdr:colOff>976639</xdr:colOff>
      <xdr:row>16</xdr:row>
      <xdr:rowOff>66983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0C22C1-0CF1-488E-B034-EBCA856CC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613" y="3419475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11</xdr:row>
      <xdr:rowOff>95250</xdr:rowOff>
    </xdr:from>
    <xdr:to>
      <xdr:col>2</xdr:col>
      <xdr:colOff>90814</xdr:colOff>
      <xdr:row>13</xdr:row>
      <xdr:rowOff>47625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A233C29-4977-4BF0-8F10-30C9FB9F4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3076575"/>
          <a:ext cx="1281439" cy="333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865513</xdr:colOff>
      <xdr:row>26</xdr:row>
      <xdr:rowOff>184150</xdr:rowOff>
    </xdr:from>
    <xdr:to>
      <xdr:col>1</xdr:col>
      <xdr:colOff>1913264</xdr:colOff>
      <xdr:row>30</xdr:row>
      <xdr:rowOff>3483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4FCCE7B-263E-4538-AE3B-0A9650F83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763" y="9296400"/>
          <a:ext cx="1047751" cy="581333"/>
        </a:xfrm>
        <a:prstGeom prst="rect">
          <a:avLst/>
        </a:prstGeom>
      </xdr:spPr>
    </xdr:pic>
    <xdr:clientData/>
  </xdr:twoCellAnchor>
  <xdr:twoCellAnchor editAs="oneCell">
    <xdr:from>
      <xdr:col>1</xdr:col>
      <xdr:colOff>841375</xdr:colOff>
      <xdr:row>25</xdr:row>
      <xdr:rowOff>31750</xdr:rowOff>
    </xdr:from>
    <xdr:to>
      <xdr:col>1</xdr:col>
      <xdr:colOff>2122814</xdr:colOff>
      <xdr:row>26</xdr:row>
      <xdr:rowOff>174625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790BDEF-9E00-4755-A4E5-3655143DB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25" y="8953500"/>
          <a:ext cx="1281439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25" t="s">
        <v>0</v>
      </c>
      <c r="B2" s="325"/>
      <c r="C2" s="325"/>
    </row>
    <row r="3" spans="1:3" x14ac:dyDescent="0.25">
      <c r="A3" s="1"/>
      <c r="B3" s="1"/>
      <c r="C3" s="1"/>
    </row>
    <row r="4" spans="1:3" x14ac:dyDescent="0.25">
      <c r="A4" s="326" t="s">
        <v>1</v>
      </c>
      <c r="B4" s="326"/>
      <c r="C4" s="32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27" t="s">
        <v>3</v>
      </c>
      <c r="C6" s="327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5" sqref="D15"/>
    </sheetView>
  </sheetViews>
  <sheetFormatPr defaultRowHeight="15" x14ac:dyDescent="0.25"/>
  <cols>
    <col min="1" max="1" width="12.7109375" style="313" customWidth="1"/>
    <col min="2" max="2" width="16.42578125" style="313" customWidth="1"/>
    <col min="3" max="3" width="37.140625" style="313" customWidth="1"/>
    <col min="4" max="4" width="49" style="313" customWidth="1"/>
    <col min="5" max="5" width="9.140625" style="313" customWidth="1"/>
  </cols>
  <sheetData>
    <row r="1" spans="1:4" ht="15.75" customHeight="1" x14ac:dyDescent="0.25">
      <c r="A1" s="312"/>
      <c r="B1" s="312"/>
      <c r="C1" s="312"/>
      <c r="D1" s="312" t="s">
        <v>246</v>
      </c>
    </row>
    <row r="2" spans="1:4" ht="15.75" customHeight="1" x14ac:dyDescent="0.25">
      <c r="A2" s="312"/>
      <c r="B2" s="312"/>
      <c r="C2" s="312"/>
      <c r="D2" s="312"/>
    </row>
    <row r="3" spans="1:4" ht="15.75" customHeight="1" x14ac:dyDescent="0.25">
      <c r="A3" s="312"/>
      <c r="B3" s="314" t="s">
        <v>247</v>
      </c>
      <c r="C3" s="312"/>
      <c r="D3" s="312"/>
    </row>
    <row r="4" spans="1:4" ht="15.75" customHeight="1" x14ac:dyDescent="0.25">
      <c r="A4" s="312"/>
      <c r="B4" s="312"/>
      <c r="C4" s="312"/>
      <c r="D4" s="312"/>
    </row>
    <row r="5" spans="1:4" ht="31.5" customHeight="1" x14ac:dyDescent="0.25">
      <c r="A5" s="380" t="s">
        <v>248</v>
      </c>
      <c r="B5" s="380"/>
      <c r="C5" s="380"/>
      <c r="D5" s="315" t="str">
        <f>'Прил.5 Расчет СМР и ОБ'!D6:J6</f>
        <v>Постоянная часть ПС, АРМ ПС 330 кВ</v>
      </c>
    </row>
    <row r="6" spans="1:4" ht="15.75" customHeight="1" x14ac:dyDescent="0.25">
      <c r="A6" s="312" t="s">
        <v>249</v>
      </c>
      <c r="B6" s="312"/>
      <c r="C6" s="312"/>
      <c r="D6" s="312"/>
    </row>
    <row r="7" spans="1:4" ht="15.75" customHeight="1" x14ac:dyDescent="0.25">
      <c r="A7" s="312"/>
      <c r="B7" s="312"/>
      <c r="C7" s="312"/>
      <c r="D7" s="312"/>
    </row>
    <row r="8" spans="1:4" x14ac:dyDescent="0.25">
      <c r="A8" s="338" t="s">
        <v>5</v>
      </c>
      <c r="B8" s="338" t="s">
        <v>6</v>
      </c>
      <c r="C8" s="338" t="s">
        <v>250</v>
      </c>
      <c r="D8" s="338" t="s">
        <v>251</v>
      </c>
    </row>
    <row r="9" spans="1:4" x14ac:dyDescent="0.25">
      <c r="A9" s="338"/>
      <c r="B9" s="338"/>
      <c r="C9" s="338"/>
      <c r="D9" s="338"/>
    </row>
    <row r="10" spans="1:4" ht="15.75" customHeight="1" x14ac:dyDescent="0.25">
      <c r="A10" s="316">
        <v>1</v>
      </c>
      <c r="B10" s="316">
        <v>2</v>
      </c>
      <c r="C10" s="316">
        <v>3</v>
      </c>
      <c r="D10" s="316">
        <v>4</v>
      </c>
    </row>
    <row r="11" spans="1:4" ht="63" customHeight="1" x14ac:dyDescent="0.25">
      <c r="A11" s="316" t="s">
        <v>252</v>
      </c>
      <c r="B11" s="316" t="s">
        <v>253</v>
      </c>
      <c r="C11" s="317" t="str">
        <f>D5</f>
        <v>Постоянная часть ПС, АРМ ПС 330 кВ</v>
      </c>
      <c r="D11" s="318">
        <f>'Прил.4 РМ'!C41/1000</f>
        <v>619.90382999999997</v>
      </c>
    </row>
    <row r="13" spans="1:4" x14ac:dyDescent="0.25">
      <c r="A13" s="319" t="s">
        <v>406</v>
      </c>
      <c r="B13" s="320"/>
      <c r="C13" s="320"/>
      <c r="D13" s="321"/>
    </row>
    <row r="14" spans="1:4" x14ac:dyDescent="0.25">
      <c r="A14" s="322" t="s">
        <v>76</v>
      </c>
      <c r="B14" s="320"/>
      <c r="C14" s="320"/>
      <c r="D14" s="321"/>
    </row>
    <row r="15" spans="1:4" x14ac:dyDescent="0.25">
      <c r="A15" s="319"/>
      <c r="B15" s="320"/>
      <c r="C15" s="320"/>
      <c r="D15" s="321"/>
    </row>
    <row r="16" spans="1:4" x14ac:dyDescent="0.25">
      <c r="A16" s="319" t="s">
        <v>77</v>
      </c>
      <c r="B16" s="320"/>
      <c r="C16" s="320"/>
      <c r="D16" s="321"/>
    </row>
    <row r="17" spans="1:4" x14ac:dyDescent="0.25">
      <c r="A17" s="322" t="s">
        <v>78</v>
      </c>
      <c r="B17" s="320"/>
      <c r="C17" s="320"/>
      <c r="D17" s="321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F24" sqref="F24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32" t="s">
        <v>254</v>
      </c>
      <c r="C4" s="332"/>
      <c r="D4" s="332"/>
    </row>
    <row r="5" spans="2:5" ht="18.75" customHeight="1" x14ac:dyDescent="0.25">
      <c r="B5" s="252"/>
    </row>
    <row r="6" spans="2:5" ht="15.75" customHeight="1" x14ac:dyDescent="0.25">
      <c r="B6" s="333" t="s">
        <v>255</v>
      </c>
      <c r="C6" s="333"/>
      <c r="D6" s="333"/>
    </row>
    <row r="7" spans="2:5" x14ac:dyDescent="0.25">
      <c r="B7" s="381"/>
      <c r="C7" s="381"/>
      <c r="D7" s="381"/>
      <c r="E7" s="381"/>
    </row>
    <row r="8" spans="2:5" x14ac:dyDescent="0.25">
      <c r="B8" s="288"/>
      <c r="C8" s="288"/>
      <c r="D8" s="288"/>
      <c r="E8" s="288"/>
    </row>
    <row r="9" spans="2:5" ht="47.25" customHeight="1" x14ac:dyDescent="0.25">
      <c r="B9" s="274" t="s">
        <v>256</v>
      </c>
      <c r="C9" s="274" t="s">
        <v>257</v>
      </c>
      <c r="D9" s="274" t="s">
        <v>258</v>
      </c>
    </row>
    <row r="10" spans="2:5" ht="15.75" customHeight="1" x14ac:dyDescent="0.25">
      <c r="B10" s="274">
        <v>1</v>
      </c>
      <c r="C10" s="274">
        <v>2</v>
      </c>
      <c r="D10" s="274">
        <v>3</v>
      </c>
    </row>
    <row r="11" spans="2:5" ht="45" customHeight="1" x14ac:dyDescent="0.25">
      <c r="B11" s="274" t="s">
        <v>259</v>
      </c>
      <c r="C11" s="274" t="s">
        <v>260</v>
      </c>
      <c r="D11" s="274">
        <v>44.29</v>
      </c>
    </row>
    <row r="12" spans="2:5" ht="29.25" customHeight="1" x14ac:dyDescent="0.25">
      <c r="B12" s="274" t="s">
        <v>261</v>
      </c>
      <c r="C12" s="274" t="s">
        <v>260</v>
      </c>
      <c r="D12" s="274">
        <v>13.47</v>
      </c>
    </row>
    <row r="13" spans="2:5" ht="29.25" customHeight="1" x14ac:dyDescent="0.25">
      <c r="B13" s="274" t="s">
        <v>262</v>
      </c>
      <c r="C13" s="274" t="s">
        <v>260</v>
      </c>
      <c r="D13" s="274">
        <v>8.0399999999999991</v>
      </c>
    </row>
    <row r="14" spans="2:5" ht="30.75" customHeight="1" x14ac:dyDescent="0.25">
      <c r="B14" s="274" t="s">
        <v>263</v>
      </c>
      <c r="C14" s="165" t="s">
        <v>264</v>
      </c>
      <c r="D14" s="274">
        <v>6.26</v>
      </c>
    </row>
    <row r="15" spans="2:5" ht="89.25" customHeight="1" x14ac:dyDescent="0.25">
      <c r="B15" s="274" t="s">
        <v>265</v>
      </c>
      <c r="C15" s="274" t="s">
        <v>266</v>
      </c>
      <c r="D15" s="253">
        <v>3.9E-2</v>
      </c>
    </row>
    <row r="16" spans="2:5" ht="78.75" customHeight="1" x14ac:dyDescent="0.25">
      <c r="B16" s="274" t="s">
        <v>267</v>
      </c>
      <c r="C16" s="274" t="s">
        <v>268</v>
      </c>
      <c r="D16" s="253">
        <v>2.1000000000000001E-2</v>
      </c>
    </row>
    <row r="17" spans="2:4" ht="34.5" customHeight="1" x14ac:dyDescent="0.25">
      <c r="B17" s="274"/>
      <c r="C17" s="274"/>
      <c r="D17" s="274"/>
    </row>
    <row r="18" spans="2:4" ht="31.5" customHeight="1" x14ac:dyDescent="0.25">
      <c r="B18" s="274" t="s">
        <v>269</v>
      </c>
      <c r="C18" s="274" t="s">
        <v>270</v>
      </c>
      <c r="D18" s="253">
        <v>2.1399999999999999E-2</v>
      </c>
    </row>
    <row r="19" spans="2:4" ht="31.5" customHeight="1" x14ac:dyDescent="0.25">
      <c r="B19" s="274" t="s">
        <v>194</v>
      </c>
      <c r="C19" s="274" t="s">
        <v>271</v>
      </c>
      <c r="D19" s="253">
        <v>2E-3</v>
      </c>
    </row>
    <row r="20" spans="2:4" ht="24" customHeight="1" x14ac:dyDescent="0.25">
      <c r="B20" s="274" t="s">
        <v>196</v>
      </c>
      <c r="C20" s="274" t="s">
        <v>272</v>
      </c>
      <c r="D20" s="253">
        <v>0.03</v>
      </c>
    </row>
    <row r="21" spans="2:4" ht="18.75" customHeight="1" x14ac:dyDescent="0.25">
      <c r="B21" s="254"/>
    </row>
    <row r="22" spans="2:4" ht="18.75" customHeight="1" x14ac:dyDescent="0.25">
      <c r="B22" s="254"/>
    </row>
    <row r="23" spans="2:4" ht="18.75" customHeight="1" x14ac:dyDescent="0.25">
      <c r="B23" s="254"/>
    </row>
    <row r="24" spans="2:4" ht="18.75" customHeight="1" x14ac:dyDescent="0.25">
      <c r="B24" s="254"/>
    </row>
    <row r="27" spans="2:4" x14ac:dyDescent="0.25">
      <c r="B27" s="4" t="s">
        <v>273</v>
      </c>
      <c r="C27" s="14"/>
    </row>
    <row r="28" spans="2:4" x14ac:dyDescent="0.25">
      <c r="B28" s="243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238</v>
      </c>
      <c r="C30" s="14"/>
    </row>
    <row r="31" spans="2:4" x14ac:dyDescent="0.25">
      <c r="B31" s="243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RowHeight="15" x14ac:dyDescent="0.25"/>
  <cols>
    <col min="1" max="1" width="9.140625" style="255" customWidth="1"/>
    <col min="2" max="2" width="44.85546875" style="255" customWidth="1"/>
    <col min="3" max="3" width="13" style="255" customWidth="1"/>
    <col min="4" max="4" width="22.85546875" style="255" customWidth="1"/>
    <col min="5" max="5" width="21.5703125" style="255" customWidth="1"/>
    <col min="6" max="6" width="43.85546875" style="255" customWidth="1"/>
    <col min="7" max="7" width="9.140625" style="255" customWidth="1"/>
  </cols>
  <sheetData>
    <row r="2" spans="1:7" ht="17.25" customHeight="1" x14ac:dyDescent="0.25">
      <c r="A2" s="333" t="s">
        <v>274</v>
      </c>
      <c r="B2" s="333"/>
      <c r="C2" s="333"/>
      <c r="D2" s="333"/>
      <c r="E2" s="333"/>
      <c r="F2" s="333"/>
    </row>
    <row r="4" spans="1:7" ht="18" customHeight="1" x14ac:dyDescent="0.25">
      <c r="A4" s="256" t="s">
        <v>275</v>
      </c>
      <c r="B4" s="257"/>
      <c r="C4" s="257"/>
      <c r="D4" s="257"/>
      <c r="E4" s="257"/>
      <c r="F4" s="257"/>
      <c r="G4" s="257"/>
    </row>
    <row r="5" spans="1:7" ht="15.75" customHeight="1" x14ac:dyDescent="0.25">
      <c r="A5" s="258" t="s">
        <v>13</v>
      </c>
      <c r="B5" s="258" t="s">
        <v>276</v>
      </c>
      <c r="C5" s="258" t="s">
        <v>277</v>
      </c>
      <c r="D5" s="258" t="s">
        <v>278</v>
      </c>
      <c r="E5" s="258" t="s">
        <v>279</v>
      </c>
      <c r="F5" s="258" t="s">
        <v>280</v>
      </c>
      <c r="G5" s="257"/>
    </row>
    <row r="6" spans="1:7" ht="15.75" customHeight="1" x14ac:dyDescent="0.25">
      <c r="A6" s="258">
        <v>1</v>
      </c>
      <c r="B6" s="258">
        <v>2</v>
      </c>
      <c r="C6" s="258">
        <v>3</v>
      </c>
      <c r="D6" s="258">
        <v>4</v>
      </c>
      <c r="E6" s="258">
        <v>5</v>
      </c>
      <c r="F6" s="258">
        <v>6</v>
      </c>
      <c r="G6" s="257"/>
    </row>
    <row r="7" spans="1:7" ht="110.25" customHeight="1" x14ac:dyDescent="0.25">
      <c r="A7" s="259" t="s">
        <v>281</v>
      </c>
      <c r="B7" s="260" t="s">
        <v>282</v>
      </c>
      <c r="C7" s="261" t="s">
        <v>283</v>
      </c>
      <c r="D7" s="261" t="s">
        <v>284</v>
      </c>
      <c r="E7" s="262">
        <v>47872.94</v>
      </c>
      <c r="F7" s="260" t="s">
        <v>285</v>
      </c>
      <c r="G7" s="257"/>
    </row>
    <row r="8" spans="1:7" ht="31.5" customHeight="1" x14ac:dyDescent="0.25">
      <c r="A8" s="259" t="s">
        <v>286</v>
      </c>
      <c r="B8" s="260" t="s">
        <v>287</v>
      </c>
      <c r="C8" s="261" t="s">
        <v>288</v>
      </c>
      <c r="D8" s="261" t="s">
        <v>289</v>
      </c>
      <c r="E8" s="262">
        <f>1973/12</f>
        <v>164.41666666667001</v>
      </c>
      <c r="F8" s="263" t="s">
        <v>290</v>
      </c>
      <c r="G8" s="264"/>
    </row>
    <row r="9" spans="1:7" ht="15.75" customHeight="1" x14ac:dyDescent="0.25">
      <c r="A9" s="259" t="s">
        <v>291</v>
      </c>
      <c r="B9" s="260" t="s">
        <v>292</v>
      </c>
      <c r="C9" s="261" t="s">
        <v>293</v>
      </c>
      <c r="D9" s="261" t="s">
        <v>284</v>
      </c>
      <c r="E9" s="262">
        <v>1</v>
      </c>
      <c r="F9" s="263"/>
      <c r="G9" s="265"/>
    </row>
    <row r="10" spans="1:7" ht="15.75" customHeight="1" x14ac:dyDescent="0.25">
      <c r="A10" s="259" t="s">
        <v>294</v>
      </c>
      <c r="B10" s="260" t="s">
        <v>295</v>
      </c>
      <c r="C10" s="261"/>
      <c r="D10" s="261"/>
      <c r="E10" s="266">
        <v>3.9</v>
      </c>
      <c r="F10" s="263" t="s">
        <v>296</v>
      </c>
      <c r="G10" s="265"/>
    </row>
    <row r="11" spans="1:7" ht="78.75" customHeight="1" x14ac:dyDescent="0.25">
      <c r="A11" s="259" t="s">
        <v>297</v>
      </c>
      <c r="B11" s="260" t="s">
        <v>298</v>
      </c>
      <c r="C11" s="261" t="s">
        <v>299</v>
      </c>
      <c r="D11" s="261" t="s">
        <v>284</v>
      </c>
      <c r="E11" s="267">
        <v>1.3240000000000001</v>
      </c>
      <c r="F11" s="260" t="s">
        <v>300</v>
      </c>
      <c r="G11" s="257"/>
    </row>
    <row r="12" spans="1:7" ht="78.75" customHeight="1" x14ac:dyDescent="0.25">
      <c r="A12" s="259" t="s">
        <v>301</v>
      </c>
      <c r="B12" s="268" t="s">
        <v>302</v>
      </c>
      <c r="C12" s="261" t="s">
        <v>303</v>
      </c>
      <c r="D12" s="261" t="s">
        <v>284</v>
      </c>
      <c r="E12" s="269">
        <v>1.139</v>
      </c>
      <c r="F12" s="270" t="s">
        <v>304</v>
      </c>
      <c r="G12" s="265"/>
    </row>
    <row r="13" spans="1:7" ht="63" customHeight="1" x14ac:dyDescent="0.25">
      <c r="A13" s="259" t="s">
        <v>305</v>
      </c>
      <c r="B13" s="271" t="s">
        <v>306</v>
      </c>
      <c r="C13" s="261" t="s">
        <v>307</v>
      </c>
      <c r="D13" s="261" t="s">
        <v>308</v>
      </c>
      <c r="E13" s="272">
        <f>((E7*E9/E8)*E11)*E12</f>
        <v>439.09244974661999</v>
      </c>
      <c r="F13" s="260" t="s">
        <v>309</v>
      </c>
      <c r="G13" s="25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82" t="s">
        <v>310</v>
      </c>
      <c r="B1" s="382"/>
      <c r="C1" s="382"/>
      <c r="D1" s="382"/>
      <c r="E1" s="382"/>
      <c r="F1" s="382"/>
      <c r="G1" s="382"/>
      <c r="H1" s="382"/>
      <c r="I1" s="382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28" t="e">
        <f>#REF!</f>
        <v>#REF!</v>
      </c>
      <c r="B3" s="328"/>
      <c r="C3" s="328"/>
      <c r="D3" s="328"/>
      <c r="E3" s="328"/>
      <c r="F3" s="328"/>
      <c r="G3" s="328"/>
      <c r="H3" s="328"/>
      <c r="I3" s="328"/>
    </row>
    <row r="4" spans="1:13" s="4" customFormat="1" ht="15.75" customHeight="1" x14ac:dyDescent="0.2">
      <c r="A4" s="383"/>
      <c r="B4" s="383"/>
      <c r="C4" s="383"/>
      <c r="D4" s="383"/>
      <c r="E4" s="383"/>
      <c r="F4" s="383"/>
      <c r="G4" s="383"/>
      <c r="H4" s="383"/>
      <c r="I4" s="383"/>
    </row>
    <row r="5" spans="1:13" s="32" customFormat="1" ht="36.6" customHeight="1" x14ac:dyDescent="0.35">
      <c r="A5" s="384" t="s">
        <v>13</v>
      </c>
      <c r="B5" s="384" t="s">
        <v>311</v>
      </c>
      <c r="C5" s="384" t="s">
        <v>312</v>
      </c>
      <c r="D5" s="384" t="s">
        <v>313</v>
      </c>
      <c r="E5" s="379" t="s">
        <v>314</v>
      </c>
      <c r="F5" s="379"/>
      <c r="G5" s="379"/>
      <c r="H5" s="379"/>
      <c r="I5" s="379"/>
    </row>
    <row r="6" spans="1:13" s="27" customFormat="1" ht="31.5" customHeight="1" x14ac:dyDescent="0.2">
      <c r="A6" s="384"/>
      <c r="B6" s="384"/>
      <c r="C6" s="384"/>
      <c r="D6" s="384"/>
      <c r="E6" s="33" t="s">
        <v>86</v>
      </c>
      <c r="F6" s="33" t="s">
        <v>87</v>
      </c>
      <c r="G6" s="33" t="s">
        <v>43</v>
      </c>
      <c r="H6" s="33" t="s">
        <v>315</v>
      </c>
      <c r="I6" s="33" t="s">
        <v>316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184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317</v>
      </c>
      <c r="C9" s="9" t="s">
        <v>318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319</v>
      </c>
      <c r="C11" s="9" t="s">
        <v>267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108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320</v>
      </c>
      <c r="C12" s="9" t="s">
        <v>321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322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270</v>
      </c>
      <c r="C14" s="9" t="s">
        <v>323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324</v>
      </c>
      <c r="C16" s="9" t="s">
        <v>325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326</v>
      </c>
    </row>
    <row r="17" spans="1:10" s="27" customFormat="1" ht="81.75" customHeight="1" x14ac:dyDescent="0.2">
      <c r="A17" s="34">
        <v>7</v>
      </c>
      <c r="B17" s="9" t="s">
        <v>324</v>
      </c>
      <c r="C17" s="137" t="s">
        <v>327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328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329</v>
      </c>
      <c r="C20" s="9" t="s">
        <v>196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330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331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332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333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334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89" t="s">
        <v>335</v>
      </c>
      <c r="O2" s="389"/>
    </row>
    <row r="3" spans="1:16" x14ac:dyDescent="0.25">
      <c r="A3" s="390" t="s">
        <v>336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</row>
    <row r="5" spans="1:16" s="50" customFormat="1" ht="37.5" customHeight="1" x14ac:dyDescent="0.25">
      <c r="A5" s="391" t="s">
        <v>337</v>
      </c>
      <c r="B5" s="394" t="s">
        <v>338</v>
      </c>
      <c r="C5" s="397" t="s">
        <v>339</v>
      </c>
      <c r="D5" s="400" t="s">
        <v>340</v>
      </c>
      <c r="E5" s="401"/>
      <c r="F5" s="401"/>
      <c r="G5" s="401"/>
      <c r="H5" s="401"/>
      <c r="I5" s="400" t="s">
        <v>341</v>
      </c>
      <c r="J5" s="401"/>
      <c r="K5" s="401"/>
      <c r="L5" s="401"/>
      <c r="M5" s="401"/>
      <c r="N5" s="401"/>
      <c r="O5" s="53" t="s">
        <v>342</v>
      </c>
    </row>
    <row r="6" spans="1:16" s="56" customFormat="1" ht="150" customHeight="1" x14ac:dyDescent="0.25">
      <c r="A6" s="392"/>
      <c r="B6" s="395"/>
      <c r="C6" s="398"/>
      <c r="D6" s="397" t="s">
        <v>343</v>
      </c>
      <c r="E6" s="402" t="s">
        <v>344</v>
      </c>
      <c r="F6" s="403"/>
      <c r="G6" s="404"/>
      <c r="H6" s="54" t="s">
        <v>345</v>
      </c>
      <c r="I6" s="405" t="s">
        <v>346</v>
      </c>
      <c r="J6" s="405" t="s">
        <v>343</v>
      </c>
      <c r="K6" s="406" t="s">
        <v>344</v>
      </c>
      <c r="L6" s="406"/>
      <c r="M6" s="406"/>
      <c r="N6" s="54" t="s">
        <v>345</v>
      </c>
      <c r="O6" s="55" t="s">
        <v>347</v>
      </c>
    </row>
    <row r="7" spans="1:16" s="56" customFormat="1" ht="30.75" customHeight="1" x14ac:dyDescent="0.25">
      <c r="A7" s="393"/>
      <c r="B7" s="396"/>
      <c r="C7" s="399"/>
      <c r="D7" s="399"/>
      <c r="E7" s="53" t="s">
        <v>86</v>
      </c>
      <c r="F7" s="53" t="s">
        <v>87</v>
      </c>
      <c r="G7" s="53" t="s">
        <v>43</v>
      </c>
      <c r="H7" s="57" t="s">
        <v>348</v>
      </c>
      <c r="I7" s="405"/>
      <c r="J7" s="405"/>
      <c r="K7" s="53" t="s">
        <v>86</v>
      </c>
      <c r="L7" s="53" t="s">
        <v>87</v>
      </c>
      <c r="M7" s="53" t="s">
        <v>43</v>
      </c>
      <c r="N7" s="57" t="s">
        <v>348</v>
      </c>
      <c r="O7" s="53" t="s">
        <v>349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91" t="s">
        <v>350</v>
      </c>
      <c r="C9" s="59" t="s">
        <v>351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93"/>
      <c r="C10" s="63" t="s">
        <v>352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91" t="s">
        <v>353</v>
      </c>
      <c r="C11" s="63" t="s">
        <v>354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93"/>
      <c r="C12" s="63" t="s">
        <v>355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91" t="s">
        <v>356</v>
      </c>
      <c r="C13" s="59" t="s">
        <v>357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93"/>
      <c r="C14" s="63" t="s">
        <v>358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359</v>
      </c>
      <c r="C15" s="63" t="s">
        <v>360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362</v>
      </c>
    </row>
    <row r="19" spans="1:15" ht="30.75" customHeight="1" x14ac:dyDescent="0.25">
      <c r="L19" s="75"/>
    </row>
    <row r="20" spans="1:15" ht="15" customHeight="1" outlineLevel="1" x14ac:dyDescent="0.25">
      <c r="G20" s="388" t="s">
        <v>363</v>
      </c>
      <c r="H20" s="388"/>
      <c r="I20" s="388"/>
      <c r="J20" s="388"/>
      <c r="K20" s="388"/>
      <c r="L20" s="388"/>
      <c r="M20" s="388"/>
      <c r="N20" s="388"/>
      <c r="O20" s="52"/>
    </row>
    <row r="21" spans="1:15" ht="15.75" customHeight="1" outlineLevel="1" x14ac:dyDescent="0.25">
      <c r="G21" s="76"/>
      <c r="H21" s="76" t="s">
        <v>364</v>
      </c>
      <c r="I21" s="76" t="s">
        <v>365</v>
      </c>
      <c r="J21" s="77" t="s">
        <v>366</v>
      </c>
      <c r="K21" s="78" t="s">
        <v>367</v>
      </c>
      <c r="L21" s="76" t="s">
        <v>368</v>
      </c>
      <c r="M21" s="76" t="s">
        <v>369</v>
      </c>
      <c r="N21" s="77" t="s">
        <v>370</v>
      </c>
      <c r="O21" s="79"/>
    </row>
    <row r="22" spans="1:15" ht="15.75" customHeight="1" outlineLevel="1" x14ac:dyDescent="0.25">
      <c r="G22" s="386" t="s">
        <v>371</v>
      </c>
      <c r="H22" s="385">
        <v>6.09</v>
      </c>
      <c r="I22" s="387">
        <v>6.44</v>
      </c>
      <c r="J22" s="385">
        <v>5.77</v>
      </c>
      <c r="K22" s="387">
        <v>5.77</v>
      </c>
      <c r="L22" s="385">
        <v>5.23</v>
      </c>
      <c r="M22" s="385">
        <v>5.77</v>
      </c>
      <c r="N22" s="80">
        <v>6.29</v>
      </c>
      <c r="O22" s="51" t="s">
        <v>372</v>
      </c>
    </row>
    <row r="23" spans="1:15" ht="15.75" customHeight="1" outlineLevel="1" x14ac:dyDescent="0.25">
      <c r="G23" s="386"/>
      <c r="H23" s="385"/>
      <c r="I23" s="387"/>
      <c r="J23" s="385"/>
      <c r="K23" s="387"/>
      <c r="L23" s="385"/>
      <c r="M23" s="385"/>
      <c r="N23" s="80">
        <v>6.56</v>
      </c>
      <c r="O23" s="51" t="s">
        <v>373</v>
      </c>
    </row>
    <row r="24" spans="1:15" ht="15.75" customHeight="1" outlineLevel="1" x14ac:dyDescent="0.25">
      <c r="G24" s="81" t="s">
        <v>374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348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375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376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315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07" t="s">
        <v>377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</row>
    <row r="4" spans="1:18" ht="36.75" customHeight="1" x14ac:dyDescent="0.25">
      <c r="A4" s="391" t="s">
        <v>337</v>
      </c>
      <c r="B4" s="394" t="s">
        <v>338</v>
      </c>
      <c r="C4" s="397" t="s">
        <v>378</v>
      </c>
      <c r="D4" s="397" t="s">
        <v>379</v>
      </c>
      <c r="E4" s="400" t="s">
        <v>380</v>
      </c>
      <c r="F4" s="401"/>
      <c r="G4" s="401"/>
      <c r="H4" s="401"/>
      <c r="I4" s="401"/>
      <c r="J4" s="401"/>
      <c r="K4" s="401"/>
      <c r="L4" s="401"/>
      <c r="M4" s="401"/>
      <c r="N4" s="408" t="s">
        <v>381</v>
      </c>
      <c r="O4" s="409"/>
      <c r="P4" s="409"/>
      <c r="Q4" s="409"/>
      <c r="R4" s="410"/>
    </row>
    <row r="5" spans="1:18" ht="60" customHeight="1" x14ac:dyDescent="0.25">
      <c r="A5" s="392"/>
      <c r="B5" s="395"/>
      <c r="C5" s="398"/>
      <c r="D5" s="398"/>
      <c r="E5" s="405" t="s">
        <v>382</v>
      </c>
      <c r="F5" s="405" t="s">
        <v>383</v>
      </c>
      <c r="G5" s="402" t="s">
        <v>344</v>
      </c>
      <c r="H5" s="403"/>
      <c r="I5" s="403"/>
      <c r="J5" s="404"/>
      <c r="K5" s="405" t="s">
        <v>384</v>
      </c>
      <c r="L5" s="405"/>
      <c r="M5" s="405"/>
      <c r="N5" s="89" t="s">
        <v>385</v>
      </c>
      <c r="O5" s="89" t="s">
        <v>386</v>
      </c>
      <c r="P5" s="90" t="s">
        <v>387</v>
      </c>
      <c r="Q5" s="91" t="s">
        <v>388</v>
      </c>
      <c r="R5" s="90" t="s">
        <v>389</v>
      </c>
    </row>
    <row r="6" spans="1:18" ht="49.5" customHeight="1" x14ac:dyDescent="0.25">
      <c r="A6" s="393"/>
      <c r="B6" s="396"/>
      <c r="C6" s="399"/>
      <c r="D6" s="399"/>
      <c r="E6" s="405"/>
      <c r="F6" s="405"/>
      <c r="G6" s="53" t="s">
        <v>86</v>
      </c>
      <c r="H6" s="53" t="s">
        <v>87</v>
      </c>
      <c r="I6" s="92" t="s">
        <v>43</v>
      </c>
      <c r="J6" s="92" t="s">
        <v>315</v>
      </c>
      <c r="K6" s="53" t="s">
        <v>385</v>
      </c>
      <c r="L6" s="53" t="s">
        <v>386</v>
      </c>
      <c r="M6" s="53" t="s">
        <v>387</v>
      </c>
      <c r="N6" s="92" t="s">
        <v>390</v>
      </c>
      <c r="O6" s="92" t="s">
        <v>391</v>
      </c>
      <c r="P6" s="92" t="s">
        <v>392</v>
      </c>
      <c r="Q6" s="93" t="s">
        <v>393</v>
      </c>
      <c r="R6" s="94" t="s">
        <v>394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91">
        <v>1</v>
      </c>
      <c r="B9" s="391" t="s">
        <v>395</v>
      </c>
      <c r="C9" s="411" t="s">
        <v>351</v>
      </c>
      <c r="D9" s="99" t="s">
        <v>396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93"/>
      <c r="B10" s="392"/>
      <c r="C10" s="412"/>
      <c r="D10" s="99" t="s">
        <v>397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91">
        <v>2</v>
      </c>
      <c r="B11" s="392"/>
      <c r="C11" s="411" t="s">
        <v>398</v>
      </c>
      <c r="D11" s="104" t="s">
        <v>396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93"/>
      <c r="B12" s="393"/>
      <c r="C12" s="412"/>
      <c r="D12" s="104" t="s">
        <v>397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91">
        <v>3</v>
      </c>
      <c r="B13" s="391" t="s">
        <v>353</v>
      </c>
      <c r="C13" s="413" t="s">
        <v>354</v>
      </c>
      <c r="D13" s="99" t="s">
        <v>399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93"/>
      <c r="B14" s="392"/>
      <c r="C14" s="414"/>
      <c r="D14" s="99" t="s">
        <v>397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91">
        <v>4</v>
      </c>
      <c r="B15" s="392"/>
      <c r="C15" s="415" t="s">
        <v>355</v>
      </c>
      <c r="D15" s="105" t="s">
        <v>399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93"/>
      <c r="B16" s="393"/>
      <c r="C16" s="416"/>
      <c r="D16" s="105" t="s">
        <v>397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91">
        <v>5</v>
      </c>
      <c r="B17" s="406" t="s">
        <v>356</v>
      </c>
      <c r="C17" s="411" t="s">
        <v>400</v>
      </c>
      <c r="D17" s="99" t="s">
        <v>401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93"/>
      <c r="B18" s="406"/>
      <c r="C18" s="412"/>
      <c r="D18" s="99" t="s">
        <v>397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91">
        <v>6</v>
      </c>
      <c r="B19" s="406"/>
      <c r="C19" s="411" t="s">
        <v>358</v>
      </c>
      <c r="D19" s="105" t="s">
        <v>399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93"/>
      <c r="B20" s="406"/>
      <c r="C20" s="412"/>
      <c r="D20" s="105" t="s">
        <v>397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91">
        <v>7</v>
      </c>
      <c r="B21" s="391" t="s">
        <v>359</v>
      </c>
      <c r="C21" s="411" t="s">
        <v>360</v>
      </c>
      <c r="D21" s="105" t="s">
        <v>402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93"/>
      <c r="B22" s="393"/>
      <c r="C22" s="412"/>
      <c r="D22" s="106" t="s">
        <v>397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403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17" t="s">
        <v>404</v>
      </c>
      <c r="E26" s="417"/>
      <c r="F26" s="417"/>
      <c r="G26" s="417"/>
      <c r="H26" s="417"/>
      <c r="I26" s="417"/>
      <c r="J26" s="417"/>
      <c r="K26" s="417"/>
      <c r="L26" s="121"/>
      <c r="R26" s="122"/>
    </row>
    <row r="27" spans="1:18" outlineLevel="1" x14ac:dyDescent="0.25">
      <c r="D27" s="123"/>
      <c r="E27" s="123" t="s">
        <v>364</v>
      </c>
      <c r="F27" s="123" t="s">
        <v>365</v>
      </c>
      <c r="G27" s="123" t="s">
        <v>366</v>
      </c>
      <c r="H27" s="124" t="s">
        <v>367</v>
      </c>
      <c r="I27" s="124" t="s">
        <v>368</v>
      </c>
      <c r="J27" s="124" t="s">
        <v>369</v>
      </c>
      <c r="K27" s="111" t="s">
        <v>370</v>
      </c>
      <c r="L27" s="52"/>
    </row>
    <row r="28" spans="1:18" outlineLevel="1" x14ac:dyDescent="0.25">
      <c r="D28" s="418" t="s">
        <v>371</v>
      </c>
      <c r="E28" s="420">
        <v>6.09</v>
      </c>
      <c r="F28" s="422">
        <v>6.63</v>
      </c>
      <c r="G28" s="420">
        <v>5.77</v>
      </c>
      <c r="H28" s="424">
        <v>5.77</v>
      </c>
      <c r="I28" s="424">
        <v>6.35</v>
      </c>
      <c r="J28" s="420">
        <v>5.77</v>
      </c>
      <c r="K28" s="125">
        <v>6.29</v>
      </c>
      <c r="L28" s="87" t="s">
        <v>372</v>
      </c>
      <c r="M28" s="52"/>
    </row>
    <row r="29" spans="1:18" outlineLevel="1" x14ac:dyDescent="0.25">
      <c r="D29" s="419"/>
      <c r="E29" s="421"/>
      <c r="F29" s="423"/>
      <c r="G29" s="421"/>
      <c r="H29" s="425"/>
      <c r="I29" s="425"/>
      <c r="J29" s="421"/>
      <c r="K29" s="125">
        <v>6.56</v>
      </c>
      <c r="L29" s="87" t="s">
        <v>373</v>
      </c>
      <c r="M29" s="52"/>
    </row>
    <row r="30" spans="1:18" outlineLevel="1" x14ac:dyDescent="0.25">
      <c r="D30" s="126" t="s">
        <v>374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418" t="s">
        <v>348</v>
      </c>
      <c r="E31" s="420">
        <v>11.37</v>
      </c>
      <c r="F31" s="422">
        <v>13.56</v>
      </c>
      <c r="G31" s="420">
        <v>15.91</v>
      </c>
      <c r="H31" s="424">
        <v>15.91</v>
      </c>
      <c r="I31" s="424">
        <v>14.03</v>
      </c>
      <c r="J31" s="420">
        <v>15.91</v>
      </c>
      <c r="K31" s="125">
        <v>8.2899999999999991</v>
      </c>
      <c r="L31" s="87" t="s">
        <v>372</v>
      </c>
      <c r="R31" s="116"/>
    </row>
    <row r="32" spans="1:18" s="87" customFormat="1" outlineLevel="1" x14ac:dyDescent="0.25">
      <c r="D32" s="419"/>
      <c r="E32" s="421"/>
      <c r="F32" s="423"/>
      <c r="G32" s="421"/>
      <c r="H32" s="425"/>
      <c r="I32" s="425"/>
      <c r="J32" s="421"/>
      <c r="K32" s="125">
        <v>11.84</v>
      </c>
      <c r="L32" s="87" t="s">
        <v>373</v>
      </c>
      <c r="R32" s="116"/>
    </row>
    <row r="33" spans="4:18" s="87" customFormat="1" ht="15" customHeight="1" outlineLevel="1" x14ac:dyDescent="0.25">
      <c r="D33" s="129" t="s">
        <v>375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405</v>
      </c>
      <c r="R33" s="116"/>
    </row>
    <row r="34" spans="4:18" s="87" customFormat="1" outlineLevel="1" x14ac:dyDescent="0.25">
      <c r="D34" s="129" t="s">
        <v>376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405</v>
      </c>
      <c r="R34" s="116"/>
    </row>
    <row r="35" spans="4:18" s="87" customFormat="1" outlineLevel="1" x14ac:dyDescent="0.25">
      <c r="D35" s="126" t="s">
        <v>315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25" t="s">
        <v>10</v>
      </c>
      <c r="B2" s="325"/>
      <c r="C2" s="325"/>
      <c r="D2" s="325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2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28"/>
    </row>
    <row r="5" spans="1:4" x14ac:dyDescent="0.25">
      <c r="A5" s="6"/>
      <c r="B5" s="1"/>
      <c r="C5" s="1"/>
    </row>
    <row r="6" spans="1:4" x14ac:dyDescent="0.25">
      <c r="A6" s="325" t="s">
        <v>12</v>
      </c>
      <c r="B6" s="325"/>
      <c r="C6" s="325"/>
      <c r="D6" s="325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29" t="s">
        <v>5</v>
      </c>
      <c r="B15" s="330" t="s">
        <v>15</v>
      </c>
      <c r="C15" s="330"/>
      <c r="D15" s="330"/>
    </row>
    <row r="16" spans="1:4" x14ac:dyDescent="0.25">
      <c r="A16" s="329"/>
      <c r="B16" s="329" t="s">
        <v>17</v>
      </c>
      <c r="C16" s="330" t="s">
        <v>28</v>
      </c>
      <c r="D16" s="330"/>
    </row>
    <row r="17" spans="1:4" ht="39" customHeight="1" x14ac:dyDescent="0.25">
      <c r="A17" s="329"/>
      <c r="B17" s="329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31" t="s">
        <v>29</v>
      </c>
      <c r="B2" s="331"/>
      <c r="C2" s="331"/>
      <c r="D2" s="331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1" zoomScaleNormal="55" zoomScaleSheetLayoutView="100" workbookViewId="0">
      <selection activeCell="D27" sqref="D27"/>
    </sheetView>
  </sheetViews>
  <sheetFormatPr defaultColWidth="9.140625" defaultRowHeight="15.75" x14ac:dyDescent="0.25"/>
  <cols>
    <col min="1" max="2" width="9.140625" style="161"/>
    <col min="3" max="3" width="36.85546875" style="161" customWidth="1"/>
    <col min="4" max="4" width="36.5703125" style="161" customWidth="1"/>
    <col min="5" max="5" width="17.5703125" style="161" customWidth="1"/>
    <col min="6" max="6" width="18.7109375" style="161" customWidth="1"/>
    <col min="7" max="7" width="9.140625" style="161"/>
  </cols>
  <sheetData>
    <row r="3" spans="2:4" x14ac:dyDescent="0.25">
      <c r="B3" s="332" t="s">
        <v>45</v>
      </c>
      <c r="C3" s="332"/>
      <c r="D3" s="332"/>
    </row>
    <row r="4" spans="2:4" x14ac:dyDescent="0.25">
      <c r="B4" s="333" t="s">
        <v>46</v>
      </c>
      <c r="C4" s="333"/>
      <c r="D4" s="333"/>
    </row>
    <row r="5" spans="2:4" x14ac:dyDescent="0.25">
      <c r="B5" s="162"/>
      <c r="C5" s="162"/>
      <c r="D5" s="162"/>
    </row>
    <row r="6" spans="2:4" x14ac:dyDescent="0.25">
      <c r="B6" s="162"/>
      <c r="C6" s="162"/>
      <c r="D6" s="162"/>
    </row>
    <row r="7" spans="2:4" ht="35.25" customHeight="1" x14ac:dyDescent="0.25">
      <c r="B7" s="334" t="s">
        <v>47</v>
      </c>
      <c r="C7" s="335"/>
      <c r="D7" s="335"/>
    </row>
    <row r="8" spans="2:4" ht="31.5" customHeight="1" x14ac:dyDescent="0.25">
      <c r="B8" s="335" t="s">
        <v>48</v>
      </c>
      <c r="C8" s="335"/>
      <c r="D8" s="335"/>
    </row>
    <row r="9" spans="2:4" x14ac:dyDescent="0.25">
      <c r="B9" s="335" t="s">
        <v>49</v>
      </c>
      <c r="C9" s="335"/>
      <c r="D9" s="335"/>
    </row>
    <row r="10" spans="2:4" x14ac:dyDescent="0.25">
      <c r="B10" s="273"/>
    </row>
    <row r="11" spans="2:4" x14ac:dyDescent="0.25">
      <c r="B11" s="274" t="s">
        <v>33</v>
      </c>
      <c r="C11" s="274" t="s">
        <v>50</v>
      </c>
      <c r="D11" s="163" t="s">
        <v>51</v>
      </c>
    </row>
    <row r="12" spans="2:4" ht="157.5" customHeight="1" x14ac:dyDescent="0.25">
      <c r="B12" s="274">
        <v>1</v>
      </c>
      <c r="C12" s="163" t="s">
        <v>52</v>
      </c>
      <c r="D12" s="323" t="s">
        <v>53</v>
      </c>
    </row>
    <row r="13" spans="2:4" ht="31.5" customHeight="1" x14ac:dyDescent="0.25">
      <c r="B13" s="274">
        <v>2</v>
      </c>
      <c r="C13" s="163" t="s">
        <v>54</v>
      </c>
      <c r="D13" s="324" t="s">
        <v>55</v>
      </c>
    </row>
    <row r="14" spans="2:4" x14ac:dyDescent="0.25">
      <c r="B14" s="274">
        <v>3</v>
      </c>
      <c r="C14" s="163" t="s">
        <v>56</v>
      </c>
      <c r="D14" s="324" t="s">
        <v>57</v>
      </c>
    </row>
    <row r="15" spans="2:4" x14ac:dyDescent="0.25">
      <c r="B15" s="274">
        <v>4</v>
      </c>
      <c r="C15" s="163" t="s">
        <v>58</v>
      </c>
      <c r="D15" s="323">
        <v>1</v>
      </c>
    </row>
    <row r="16" spans="2:4" ht="94.5" customHeight="1" x14ac:dyDescent="0.25">
      <c r="B16" s="274">
        <v>5</v>
      </c>
      <c r="C16" s="165" t="s">
        <v>59</v>
      </c>
      <c r="D16" s="323" t="s">
        <v>60</v>
      </c>
    </row>
    <row r="17" spans="2:6" ht="78.75" customHeight="1" x14ac:dyDescent="0.25">
      <c r="B17" s="274">
        <v>6</v>
      </c>
      <c r="C17" s="165" t="s">
        <v>61</v>
      </c>
      <c r="D17" s="166">
        <f>SUM(D18:D19)</f>
        <v>425.67234439999999</v>
      </c>
    </row>
    <row r="18" spans="2:6" x14ac:dyDescent="0.25">
      <c r="B18" s="167" t="s">
        <v>62</v>
      </c>
      <c r="C18" s="163" t="s">
        <v>63</v>
      </c>
      <c r="D18" s="166">
        <f>'Прил.2 Расч стоим'!F12</f>
        <v>12.118312</v>
      </c>
    </row>
    <row r="19" spans="2:6" ht="15.75" customHeight="1" x14ac:dyDescent="0.25">
      <c r="B19" s="167" t="s">
        <v>64</v>
      </c>
      <c r="C19" s="163" t="s">
        <v>65</v>
      </c>
      <c r="D19" s="166">
        <f>'Прил.2 Расч стоим'!H12</f>
        <v>413.55403239999998</v>
      </c>
    </row>
    <row r="20" spans="2:6" ht="16.5" customHeight="1" x14ac:dyDescent="0.25">
      <c r="B20" s="167" t="s">
        <v>66</v>
      </c>
      <c r="C20" s="163" t="s">
        <v>67</v>
      </c>
      <c r="D20" s="166"/>
      <c r="F20" s="168"/>
    </row>
    <row r="21" spans="2:6" ht="35.25" customHeight="1" x14ac:dyDescent="0.25">
      <c r="B21" s="167" t="s">
        <v>68</v>
      </c>
      <c r="C21" s="169" t="s">
        <v>69</v>
      </c>
      <c r="D21" s="166"/>
    </row>
    <row r="22" spans="2:6" x14ac:dyDescent="0.25">
      <c r="B22" s="274">
        <v>7</v>
      </c>
      <c r="C22" s="169" t="s">
        <v>70</v>
      </c>
      <c r="D22" s="170" t="s">
        <v>71</v>
      </c>
    </row>
    <row r="23" spans="2:6" ht="123" customHeight="1" x14ac:dyDescent="0.25">
      <c r="B23" s="274">
        <v>8</v>
      </c>
      <c r="C23" s="171" t="s">
        <v>72</v>
      </c>
      <c r="D23" s="166">
        <f>D17</f>
        <v>425.67234439999999</v>
      </c>
    </row>
    <row r="24" spans="2:6" ht="60.75" customHeight="1" x14ac:dyDescent="0.25">
      <c r="B24" s="274">
        <v>9</v>
      </c>
      <c r="C24" s="165" t="s">
        <v>73</v>
      </c>
      <c r="D24" s="166">
        <f>D17/D15</f>
        <v>425.67234439999999</v>
      </c>
    </row>
    <row r="25" spans="2:6" ht="118.5" customHeight="1" x14ac:dyDescent="0.25">
      <c r="B25" s="274">
        <v>10</v>
      </c>
      <c r="C25" s="163" t="s">
        <v>74</v>
      </c>
      <c r="D25" s="163"/>
    </row>
    <row r="26" spans="2:6" x14ac:dyDescent="0.25">
      <c r="B26" s="172"/>
      <c r="C26" s="173"/>
      <c r="D26" s="173"/>
    </row>
    <row r="27" spans="2:6" ht="37.5" customHeight="1" x14ac:dyDescent="0.25">
      <c r="B27" s="174"/>
    </row>
    <row r="28" spans="2:6" x14ac:dyDescent="0.25">
      <c r="B28" s="161" t="s">
        <v>75</v>
      </c>
    </row>
    <row r="29" spans="2:6" x14ac:dyDescent="0.25">
      <c r="B29" s="174" t="s">
        <v>76</v>
      </c>
    </row>
    <row r="31" spans="2:6" x14ac:dyDescent="0.25">
      <c r="B31" s="161" t="s">
        <v>77</v>
      </c>
    </row>
    <row r="32" spans="2:6" x14ac:dyDescent="0.25">
      <c r="B32" s="174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4"/>
  <sheetViews>
    <sheetView view="pageBreakPreview" zoomScale="70" zoomScaleNormal="70" workbookViewId="0">
      <selection activeCell="E20" sqref="E20"/>
    </sheetView>
  </sheetViews>
  <sheetFormatPr defaultColWidth="9.140625" defaultRowHeight="15.75" x14ac:dyDescent="0.25"/>
  <cols>
    <col min="1" max="1" width="5.5703125" style="161" customWidth="1"/>
    <col min="2" max="2" width="9.140625" style="161"/>
    <col min="3" max="3" width="35.28515625" style="161" customWidth="1"/>
    <col min="4" max="4" width="13.85546875" style="161" customWidth="1"/>
    <col min="5" max="5" width="24.85546875" style="161" customWidth="1"/>
    <col min="6" max="6" width="15.5703125" style="161" customWidth="1"/>
    <col min="7" max="7" width="14.85546875" style="161" customWidth="1"/>
    <col min="8" max="8" width="16.7109375" style="161" customWidth="1"/>
    <col min="9" max="10" width="13" style="161" customWidth="1"/>
    <col min="11" max="11" width="18" style="161" customWidth="1"/>
    <col min="12" max="12" width="9.140625" style="161"/>
  </cols>
  <sheetData>
    <row r="3" spans="2:12" x14ac:dyDescent="0.25">
      <c r="B3" s="332" t="s">
        <v>79</v>
      </c>
      <c r="C3" s="332"/>
      <c r="D3" s="332"/>
      <c r="E3" s="332"/>
      <c r="F3" s="332"/>
      <c r="G3" s="332"/>
      <c r="H3" s="332"/>
      <c r="I3" s="332"/>
      <c r="J3" s="332"/>
      <c r="K3" s="174"/>
    </row>
    <row r="4" spans="2:12" x14ac:dyDescent="0.25">
      <c r="B4" s="333" t="s">
        <v>80</v>
      </c>
      <c r="C4" s="333"/>
      <c r="D4" s="333"/>
      <c r="E4" s="333"/>
      <c r="F4" s="333"/>
      <c r="G4" s="333"/>
      <c r="H4" s="333"/>
      <c r="I4" s="333"/>
      <c r="J4" s="333"/>
      <c r="K4" s="333"/>
    </row>
    <row r="5" spans="2:12" x14ac:dyDescent="0.25">
      <c r="B5" s="162"/>
      <c r="C5" s="162"/>
      <c r="D5" s="162"/>
      <c r="E5" s="162"/>
      <c r="F5" s="162"/>
      <c r="G5" s="162"/>
      <c r="H5" s="162"/>
      <c r="I5" s="162"/>
      <c r="J5" s="162"/>
      <c r="K5" s="162"/>
    </row>
    <row r="6" spans="2:12" ht="15.75" customHeight="1" x14ac:dyDescent="0.25">
      <c r="B6" s="337" t="s">
        <v>81</v>
      </c>
      <c r="C6" s="337"/>
      <c r="D6" s="337"/>
      <c r="E6" s="337"/>
      <c r="F6" s="337"/>
      <c r="G6" s="337"/>
      <c r="H6" s="337"/>
      <c r="I6" s="337"/>
      <c r="J6" s="337"/>
      <c r="K6" s="174"/>
      <c r="L6" s="175"/>
    </row>
    <row r="7" spans="2:12" x14ac:dyDescent="0.25">
      <c r="B7" s="335" t="s">
        <v>49</v>
      </c>
      <c r="C7" s="335"/>
      <c r="D7" s="335"/>
      <c r="E7" s="335"/>
      <c r="F7" s="335"/>
      <c r="G7" s="335"/>
      <c r="H7" s="335"/>
      <c r="I7" s="335"/>
      <c r="J7" s="335"/>
      <c r="K7" s="335"/>
      <c r="L7" s="175"/>
    </row>
    <row r="8" spans="2:12" x14ac:dyDescent="0.25">
      <c r="B8" s="273"/>
    </row>
    <row r="9" spans="2:12" ht="15.75" customHeight="1" x14ac:dyDescent="0.25">
      <c r="B9" s="338" t="s">
        <v>33</v>
      </c>
      <c r="C9" s="338" t="s">
        <v>82</v>
      </c>
      <c r="D9" s="338" t="s">
        <v>51</v>
      </c>
      <c r="E9" s="338"/>
      <c r="F9" s="338"/>
      <c r="G9" s="338"/>
      <c r="H9" s="338"/>
      <c r="I9" s="338"/>
      <c r="J9" s="338"/>
    </row>
    <row r="10" spans="2:12" ht="15.75" customHeight="1" x14ac:dyDescent="0.25">
      <c r="B10" s="338"/>
      <c r="C10" s="338"/>
      <c r="D10" s="338" t="s">
        <v>83</v>
      </c>
      <c r="E10" s="338" t="s">
        <v>84</v>
      </c>
      <c r="F10" s="338" t="s">
        <v>85</v>
      </c>
      <c r="G10" s="338"/>
      <c r="H10" s="338"/>
      <c r="I10" s="338"/>
      <c r="J10" s="338"/>
    </row>
    <row r="11" spans="2:12" ht="31.5" customHeight="1" x14ac:dyDescent="0.25">
      <c r="B11" s="338"/>
      <c r="C11" s="338"/>
      <c r="D11" s="338"/>
      <c r="E11" s="338"/>
      <c r="F11" s="274" t="s">
        <v>86</v>
      </c>
      <c r="G11" s="274" t="s">
        <v>87</v>
      </c>
      <c r="H11" s="274" t="s">
        <v>43</v>
      </c>
      <c r="I11" s="274" t="s">
        <v>88</v>
      </c>
      <c r="J11" s="274" t="s">
        <v>89</v>
      </c>
    </row>
    <row r="12" spans="2:12" ht="47.25" customHeight="1" x14ac:dyDescent="0.25">
      <c r="B12" s="275">
        <v>1</v>
      </c>
      <c r="C12" s="292" t="s">
        <v>60</v>
      </c>
      <c r="D12" s="176"/>
      <c r="E12" s="164"/>
      <c r="F12" s="339">
        <v>12.118312</v>
      </c>
      <c r="G12" s="340"/>
      <c r="H12" s="177">
        <v>413.55403239999998</v>
      </c>
      <c r="I12" s="178"/>
      <c r="J12" s="179">
        <f>SUM(F12:I12)</f>
        <v>425.67234439999999</v>
      </c>
    </row>
    <row r="13" spans="2:12" ht="15.75" customHeight="1" x14ac:dyDescent="0.25">
      <c r="B13" s="336" t="s">
        <v>90</v>
      </c>
      <c r="C13" s="336"/>
      <c r="D13" s="336"/>
      <c r="E13" s="336"/>
      <c r="F13" s="341">
        <f>F12</f>
        <v>12.118312</v>
      </c>
      <c r="G13" s="342"/>
      <c r="H13" s="180">
        <f>SUM(H12:H12)</f>
        <v>413.55403239999998</v>
      </c>
      <c r="I13" s="181"/>
      <c r="J13" s="182">
        <f>J12</f>
        <v>425.67234439999999</v>
      </c>
    </row>
    <row r="14" spans="2:12" ht="28.5" customHeight="1" x14ac:dyDescent="0.25">
      <c r="B14" s="336" t="s">
        <v>91</v>
      </c>
      <c r="C14" s="336"/>
      <c r="D14" s="336"/>
      <c r="E14" s="336"/>
      <c r="F14" s="341">
        <f>F12</f>
        <v>12.118312</v>
      </c>
      <c r="G14" s="342"/>
      <c r="H14" s="180">
        <f>H13</f>
        <v>413.55403239999998</v>
      </c>
      <c r="I14" s="181"/>
      <c r="J14" s="182">
        <f>J12</f>
        <v>425.67234439999999</v>
      </c>
    </row>
    <row r="16" spans="2:12" x14ac:dyDescent="0.25">
      <c r="B16" s="183" t="s">
        <v>92</v>
      </c>
      <c r="C16" s="161" t="s">
        <v>93</v>
      </c>
    </row>
    <row r="20" spans="2:2" x14ac:dyDescent="0.25">
      <c r="B20" s="161" t="s">
        <v>75</v>
      </c>
    </row>
    <row r="21" spans="2:2" x14ac:dyDescent="0.25">
      <c r="B21" s="174" t="s">
        <v>76</v>
      </c>
    </row>
    <row r="23" spans="2:2" x14ac:dyDescent="0.25">
      <c r="B23" s="161" t="s">
        <v>77</v>
      </c>
    </row>
    <row r="24" spans="2:2" x14ac:dyDescent="0.25">
      <c r="B24" s="174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45"/>
  <sheetViews>
    <sheetView view="pageBreakPreview" topLeftCell="A36" zoomScale="130" zoomScaleSheetLayoutView="130" workbookViewId="0">
      <selection activeCell="F42" sqref="F42"/>
    </sheetView>
  </sheetViews>
  <sheetFormatPr defaultColWidth="9.140625" defaultRowHeight="15.75" x14ac:dyDescent="0.25"/>
  <cols>
    <col min="1" max="1" width="9.140625" style="161"/>
    <col min="2" max="2" width="12.5703125" style="161" customWidth="1"/>
    <col min="3" max="3" width="22.42578125" style="161" customWidth="1"/>
    <col min="4" max="4" width="49.7109375" style="161" customWidth="1"/>
    <col min="5" max="5" width="10.140625" style="184" customWidth="1"/>
    <col min="6" max="6" width="20.7109375" style="161" customWidth="1"/>
    <col min="7" max="7" width="16.140625" style="161" customWidth="1"/>
    <col min="8" max="8" width="16.7109375" style="161" customWidth="1"/>
    <col min="9" max="9" width="9.140625" style="161"/>
    <col min="10" max="10" width="10.28515625" style="161" customWidth="1"/>
    <col min="11" max="11" width="9.140625" style="161"/>
  </cols>
  <sheetData>
    <row r="2" spans="1:13" s="313" customFormat="1" x14ac:dyDescent="0.25">
      <c r="A2" s="312"/>
      <c r="B2" s="312"/>
      <c r="C2" s="312"/>
      <c r="D2" s="312"/>
      <c r="E2" s="184"/>
      <c r="F2" s="312"/>
      <c r="G2" s="312"/>
      <c r="H2" s="312"/>
      <c r="I2" s="312"/>
      <c r="J2" s="312"/>
      <c r="K2" s="312"/>
    </row>
    <row r="3" spans="1:13" s="313" customFormat="1" x14ac:dyDescent="0.25">
      <c r="A3" s="312"/>
      <c r="B3" s="312"/>
      <c r="C3" s="312"/>
      <c r="D3" s="312"/>
      <c r="E3" s="184"/>
      <c r="F3" s="312"/>
      <c r="G3" s="312"/>
      <c r="H3" s="312"/>
      <c r="I3" s="312"/>
      <c r="J3" s="312"/>
      <c r="K3" s="312"/>
    </row>
    <row r="4" spans="1:13" x14ac:dyDescent="0.25">
      <c r="A4" s="332" t="s">
        <v>94</v>
      </c>
      <c r="B4" s="332"/>
      <c r="C4" s="332"/>
      <c r="D4" s="332"/>
      <c r="E4" s="332"/>
      <c r="F4" s="332"/>
      <c r="G4" s="332"/>
      <c r="H4" s="332"/>
    </row>
    <row r="5" spans="1:13" x14ac:dyDescent="0.25">
      <c r="A5" s="333" t="s">
        <v>95</v>
      </c>
      <c r="B5" s="333"/>
      <c r="C5" s="333"/>
      <c r="D5" s="333"/>
      <c r="E5" s="333"/>
      <c r="F5" s="333"/>
      <c r="G5" s="333"/>
      <c r="H5" s="333"/>
    </row>
    <row r="6" spans="1:13" x14ac:dyDescent="0.25">
      <c r="A6" s="273"/>
    </row>
    <row r="7" spans="1:13" x14ac:dyDescent="0.25">
      <c r="A7" s="337" t="s">
        <v>96</v>
      </c>
      <c r="B7" s="337"/>
      <c r="C7" s="337"/>
      <c r="D7" s="337"/>
      <c r="E7" s="337"/>
      <c r="F7" s="337"/>
      <c r="G7" s="337"/>
      <c r="H7" s="337"/>
    </row>
    <row r="8" spans="1:13" x14ac:dyDescent="0.25">
      <c r="A8" s="185"/>
      <c r="B8" s="185"/>
      <c r="C8" s="185"/>
      <c r="D8" s="185"/>
      <c r="E8" s="162"/>
      <c r="F8" s="185"/>
      <c r="G8" s="185"/>
      <c r="H8" s="185"/>
    </row>
    <row r="9" spans="1:13" ht="38.25" customHeight="1" x14ac:dyDescent="0.25">
      <c r="A9" s="338" t="s">
        <v>97</v>
      </c>
      <c r="B9" s="338" t="s">
        <v>98</v>
      </c>
      <c r="C9" s="338" t="s">
        <v>99</v>
      </c>
      <c r="D9" s="338" t="s">
        <v>100</v>
      </c>
      <c r="E9" s="338" t="s">
        <v>101</v>
      </c>
      <c r="F9" s="338" t="s">
        <v>102</v>
      </c>
      <c r="G9" s="338" t="s">
        <v>103</v>
      </c>
      <c r="H9" s="338"/>
    </row>
    <row r="10" spans="1:13" ht="40.5" customHeight="1" x14ac:dyDescent="0.25">
      <c r="A10" s="338"/>
      <c r="B10" s="338"/>
      <c r="C10" s="338"/>
      <c r="D10" s="338"/>
      <c r="E10" s="338"/>
      <c r="F10" s="338"/>
      <c r="G10" s="274" t="s">
        <v>104</v>
      </c>
      <c r="H10" s="274" t="s">
        <v>105</v>
      </c>
    </row>
    <row r="11" spans="1:13" x14ac:dyDescent="0.25">
      <c r="A11" s="186">
        <v>1</v>
      </c>
      <c r="B11" s="186"/>
      <c r="C11" s="186">
        <v>2</v>
      </c>
      <c r="D11" s="186" t="s">
        <v>106</v>
      </c>
      <c r="E11" s="186">
        <v>4</v>
      </c>
      <c r="F11" s="186">
        <v>5</v>
      </c>
      <c r="G11" s="186">
        <v>6</v>
      </c>
      <c r="H11" s="186">
        <v>7</v>
      </c>
    </row>
    <row r="12" spans="1:13" s="188" customFormat="1" x14ac:dyDescent="0.25">
      <c r="A12" s="343" t="s">
        <v>107</v>
      </c>
      <c r="B12" s="344"/>
      <c r="C12" s="345"/>
      <c r="D12" s="345"/>
      <c r="E12" s="344"/>
      <c r="F12" s="187">
        <f>SUM(F13:F14)</f>
        <v>112.36</v>
      </c>
      <c r="G12" s="187"/>
      <c r="H12" s="187">
        <f>SUM(H13:H14)</f>
        <v>1067.43</v>
      </c>
      <c r="I12" s="161"/>
      <c r="J12" s="161"/>
      <c r="K12" s="161"/>
      <c r="L12" s="161"/>
      <c r="M12" s="161"/>
    </row>
    <row r="13" spans="1:13" x14ac:dyDescent="0.25">
      <c r="A13" s="189">
        <v>1</v>
      </c>
      <c r="B13" s="190" t="s">
        <v>108</v>
      </c>
      <c r="C13" s="191" t="s">
        <v>109</v>
      </c>
      <c r="D13" s="192" t="s">
        <v>110</v>
      </c>
      <c r="E13" s="193" t="s">
        <v>111</v>
      </c>
      <c r="F13" s="189">
        <v>100</v>
      </c>
      <c r="G13" s="194">
        <v>9.6199999999999992</v>
      </c>
      <c r="H13" s="194">
        <f>ROUND(F13*G13,2)</f>
        <v>962</v>
      </c>
    </row>
    <row r="14" spans="1:13" x14ac:dyDescent="0.25">
      <c r="A14" s="189">
        <v>2</v>
      </c>
      <c r="B14" s="190" t="s">
        <v>108</v>
      </c>
      <c r="C14" s="191" t="s">
        <v>112</v>
      </c>
      <c r="D14" s="192" t="s">
        <v>113</v>
      </c>
      <c r="E14" s="193" t="s">
        <v>111</v>
      </c>
      <c r="F14" s="189">
        <v>12.36</v>
      </c>
      <c r="G14" s="194">
        <v>8.5299999999999994</v>
      </c>
      <c r="H14" s="194">
        <f>ROUND(F14*G14,2)</f>
        <v>105.43</v>
      </c>
    </row>
    <row r="15" spans="1:13" x14ac:dyDescent="0.25">
      <c r="A15" s="343" t="s">
        <v>114</v>
      </c>
      <c r="B15" s="344"/>
      <c r="C15" s="345"/>
      <c r="D15" s="345"/>
      <c r="E15" s="344"/>
      <c r="F15" s="276">
        <f>F16</f>
        <v>2.02</v>
      </c>
      <c r="G15" s="187"/>
      <c r="H15" s="187">
        <f>H16</f>
        <v>23.28</v>
      </c>
    </row>
    <row r="16" spans="1:13" x14ac:dyDescent="0.25">
      <c r="A16" s="189">
        <v>3</v>
      </c>
      <c r="B16" s="189" t="s">
        <v>108</v>
      </c>
      <c r="C16" s="192">
        <v>2</v>
      </c>
      <c r="D16" s="192" t="s">
        <v>114</v>
      </c>
      <c r="E16" s="193" t="s">
        <v>111</v>
      </c>
      <c r="F16" s="189">
        <v>2.02</v>
      </c>
      <c r="G16" s="194"/>
      <c r="H16" s="194">
        <v>23.28</v>
      </c>
    </row>
    <row r="17" spans="1:13" s="188" customFormat="1" x14ac:dyDescent="0.25">
      <c r="A17" s="343" t="s">
        <v>115</v>
      </c>
      <c r="B17" s="344"/>
      <c r="C17" s="345"/>
      <c r="D17" s="345"/>
      <c r="E17" s="344"/>
      <c r="F17" s="276"/>
      <c r="G17" s="187"/>
      <c r="H17" s="187">
        <f>SUM(H18:H19)</f>
        <v>135.16</v>
      </c>
      <c r="I17" s="161"/>
      <c r="J17" s="161"/>
      <c r="K17" s="161"/>
      <c r="L17" s="161"/>
      <c r="M17" s="161"/>
    </row>
    <row r="18" spans="1:13" x14ac:dyDescent="0.25">
      <c r="A18" s="189">
        <v>4</v>
      </c>
      <c r="B18" s="189" t="s">
        <v>108</v>
      </c>
      <c r="C18" s="192" t="s">
        <v>116</v>
      </c>
      <c r="D18" s="192" t="s">
        <v>117</v>
      </c>
      <c r="E18" s="193" t="s">
        <v>118</v>
      </c>
      <c r="F18" s="189">
        <v>1.92</v>
      </c>
      <c r="G18" s="194">
        <v>65.709999999999994</v>
      </c>
      <c r="H18" s="194">
        <f>ROUND(F18*G18,2)</f>
        <v>126.16</v>
      </c>
    </row>
    <row r="19" spans="1:13" s="188" customFormat="1" x14ac:dyDescent="0.25">
      <c r="A19" s="189">
        <v>5</v>
      </c>
      <c r="B19" s="189" t="s">
        <v>108</v>
      </c>
      <c r="C19" s="192" t="s">
        <v>119</v>
      </c>
      <c r="D19" s="192" t="s">
        <v>120</v>
      </c>
      <c r="E19" s="193" t="s">
        <v>118</v>
      </c>
      <c r="F19" s="189">
        <v>0.1</v>
      </c>
      <c r="G19" s="194">
        <v>89.99</v>
      </c>
      <c r="H19" s="194">
        <f>ROUND(F19*G19,2)</f>
        <v>9</v>
      </c>
      <c r="I19" s="161"/>
      <c r="J19" s="161"/>
      <c r="K19" s="161"/>
      <c r="L19" s="161"/>
      <c r="M19" s="161"/>
    </row>
    <row r="20" spans="1:13" x14ac:dyDescent="0.25">
      <c r="A20" s="343" t="s">
        <v>43</v>
      </c>
      <c r="B20" s="344"/>
      <c r="C20" s="345"/>
      <c r="D20" s="345"/>
      <c r="E20" s="344"/>
      <c r="F20" s="276"/>
      <c r="G20" s="187"/>
      <c r="H20" s="187">
        <f>SUM(H21:H21)</f>
        <v>86517.58</v>
      </c>
    </row>
    <row r="21" spans="1:13" s="188" customFormat="1" ht="94.5" customHeight="1" x14ac:dyDescent="0.25">
      <c r="A21" s="189">
        <v>6</v>
      </c>
      <c r="B21" s="189" t="s">
        <v>108</v>
      </c>
      <c r="C21" s="192" t="s">
        <v>121</v>
      </c>
      <c r="D21" s="192" t="s">
        <v>122</v>
      </c>
      <c r="E21" s="193" t="s">
        <v>123</v>
      </c>
      <c r="F21" s="189">
        <v>2</v>
      </c>
      <c r="G21" s="194">
        <v>43258.79</v>
      </c>
      <c r="H21" s="194">
        <f>ROUND(F21*G21,2)</f>
        <v>86517.58</v>
      </c>
      <c r="I21" s="161"/>
      <c r="J21" s="161"/>
      <c r="K21" s="161"/>
      <c r="L21" s="161"/>
      <c r="M21" s="161"/>
    </row>
    <row r="22" spans="1:13" x14ac:dyDescent="0.25">
      <c r="A22" s="343" t="s">
        <v>124</v>
      </c>
      <c r="B22" s="344"/>
      <c r="C22" s="345"/>
      <c r="D22" s="345"/>
      <c r="E22" s="344"/>
      <c r="F22" s="276"/>
      <c r="G22" s="187"/>
      <c r="H22" s="187">
        <f>SUM(H23:H38)</f>
        <v>447.93</v>
      </c>
    </row>
    <row r="23" spans="1:13" ht="31.5" customHeight="1" x14ac:dyDescent="0.25">
      <c r="A23" s="189">
        <v>7</v>
      </c>
      <c r="B23" s="189" t="s">
        <v>108</v>
      </c>
      <c r="C23" s="192" t="s">
        <v>125</v>
      </c>
      <c r="D23" s="192" t="s">
        <v>126</v>
      </c>
      <c r="E23" s="193" t="s">
        <v>127</v>
      </c>
      <c r="F23" s="189">
        <v>1.2E-2</v>
      </c>
      <c r="G23" s="194">
        <v>15481</v>
      </c>
      <c r="H23" s="194">
        <f t="shared" ref="H23:H38" si="0">ROUND(F23*G23,2)</f>
        <v>185.77</v>
      </c>
    </row>
    <row r="24" spans="1:13" ht="47.25" customHeight="1" x14ac:dyDescent="0.25">
      <c r="A24" s="189">
        <v>8</v>
      </c>
      <c r="B24" s="189" t="s">
        <v>108</v>
      </c>
      <c r="C24" s="192" t="s">
        <v>128</v>
      </c>
      <c r="D24" s="192" t="s">
        <v>129</v>
      </c>
      <c r="E24" s="193" t="s">
        <v>127</v>
      </c>
      <c r="F24" s="189">
        <v>8.0000000000000004E-4</v>
      </c>
      <c r="G24" s="194">
        <v>75162.289999999994</v>
      </c>
      <c r="H24" s="194">
        <f t="shared" si="0"/>
        <v>60.13</v>
      </c>
    </row>
    <row r="25" spans="1:13" x14ac:dyDescent="0.25">
      <c r="A25" s="189">
        <v>9</v>
      </c>
      <c r="B25" s="189" t="s">
        <v>108</v>
      </c>
      <c r="C25" s="192" t="s">
        <v>130</v>
      </c>
      <c r="D25" s="192" t="s">
        <v>131</v>
      </c>
      <c r="E25" s="193" t="s">
        <v>132</v>
      </c>
      <c r="F25" s="189">
        <v>0.3</v>
      </c>
      <c r="G25" s="194">
        <v>155</v>
      </c>
      <c r="H25" s="194">
        <f t="shared" si="0"/>
        <v>46.5</v>
      </c>
    </row>
    <row r="26" spans="1:13" x14ac:dyDescent="0.25">
      <c r="A26" s="189">
        <v>10</v>
      </c>
      <c r="B26" s="189" t="s">
        <v>108</v>
      </c>
      <c r="C26" s="192" t="s">
        <v>133</v>
      </c>
      <c r="D26" s="192" t="s">
        <v>134</v>
      </c>
      <c r="E26" s="193" t="s">
        <v>135</v>
      </c>
      <c r="F26" s="189">
        <v>0.2</v>
      </c>
      <c r="G26" s="194">
        <v>203</v>
      </c>
      <c r="H26" s="194">
        <f t="shared" si="0"/>
        <v>40.6</v>
      </c>
    </row>
    <row r="27" spans="1:13" ht="31.5" customHeight="1" x14ac:dyDescent="0.25">
      <c r="A27" s="189">
        <v>11</v>
      </c>
      <c r="B27" s="189" t="s">
        <v>108</v>
      </c>
      <c r="C27" s="192" t="s">
        <v>136</v>
      </c>
      <c r="D27" s="192" t="s">
        <v>137</v>
      </c>
      <c r="E27" s="193" t="s">
        <v>127</v>
      </c>
      <c r="F27" s="189">
        <v>1.9400000000000001E-3</v>
      </c>
      <c r="G27" s="194">
        <v>12606</v>
      </c>
      <c r="H27" s="194">
        <f t="shared" si="0"/>
        <v>24.46</v>
      </c>
    </row>
    <row r="28" spans="1:13" ht="31.5" customHeight="1" x14ac:dyDescent="0.25">
      <c r="A28" s="189">
        <v>12</v>
      </c>
      <c r="B28" s="189" t="s">
        <v>108</v>
      </c>
      <c r="C28" s="192" t="s">
        <v>138</v>
      </c>
      <c r="D28" s="192" t="s">
        <v>139</v>
      </c>
      <c r="E28" s="193" t="s">
        <v>140</v>
      </c>
      <c r="F28" s="189">
        <v>21.4</v>
      </c>
      <c r="G28" s="194">
        <v>1</v>
      </c>
      <c r="H28" s="194">
        <f t="shared" si="0"/>
        <v>21.4</v>
      </c>
    </row>
    <row r="29" spans="1:13" ht="31.5" customHeight="1" x14ac:dyDescent="0.25">
      <c r="A29" s="189">
        <v>13</v>
      </c>
      <c r="B29" s="189" t="s">
        <v>108</v>
      </c>
      <c r="C29" s="192" t="s">
        <v>141</v>
      </c>
      <c r="D29" s="192" t="s">
        <v>142</v>
      </c>
      <c r="E29" s="193" t="s">
        <v>127</v>
      </c>
      <c r="F29" s="189">
        <v>5.5999999999999995E-4</v>
      </c>
      <c r="G29" s="194">
        <v>37517</v>
      </c>
      <c r="H29" s="194">
        <f t="shared" si="0"/>
        <v>21.01</v>
      </c>
    </row>
    <row r="30" spans="1:13" x14ac:dyDescent="0.25">
      <c r="A30" s="189">
        <v>14</v>
      </c>
      <c r="B30" s="189" t="s">
        <v>108</v>
      </c>
      <c r="C30" s="192" t="s">
        <v>143</v>
      </c>
      <c r="D30" s="192" t="s">
        <v>144</v>
      </c>
      <c r="E30" s="193" t="s">
        <v>127</v>
      </c>
      <c r="F30" s="189">
        <v>3.6000000000000002E-4</v>
      </c>
      <c r="G30" s="194">
        <v>42700.01</v>
      </c>
      <c r="H30" s="194">
        <f t="shared" si="0"/>
        <v>15.37</v>
      </c>
    </row>
    <row r="31" spans="1:13" ht="31.5" customHeight="1" x14ac:dyDescent="0.25">
      <c r="A31" s="189">
        <v>15</v>
      </c>
      <c r="B31" s="189" t="s">
        <v>108</v>
      </c>
      <c r="C31" s="192" t="s">
        <v>145</v>
      </c>
      <c r="D31" s="192" t="s">
        <v>146</v>
      </c>
      <c r="E31" s="193" t="s">
        <v>127</v>
      </c>
      <c r="F31" s="189">
        <v>1.2E-4</v>
      </c>
      <c r="G31" s="194">
        <v>114220</v>
      </c>
      <c r="H31" s="194">
        <f t="shared" si="0"/>
        <v>13.71</v>
      </c>
    </row>
    <row r="32" spans="1:13" x14ac:dyDescent="0.25">
      <c r="A32" s="189">
        <v>16</v>
      </c>
      <c r="B32" s="189" t="s">
        <v>108</v>
      </c>
      <c r="C32" s="192" t="s">
        <v>147</v>
      </c>
      <c r="D32" s="192" t="s">
        <v>148</v>
      </c>
      <c r="E32" s="193" t="s">
        <v>132</v>
      </c>
      <c r="F32" s="189">
        <v>0.24</v>
      </c>
      <c r="G32" s="194">
        <v>28.26</v>
      </c>
      <c r="H32" s="194">
        <f t="shared" si="0"/>
        <v>6.78</v>
      </c>
    </row>
    <row r="33" spans="1:10" x14ac:dyDescent="0.25">
      <c r="A33" s="189">
        <v>17</v>
      </c>
      <c r="B33" s="189" t="s">
        <v>108</v>
      </c>
      <c r="C33" s="192" t="s">
        <v>149</v>
      </c>
      <c r="D33" s="192" t="s">
        <v>150</v>
      </c>
      <c r="E33" s="193" t="s">
        <v>132</v>
      </c>
      <c r="F33" s="189">
        <v>3.6999999999999998E-2</v>
      </c>
      <c r="G33" s="194">
        <v>138.76</v>
      </c>
      <c r="H33" s="194">
        <f t="shared" si="0"/>
        <v>5.13</v>
      </c>
    </row>
    <row r="34" spans="1:10" ht="47.25" customHeight="1" x14ac:dyDescent="0.25">
      <c r="A34" s="189">
        <v>18</v>
      </c>
      <c r="B34" s="189" t="s">
        <v>108</v>
      </c>
      <c r="C34" s="192" t="s">
        <v>151</v>
      </c>
      <c r="D34" s="192" t="s">
        <v>152</v>
      </c>
      <c r="E34" s="193" t="s">
        <v>153</v>
      </c>
      <c r="F34" s="189">
        <v>6.0000000000000001E-3</v>
      </c>
      <c r="G34" s="194">
        <v>405.22</v>
      </c>
      <c r="H34" s="194">
        <f t="shared" si="0"/>
        <v>2.4300000000000002</v>
      </c>
    </row>
    <row r="35" spans="1:10" ht="31.5" x14ac:dyDescent="0.25">
      <c r="A35" s="189">
        <v>19</v>
      </c>
      <c r="B35" s="189" t="s">
        <v>108</v>
      </c>
      <c r="C35" s="192" t="s">
        <v>154</v>
      </c>
      <c r="D35" s="192" t="s">
        <v>155</v>
      </c>
      <c r="E35" s="193" t="s">
        <v>132</v>
      </c>
      <c r="F35" s="189">
        <v>5.1999999999999998E-2</v>
      </c>
      <c r="G35" s="194">
        <v>39.020000000000003</v>
      </c>
      <c r="H35" s="194">
        <f t="shared" si="0"/>
        <v>2.0299999999999998</v>
      </c>
    </row>
    <row r="36" spans="1:10" ht="31.5" customHeight="1" x14ac:dyDescent="0.25">
      <c r="A36" s="189">
        <v>20</v>
      </c>
      <c r="B36" s="189" t="s">
        <v>108</v>
      </c>
      <c r="C36" s="192" t="s">
        <v>156</v>
      </c>
      <c r="D36" s="192" t="s">
        <v>157</v>
      </c>
      <c r="E36" s="193" t="s">
        <v>132</v>
      </c>
      <c r="F36" s="189">
        <v>0.04</v>
      </c>
      <c r="G36" s="194">
        <v>38.340000000000003</v>
      </c>
      <c r="H36" s="194">
        <f t="shared" si="0"/>
        <v>1.53</v>
      </c>
    </row>
    <row r="37" spans="1:10" ht="31.5" customHeight="1" x14ac:dyDescent="0.25">
      <c r="A37" s="189">
        <v>21</v>
      </c>
      <c r="B37" s="189" t="s">
        <v>108</v>
      </c>
      <c r="C37" s="192" t="s">
        <v>158</v>
      </c>
      <c r="D37" s="192" t="s">
        <v>159</v>
      </c>
      <c r="E37" s="193" t="s">
        <v>127</v>
      </c>
      <c r="F37" s="189">
        <v>4.8000000000000001E-5</v>
      </c>
      <c r="G37" s="194">
        <v>22419</v>
      </c>
      <c r="H37" s="194">
        <f t="shared" si="0"/>
        <v>1.08</v>
      </c>
      <c r="J37" s="160"/>
    </row>
    <row r="38" spans="1:10" x14ac:dyDescent="0.25">
      <c r="A38" s="189">
        <v>22</v>
      </c>
      <c r="B38" s="189" t="s">
        <v>108</v>
      </c>
      <c r="C38" s="192" t="s">
        <v>160</v>
      </c>
      <c r="D38" s="192" t="s">
        <v>161</v>
      </c>
      <c r="E38" s="193" t="s">
        <v>127</v>
      </c>
      <c r="F38" s="189">
        <v>0.35</v>
      </c>
      <c r="G38" s="194"/>
      <c r="H38" s="194">
        <f t="shared" si="0"/>
        <v>0</v>
      </c>
      <c r="J38" s="160"/>
    </row>
    <row r="41" spans="1:10" x14ac:dyDescent="0.25">
      <c r="B41" s="161" t="s">
        <v>75</v>
      </c>
    </row>
    <row r="42" spans="1:10" x14ac:dyDescent="0.25">
      <c r="B42" s="174" t="s">
        <v>76</v>
      </c>
    </row>
    <row r="44" spans="1:10" x14ac:dyDescent="0.25">
      <c r="B44" s="161" t="s">
        <v>77</v>
      </c>
    </row>
    <row r="45" spans="1:10" x14ac:dyDescent="0.25">
      <c r="B45" s="174" t="s">
        <v>78</v>
      </c>
    </row>
  </sheetData>
  <mergeCells count="15">
    <mergeCell ref="A15:E15"/>
    <mergeCell ref="A22:E22"/>
    <mergeCell ref="A12:E12"/>
    <mergeCell ref="A17:E17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0:E20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7" workbookViewId="0">
      <selection activeCell="E47" sqref="E47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58" t="s">
        <v>162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25" t="s">
        <v>163</v>
      </c>
      <c r="C5" s="325"/>
      <c r="D5" s="325"/>
      <c r="E5" s="325"/>
    </row>
    <row r="6" spans="2:5" x14ac:dyDescent="0.25">
      <c r="B6" s="157"/>
      <c r="C6" s="154"/>
      <c r="D6" s="154"/>
      <c r="E6" s="154"/>
    </row>
    <row r="7" spans="2:5" ht="25.5" customHeight="1" x14ac:dyDescent="0.25">
      <c r="B7" s="346" t="s">
        <v>47</v>
      </c>
      <c r="C7" s="346"/>
      <c r="D7" s="346"/>
      <c r="E7" s="346"/>
    </row>
    <row r="8" spans="2:5" x14ac:dyDescent="0.25">
      <c r="B8" s="347" t="s">
        <v>49</v>
      </c>
      <c r="C8" s="347"/>
      <c r="D8" s="347"/>
      <c r="E8" s="347"/>
    </row>
    <row r="9" spans="2:5" x14ac:dyDescent="0.25">
      <c r="B9" s="157"/>
      <c r="C9" s="154"/>
      <c r="D9" s="154"/>
      <c r="E9" s="154"/>
    </row>
    <row r="10" spans="2:5" ht="51" customHeight="1" x14ac:dyDescent="0.25">
      <c r="B10" s="198" t="s">
        <v>164</v>
      </c>
      <c r="C10" s="198" t="s">
        <v>165</v>
      </c>
      <c r="D10" s="198" t="s">
        <v>166</v>
      </c>
      <c r="E10" s="198" t="s">
        <v>167</v>
      </c>
    </row>
    <row r="11" spans="2:5" x14ac:dyDescent="0.25">
      <c r="B11" s="155" t="s">
        <v>168</v>
      </c>
      <c r="C11" s="290">
        <f>'Прил.5 Расчет СМР и ОБ'!J14</f>
        <v>3618.12</v>
      </c>
      <c r="D11" s="156">
        <f t="shared" ref="D11:D18" si="0">C11/$C$24</f>
        <v>0.22859070731882988</v>
      </c>
      <c r="E11" s="156">
        <f t="shared" ref="E11:E18" si="1">C11/$C$40</f>
        <v>5.8365827486498998E-3</v>
      </c>
    </row>
    <row r="12" spans="2:5" x14ac:dyDescent="0.25">
      <c r="B12" s="155" t="s">
        <v>169</v>
      </c>
      <c r="C12" s="290">
        <f>'Прил.5 Расчет СМР и ОБ'!J20</f>
        <v>1699.41</v>
      </c>
      <c r="D12" s="156">
        <f t="shared" si="0"/>
        <v>0.10736773073438491</v>
      </c>
      <c r="E12" s="156">
        <f t="shared" si="1"/>
        <v>2.7414090988920011E-3</v>
      </c>
    </row>
    <row r="13" spans="2:5" x14ac:dyDescent="0.25">
      <c r="B13" s="155" t="s">
        <v>170</v>
      </c>
      <c r="C13" s="290">
        <f>'Прил.5 Расчет СМР и ОБ'!J22</f>
        <v>121.22</v>
      </c>
      <c r="D13" s="156">
        <f t="shared" si="0"/>
        <v>7.6586087639958205E-3</v>
      </c>
      <c r="E13" s="156">
        <f t="shared" si="1"/>
        <v>1.9554646081151007E-4</v>
      </c>
    </row>
    <row r="14" spans="2:5" x14ac:dyDescent="0.25">
      <c r="B14" s="155" t="s">
        <v>171</v>
      </c>
      <c r="C14" s="290">
        <f>C13+C12</f>
        <v>1820.63</v>
      </c>
      <c r="D14" s="156">
        <f t="shared" si="0"/>
        <v>0.11502633949838073</v>
      </c>
      <c r="E14" s="156">
        <f t="shared" si="1"/>
        <v>2.9369555597035112E-3</v>
      </c>
    </row>
    <row r="15" spans="2:5" x14ac:dyDescent="0.25">
      <c r="B15" s="155" t="s">
        <v>172</v>
      </c>
      <c r="C15" s="290">
        <f>'Прил.5 Расчет СМР и ОБ'!J16</f>
        <v>1031.07</v>
      </c>
      <c r="D15" s="156">
        <f t="shared" si="0"/>
        <v>6.5142400084913135E-2</v>
      </c>
      <c r="E15" s="156">
        <f t="shared" si="1"/>
        <v>1.6632741243105403E-3</v>
      </c>
    </row>
    <row r="16" spans="2:5" x14ac:dyDescent="0.25">
      <c r="B16" s="155" t="s">
        <v>173</v>
      </c>
      <c r="C16" s="290">
        <f>'Прил.5 Расчет СМР и ОБ'!J40</f>
        <v>3214.93</v>
      </c>
      <c r="D16" s="156">
        <f t="shared" si="0"/>
        <v>0.20311739872655571</v>
      </c>
      <c r="E16" s="156">
        <f t="shared" si="1"/>
        <v>5.186175410466491E-3</v>
      </c>
    </row>
    <row r="17" spans="2:6" x14ac:dyDescent="0.25">
      <c r="B17" s="155" t="s">
        <v>174</v>
      </c>
      <c r="C17" s="290">
        <f>'Прил.5 Расчет СМР и ОБ'!J50</f>
        <v>386.44</v>
      </c>
      <c r="D17" s="156">
        <f t="shared" si="0"/>
        <v>2.4415053380288276E-2</v>
      </c>
      <c r="E17" s="156">
        <f t="shared" si="1"/>
        <v>6.2338701795083286E-4</v>
      </c>
    </row>
    <row r="18" spans="2:6" x14ac:dyDescent="0.25">
      <c r="B18" s="155" t="s">
        <v>175</v>
      </c>
      <c r="C18" s="290">
        <f>C17+C16</f>
        <v>3601.37</v>
      </c>
      <c r="D18" s="156">
        <f t="shared" si="0"/>
        <v>0.22753245210684397</v>
      </c>
      <c r="E18" s="156">
        <f t="shared" si="1"/>
        <v>5.8095624284173241E-3</v>
      </c>
    </row>
    <row r="19" spans="2:6" x14ac:dyDescent="0.25">
      <c r="B19" s="155" t="s">
        <v>176</v>
      </c>
      <c r="C19" s="290">
        <f>C18+C14+C11</f>
        <v>9040.119999999999</v>
      </c>
      <c r="D19" s="156"/>
      <c r="E19" s="155"/>
    </row>
    <row r="20" spans="2:6" x14ac:dyDescent="0.25">
      <c r="B20" s="155" t="s">
        <v>177</v>
      </c>
      <c r="C20" s="290">
        <f>ROUND(C21*(C11+C15),2)</f>
        <v>2417.58</v>
      </c>
      <c r="D20" s="156">
        <f>C20/$C$24</f>
        <v>0.15274129166524514</v>
      </c>
      <c r="E20" s="156">
        <f>C20/$C$40</f>
        <v>3.8999275097235647E-3</v>
      </c>
    </row>
    <row r="21" spans="2:6" x14ac:dyDescent="0.25">
      <c r="B21" s="155" t="s">
        <v>178</v>
      </c>
      <c r="C21" s="291">
        <f>'Прил.5 Расчет СМР и ОБ'!D54</f>
        <v>0.52</v>
      </c>
      <c r="D21" s="156"/>
      <c r="E21" s="155"/>
    </row>
    <row r="22" spans="2:6" x14ac:dyDescent="0.25">
      <c r="B22" s="155" t="s">
        <v>179</v>
      </c>
      <c r="C22" s="290">
        <f>ROUND(C23*(C11+C15),2)</f>
        <v>4370.24</v>
      </c>
      <c r="D22" s="156">
        <f>C22/$C$24</f>
        <v>0.27610920941070033</v>
      </c>
      <c r="E22" s="156">
        <f>C22/$C$40</f>
        <v>7.0498677189976388E-3</v>
      </c>
    </row>
    <row r="23" spans="2:6" x14ac:dyDescent="0.25">
      <c r="B23" s="155" t="s">
        <v>180</v>
      </c>
      <c r="C23" s="291">
        <f>'Прил.5 Расчет СМР и ОБ'!D53</f>
        <v>0.94</v>
      </c>
      <c r="D23" s="156"/>
      <c r="E23" s="155"/>
    </row>
    <row r="24" spans="2:6" x14ac:dyDescent="0.25">
      <c r="B24" s="155" t="s">
        <v>181</v>
      </c>
      <c r="C24" s="290">
        <f>C19+C20+C22</f>
        <v>15827.939999999999</v>
      </c>
      <c r="D24" s="156">
        <f>C24/$C$24</f>
        <v>1</v>
      </c>
      <c r="E24" s="156">
        <f>C24/$C$40</f>
        <v>2.5532895965491936E-2</v>
      </c>
    </row>
    <row r="25" spans="2:6" ht="25.5" customHeight="1" x14ac:dyDescent="0.25">
      <c r="B25" s="155" t="s">
        <v>182</v>
      </c>
      <c r="C25" s="290">
        <f>'Прил.5 Расчет СМР и ОБ'!J29</f>
        <v>541600</v>
      </c>
      <c r="D25" s="156"/>
      <c r="E25" s="156">
        <f>C25/$C$40</f>
        <v>0.87368390674405094</v>
      </c>
    </row>
    <row r="26" spans="2:6" ht="25.5" customHeight="1" x14ac:dyDescent="0.25">
      <c r="B26" s="155" t="s">
        <v>183</v>
      </c>
      <c r="C26" s="290">
        <f>'Прил.5 Расчет СМР и ОБ'!J30</f>
        <v>541600.05000000005</v>
      </c>
      <c r="D26" s="156"/>
      <c r="E26" s="156">
        <f>C26/$C$40</f>
        <v>0.87368398740172337</v>
      </c>
    </row>
    <row r="27" spans="2:6" x14ac:dyDescent="0.25">
      <c r="B27" s="155" t="s">
        <v>184</v>
      </c>
      <c r="C27" s="195">
        <f>C24+C25</f>
        <v>557427.93999999994</v>
      </c>
      <c r="D27" s="156"/>
      <c r="E27" s="156">
        <f>C27/$C$40</f>
        <v>0.89921680270954285</v>
      </c>
    </row>
    <row r="28" spans="2:6" ht="33" customHeight="1" x14ac:dyDescent="0.25">
      <c r="B28" s="155" t="s">
        <v>185</v>
      </c>
      <c r="C28" s="155"/>
      <c r="D28" s="155"/>
      <c r="E28" s="155"/>
      <c r="F28" s="196"/>
    </row>
    <row r="29" spans="2:6" ht="25.5" customHeight="1" x14ac:dyDescent="0.25">
      <c r="B29" s="155" t="s">
        <v>186</v>
      </c>
      <c r="C29" s="195">
        <f>ROUND(C24*3.9%,2)</f>
        <v>617.29</v>
      </c>
      <c r="D29" s="155"/>
      <c r="E29" s="156">
        <f t="shared" ref="E29:E38" si="2">C29/$C$40</f>
        <v>9.9578349112635755E-4</v>
      </c>
    </row>
    <row r="30" spans="2:6" ht="38.25" customHeight="1" x14ac:dyDescent="0.25">
      <c r="B30" s="155" t="s">
        <v>187</v>
      </c>
      <c r="C30" s="309">
        <f>ROUND((C24+C29)*2.1%,2)</f>
        <v>345.35</v>
      </c>
      <c r="D30" s="310"/>
      <c r="E30" s="311">
        <f t="shared" si="2"/>
        <v>5.5710254282507023E-4</v>
      </c>
      <c r="F30" s="196"/>
    </row>
    <row r="31" spans="2:6" x14ac:dyDescent="0.25">
      <c r="B31" s="155" t="s">
        <v>188</v>
      </c>
      <c r="C31" s="309">
        <v>32120</v>
      </c>
      <c r="D31" s="310"/>
      <c r="E31" s="311">
        <f t="shared" si="2"/>
        <v>5.1814488708675992E-2</v>
      </c>
    </row>
    <row r="32" spans="2:6" ht="25.5" customHeight="1" x14ac:dyDescent="0.25">
      <c r="B32" s="155" t="s">
        <v>189</v>
      </c>
      <c r="C32" s="309">
        <v>0</v>
      </c>
      <c r="D32" s="310"/>
      <c r="E32" s="311">
        <f t="shared" si="2"/>
        <v>0</v>
      </c>
    </row>
    <row r="33" spans="2:11" ht="25.5" customHeight="1" x14ac:dyDescent="0.25">
      <c r="B33" s="155" t="s">
        <v>190</v>
      </c>
      <c r="C33" s="195">
        <v>0</v>
      </c>
      <c r="D33" s="310"/>
      <c r="E33" s="311">
        <f t="shared" si="2"/>
        <v>0</v>
      </c>
    </row>
    <row r="34" spans="2:11" ht="51" customHeight="1" x14ac:dyDescent="0.25">
      <c r="B34" s="155" t="s">
        <v>191</v>
      </c>
      <c r="C34" s="195">
        <v>0</v>
      </c>
      <c r="D34" s="155"/>
      <c r="E34" s="156">
        <f t="shared" si="2"/>
        <v>0</v>
      </c>
      <c r="G34" s="197"/>
    </row>
    <row r="35" spans="2:11" ht="76.5" customHeight="1" x14ac:dyDescent="0.25">
      <c r="B35" s="155" t="s">
        <v>192</v>
      </c>
      <c r="C35" s="195">
        <v>0</v>
      </c>
      <c r="D35" s="155"/>
      <c r="E35" s="156">
        <f t="shared" si="2"/>
        <v>0</v>
      </c>
    </row>
    <row r="36" spans="2:11" ht="25.5" customHeight="1" x14ac:dyDescent="0.25">
      <c r="B36" s="155" t="s">
        <v>193</v>
      </c>
      <c r="C36" s="195">
        <f>ROUND((C27+C32+C33+C34+C35+C29+C31+C30)*1.72%,2)</f>
        <v>10156.780000000001</v>
      </c>
      <c r="D36" s="155"/>
      <c r="E36" s="156">
        <f t="shared" si="2"/>
        <v>1.638444466458612E-2</v>
      </c>
      <c r="K36" s="196"/>
    </row>
    <row r="37" spans="2:11" x14ac:dyDescent="0.25">
      <c r="B37" s="155" t="s">
        <v>194</v>
      </c>
      <c r="C37" s="195">
        <f>ROUND((C27+C32+C33+C34+C35+C29+C31+C30)*0.2%,2)</f>
        <v>1181.02</v>
      </c>
      <c r="D37" s="155"/>
      <c r="E37" s="156">
        <f t="shared" si="2"/>
        <v>1.9051664836463424E-3</v>
      </c>
      <c r="K37" s="196"/>
    </row>
    <row r="38" spans="2:11" ht="38.25" customHeight="1" x14ac:dyDescent="0.25">
      <c r="B38" s="155" t="s">
        <v>195</v>
      </c>
      <c r="C38" s="290">
        <f>C27+C32+C33+C34+C35+C29+C31+C30+C36+C37</f>
        <v>601848.38</v>
      </c>
      <c r="D38" s="155"/>
      <c r="E38" s="156">
        <f t="shared" si="2"/>
        <v>0.97087378860040285</v>
      </c>
    </row>
    <row r="39" spans="2:11" ht="13.5" customHeight="1" x14ac:dyDescent="0.25">
      <c r="B39" s="155" t="s">
        <v>196</v>
      </c>
      <c r="C39" s="290">
        <f>ROUND(C38*3%,2)</f>
        <v>18055.45</v>
      </c>
      <c r="D39" s="155"/>
      <c r="E39" s="156">
        <f>C39/$C$38</f>
        <v>2.9999997673832737E-2</v>
      </c>
    </row>
    <row r="40" spans="2:11" x14ac:dyDescent="0.25">
      <c r="B40" s="155" t="s">
        <v>197</v>
      </c>
      <c r="C40" s="290">
        <f>C39+C38</f>
        <v>619903.82999999996</v>
      </c>
      <c r="D40" s="155"/>
      <c r="E40" s="156">
        <f>C40/$C$40</f>
        <v>1</v>
      </c>
    </row>
    <row r="41" spans="2:11" x14ac:dyDescent="0.25">
      <c r="B41" s="155" t="s">
        <v>198</v>
      </c>
      <c r="C41" s="290">
        <f>C40/'Прил.5 Расчет СМР и ОБ'!E57</f>
        <v>619903.82999999996</v>
      </c>
      <c r="D41" s="155"/>
      <c r="E41" s="155"/>
    </row>
    <row r="42" spans="2:11" x14ac:dyDescent="0.25">
      <c r="B42" s="159"/>
      <c r="C42" s="154"/>
      <c r="D42" s="154"/>
      <c r="E42" s="154"/>
    </row>
    <row r="43" spans="2:11" x14ac:dyDescent="0.25">
      <c r="B43" s="159" t="s">
        <v>199</v>
      </c>
      <c r="C43" s="154"/>
      <c r="D43" s="154"/>
      <c r="E43" s="154"/>
    </row>
    <row r="44" spans="2:11" x14ac:dyDescent="0.25">
      <c r="B44" s="159" t="s">
        <v>200</v>
      </c>
      <c r="C44" s="154"/>
      <c r="D44" s="154"/>
      <c r="E44" s="154"/>
    </row>
    <row r="45" spans="2:11" x14ac:dyDescent="0.25">
      <c r="B45" s="159"/>
      <c r="C45" s="154"/>
      <c r="D45" s="154"/>
      <c r="E45" s="154"/>
    </row>
    <row r="46" spans="2:11" x14ac:dyDescent="0.25">
      <c r="B46" s="159" t="s">
        <v>201</v>
      </c>
      <c r="C46" s="154"/>
      <c r="D46" s="154"/>
      <c r="E46" s="154"/>
    </row>
    <row r="47" spans="2:11" x14ac:dyDescent="0.25">
      <c r="B47" s="347" t="s">
        <v>202</v>
      </c>
      <c r="C47" s="347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3"/>
  <sheetViews>
    <sheetView tabSelected="1" view="pageBreakPreview" zoomScaleSheetLayoutView="100" workbookViewId="0">
      <selection activeCell="I14" sqref="I14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00" customFormat="1" x14ac:dyDescent="0.25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</row>
    <row r="2" spans="1:14" s="200" customFormat="1" ht="15.75" customHeight="1" x14ac:dyDescent="0.25">
      <c r="A2" s="199"/>
      <c r="B2" s="199"/>
      <c r="C2" s="199"/>
      <c r="D2" s="199"/>
      <c r="E2" s="199"/>
      <c r="F2" s="199"/>
      <c r="G2" s="199"/>
      <c r="H2" s="348" t="s">
        <v>203</v>
      </c>
      <c r="I2" s="348"/>
      <c r="J2" s="348"/>
      <c r="K2" s="199"/>
      <c r="L2" s="199"/>
      <c r="M2" s="199"/>
      <c r="N2" s="199"/>
    </row>
    <row r="3" spans="1:14" s="200" customFormat="1" x14ac:dyDescent="0.25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</row>
    <row r="4" spans="1:14" s="201" customFormat="1" ht="12.75" customHeight="1" x14ac:dyDescent="0.2">
      <c r="A4" s="325" t="s">
        <v>204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14" s="201" customFormat="1" ht="12.75" customHeight="1" x14ac:dyDescent="0.2">
      <c r="A5" s="278"/>
      <c r="B5" s="278"/>
      <c r="C5" s="202"/>
      <c r="D5" s="278"/>
      <c r="E5" s="278"/>
      <c r="F5" s="278"/>
      <c r="G5" s="278"/>
      <c r="H5" s="278"/>
      <c r="I5" s="278"/>
      <c r="J5" s="278"/>
    </row>
    <row r="6" spans="1:14" s="201" customFormat="1" ht="12.75" customHeight="1" x14ac:dyDescent="0.2">
      <c r="A6" s="203" t="s">
        <v>205</v>
      </c>
      <c r="B6" s="204"/>
      <c r="C6" s="204"/>
      <c r="D6" s="354" t="s">
        <v>206</v>
      </c>
      <c r="E6" s="354"/>
      <c r="F6" s="354"/>
      <c r="G6" s="354"/>
      <c r="H6" s="354"/>
      <c r="I6" s="354"/>
      <c r="J6" s="354"/>
    </row>
    <row r="7" spans="1:14" s="201" customFormat="1" ht="12.75" customHeight="1" x14ac:dyDescent="0.2">
      <c r="A7" s="328" t="s">
        <v>49</v>
      </c>
      <c r="B7" s="346"/>
      <c r="C7" s="346"/>
      <c r="D7" s="346"/>
      <c r="E7" s="346"/>
      <c r="F7" s="346"/>
      <c r="G7" s="346"/>
      <c r="H7" s="346"/>
      <c r="I7" s="205"/>
      <c r="J7" s="205"/>
    </row>
    <row r="8" spans="1:14" s="4" customFormat="1" ht="13.5" customHeight="1" x14ac:dyDescent="0.2">
      <c r="A8" s="328"/>
      <c r="B8" s="346"/>
      <c r="C8" s="346"/>
      <c r="D8" s="346"/>
      <c r="E8" s="346"/>
      <c r="F8" s="346"/>
      <c r="G8" s="346"/>
      <c r="H8" s="346"/>
    </row>
    <row r="9" spans="1:14" s="200" customFormat="1" ht="27" customHeight="1" x14ac:dyDescent="0.25">
      <c r="A9" s="351" t="s">
        <v>13</v>
      </c>
      <c r="B9" s="351" t="s">
        <v>99</v>
      </c>
      <c r="C9" s="351" t="s">
        <v>164</v>
      </c>
      <c r="D9" s="351" t="s">
        <v>101</v>
      </c>
      <c r="E9" s="352" t="s">
        <v>207</v>
      </c>
      <c r="F9" s="349" t="s">
        <v>103</v>
      </c>
      <c r="G9" s="350"/>
      <c r="H9" s="352" t="s">
        <v>208</v>
      </c>
      <c r="I9" s="349" t="s">
        <v>209</v>
      </c>
      <c r="J9" s="350"/>
      <c r="K9" s="199"/>
      <c r="L9" s="199"/>
      <c r="M9" s="199"/>
      <c r="N9" s="199"/>
    </row>
    <row r="10" spans="1:14" s="200" customFormat="1" ht="28.5" customHeight="1" x14ac:dyDescent="0.25">
      <c r="A10" s="351"/>
      <c r="B10" s="351"/>
      <c r="C10" s="351"/>
      <c r="D10" s="351"/>
      <c r="E10" s="353"/>
      <c r="F10" s="145" t="s">
        <v>210</v>
      </c>
      <c r="G10" s="145" t="s">
        <v>105</v>
      </c>
      <c r="H10" s="353"/>
      <c r="I10" s="145" t="s">
        <v>210</v>
      </c>
      <c r="J10" s="145" t="s">
        <v>105</v>
      </c>
      <c r="K10" s="199"/>
      <c r="L10" s="199"/>
      <c r="M10" s="199"/>
      <c r="N10" s="199"/>
    </row>
    <row r="11" spans="1:14" s="200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7">
        <v>9</v>
      </c>
      <c r="J11" s="277">
        <v>10</v>
      </c>
      <c r="K11" s="199"/>
      <c r="L11" s="199"/>
      <c r="M11" s="199"/>
      <c r="N11" s="199"/>
    </row>
    <row r="12" spans="1:14" x14ac:dyDescent="0.25">
      <c r="A12" s="2"/>
      <c r="B12" s="360" t="s">
        <v>211</v>
      </c>
      <c r="C12" s="361"/>
      <c r="D12" s="351"/>
      <c r="E12" s="362"/>
      <c r="F12" s="363"/>
      <c r="G12" s="363"/>
      <c r="H12" s="364"/>
      <c r="I12" s="206"/>
      <c r="J12" s="206"/>
    </row>
    <row r="13" spans="1:14" ht="25.5" customHeight="1" x14ac:dyDescent="0.25">
      <c r="A13" s="2">
        <v>1</v>
      </c>
      <c r="B13" s="207" t="s">
        <v>212</v>
      </c>
      <c r="C13" s="208" t="s">
        <v>213</v>
      </c>
      <c r="D13" s="145" t="s">
        <v>214</v>
      </c>
      <c r="E13" s="209">
        <v>8.24</v>
      </c>
      <c r="F13" s="210">
        <v>9.51</v>
      </c>
      <c r="G13" s="210">
        <f>Прил.3!H12</f>
        <v>1067.43</v>
      </c>
      <c r="H13" s="211">
        <f>G13/$G$14</f>
        <v>1</v>
      </c>
      <c r="I13" s="212">
        <f>ФОТр.тек.!E13</f>
        <v>439.09244974661999</v>
      </c>
      <c r="J13" s="212">
        <f>ROUND(I13*E13,2)</f>
        <v>3618.12</v>
      </c>
    </row>
    <row r="14" spans="1:14" s="14" customFormat="1" ht="25.5" customHeight="1" x14ac:dyDescent="0.2">
      <c r="A14" s="2"/>
      <c r="B14" s="2"/>
      <c r="C14" s="280" t="s">
        <v>215</v>
      </c>
      <c r="D14" s="2" t="s">
        <v>214</v>
      </c>
      <c r="E14" s="213">
        <f>SUM(E13:E13)</f>
        <v>8.24</v>
      </c>
      <c r="F14" s="29"/>
      <c r="G14" s="29">
        <f>SUM(G13:G13)</f>
        <v>1067.43</v>
      </c>
      <c r="H14" s="283">
        <v>1</v>
      </c>
      <c r="I14" s="206"/>
      <c r="J14" s="210">
        <f>SUM(J13:J13)</f>
        <v>3618.12</v>
      </c>
    </row>
    <row r="15" spans="1:14" s="14" customFormat="1" ht="14.25" customHeight="1" x14ac:dyDescent="0.2">
      <c r="A15" s="2"/>
      <c r="B15" s="361" t="s">
        <v>114</v>
      </c>
      <c r="C15" s="361"/>
      <c r="D15" s="351"/>
      <c r="E15" s="362"/>
      <c r="F15" s="363"/>
      <c r="G15" s="363"/>
      <c r="H15" s="364"/>
      <c r="I15" s="206"/>
      <c r="J15" s="206"/>
    </row>
    <row r="16" spans="1:14" s="14" customFormat="1" ht="14.25" customHeight="1" x14ac:dyDescent="0.2">
      <c r="A16" s="2">
        <v>2</v>
      </c>
      <c r="B16" s="2">
        <v>2</v>
      </c>
      <c r="C16" s="9" t="s">
        <v>114</v>
      </c>
      <c r="D16" s="2" t="s">
        <v>214</v>
      </c>
      <c r="E16" s="213">
        <f>Прил.3!F16</f>
        <v>2.02</v>
      </c>
      <c r="F16" s="29">
        <f>G16/E16</f>
        <v>11.524752475247524</v>
      </c>
      <c r="G16" s="29">
        <f>Прил.3!H15</f>
        <v>23.28</v>
      </c>
      <c r="H16" s="283">
        <v>1</v>
      </c>
      <c r="I16" s="212">
        <f>ROUND(F16*Прил.10!D11,2)</f>
        <v>510.43</v>
      </c>
      <c r="J16" s="212">
        <f>ROUND(I16*E16,2)</f>
        <v>1031.07</v>
      </c>
    </row>
    <row r="17" spans="1:12" s="14" customFormat="1" ht="14.25" customHeight="1" x14ac:dyDescent="0.2">
      <c r="A17" s="2"/>
      <c r="B17" s="360" t="s">
        <v>115</v>
      </c>
      <c r="C17" s="361"/>
      <c r="D17" s="351"/>
      <c r="E17" s="362"/>
      <c r="F17" s="363"/>
      <c r="G17" s="363"/>
      <c r="H17" s="364"/>
      <c r="I17" s="206"/>
      <c r="J17" s="206"/>
    </row>
    <row r="18" spans="1:12" s="14" customFormat="1" ht="14.25" customHeight="1" x14ac:dyDescent="0.2">
      <c r="A18" s="2"/>
      <c r="B18" s="361" t="s">
        <v>216</v>
      </c>
      <c r="C18" s="361"/>
      <c r="D18" s="351"/>
      <c r="E18" s="362"/>
      <c r="F18" s="363"/>
      <c r="G18" s="363"/>
      <c r="H18" s="364"/>
      <c r="I18" s="206"/>
      <c r="J18" s="206"/>
    </row>
    <row r="19" spans="1:12" s="14" customFormat="1" ht="25.5" customHeight="1" x14ac:dyDescent="0.2">
      <c r="A19" s="2">
        <v>3</v>
      </c>
      <c r="B19" s="214" t="s">
        <v>116</v>
      </c>
      <c r="C19" s="215" t="s">
        <v>117</v>
      </c>
      <c r="D19" s="216" t="s">
        <v>118</v>
      </c>
      <c r="E19" s="213">
        <v>1.92</v>
      </c>
      <c r="F19" s="217">
        <v>65.709999999999994</v>
      </c>
      <c r="G19" s="218">
        <f>ROUND(E19*F19,2)</f>
        <v>126.16</v>
      </c>
      <c r="H19" s="219">
        <f>G19/$G$23</f>
        <v>0.93341225214560519</v>
      </c>
      <c r="I19" s="210">
        <f>ROUND(F19*Прил.10!$D$12,2)</f>
        <v>885.11</v>
      </c>
      <c r="J19" s="210">
        <f>ROUND(I19*E19,2)</f>
        <v>1699.41</v>
      </c>
    </row>
    <row r="20" spans="1:12" s="14" customFormat="1" ht="14.25" customHeight="1" x14ac:dyDescent="0.2">
      <c r="A20" s="2"/>
      <c r="B20" s="2"/>
      <c r="C20" s="9" t="s">
        <v>217</v>
      </c>
      <c r="D20" s="2"/>
      <c r="E20" s="213"/>
      <c r="F20" s="29"/>
      <c r="G20" s="29">
        <f>SUM(G19:G19)</f>
        <v>126.16</v>
      </c>
      <c r="H20" s="283">
        <f>G20/G23</f>
        <v>0.93341225214560519</v>
      </c>
      <c r="I20" s="220"/>
      <c r="J20" s="29">
        <f>SUM(J19:J19)</f>
        <v>1699.41</v>
      </c>
    </row>
    <row r="21" spans="1:12" s="14" customFormat="1" ht="14.25" customHeight="1" outlineLevel="1" x14ac:dyDescent="0.2">
      <c r="A21" s="2">
        <v>4</v>
      </c>
      <c r="B21" s="214" t="s">
        <v>119</v>
      </c>
      <c r="C21" s="215" t="s">
        <v>120</v>
      </c>
      <c r="D21" s="216" t="s">
        <v>118</v>
      </c>
      <c r="E21" s="213">
        <v>0.1</v>
      </c>
      <c r="F21" s="217">
        <v>89.99</v>
      </c>
      <c r="G21" s="218">
        <f>ROUND(E21*F21,2)</f>
        <v>9</v>
      </c>
      <c r="H21" s="219">
        <f>G21/$G$23</f>
        <v>6.6587747854394794E-2</v>
      </c>
      <c r="I21" s="210">
        <f>ROUND(F21*Прил.10!$D$12,2)</f>
        <v>1212.17</v>
      </c>
      <c r="J21" s="210">
        <f>ROUND(I21*E21,2)</f>
        <v>121.22</v>
      </c>
    </row>
    <row r="22" spans="1:12" s="14" customFormat="1" ht="14.25" customHeight="1" x14ac:dyDescent="0.2">
      <c r="A22" s="2"/>
      <c r="B22" s="2"/>
      <c r="C22" s="9" t="s">
        <v>218</v>
      </c>
      <c r="D22" s="2"/>
      <c r="E22" s="281"/>
      <c r="F22" s="29"/>
      <c r="G22" s="220">
        <f>SUM(G21:G21)</f>
        <v>9</v>
      </c>
      <c r="H22" s="221">
        <f>G22/G23</f>
        <v>6.6587747854394794E-2</v>
      </c>
      <c r="I22" s="222"/>
      <c r="J22" s="222">
        <f>SUM(J21:J21)</f>
        <v>121.22</v>
      </c>
    </row>
    <row r="23" spans="1:12" s="14" customFormat="1" ht="25.5" customHeight="1" x14ac:dyDescent="0.2">
      <c r="A23" s="2"/>
      <c r="B23" s="2"/>
      <c r="C23" s="280" t="s">
        <v>219</v>
      </c>
      <c r="D23" s="2"/>
      <c r="E23" s="281"/>
      <c r="F23" s="29"/>
      <c r="G23" s="29">
        <f>G22+G20</f>
        <v>135.16</v>
      </c>
      <c r="H23" s="223">
        <v>1</v>
      </c>
      <c r="I23" s="224"/>
      <c r="J23" s="225">
        <f>J22+J20</f>
        <v>1820.63</v>
      </c>
    </row>
    <row r="24" spans="1:12" s="14" customFormat="1" ht="14.25" customHeight="1" x14ac:dyDescent="0.2">
      <c r="A24" s="2"/>
      <c r="B24" s="360" t="s">
        <v>43</v>
      </c>
      <c r="C24" s="360"/>
      <c r="D24" s="365"/>
      <c r="E24" s="366"/>
      <c r="F24" s="367"/>
      <c r="G24" s="367"/>
      <c r="H24" s="368"/>
      <c r="I24" s="206"/>
      <c r="J24" s="206"/>
    </row>
    <row r="25" spans="1:12" x14ac:dyDescent="0.25">
      <c r="A25" s="284"/>
      <c r="B25" s="361" t="s">
        <v>220</v>
      </c>
      <c r="C25" s="361"/>
      <c r="D25" s="351"/>
      <c r="E25" s="362"/>
      <c r="F25" s="363"/>
      <c r="G25" s="363"/>
      <c r="H25" s="364"/>
      <c r="I25" s="226"/>
      <c r="J25" s="226"/>
      <c r="K25" s="227"/>
      <c r="L25" s="227"/>
    </row>
    <row r="26" spans="1:12" s="14" customFormat="1" ht="127.5" customHeight="1" x14ac:dyDescent="0.2">
      <c r="A26" s="2">
        <v>5</v>
      </c>
      <c r="B26" s="293" t="s">
        <v>221</v>
      </c>
      <c r="C26" s="294" t="s">
        <v>222</v>
      </c>
      <c r="D26" s="293" t="s">
        <v>123</v>
      </c>
      <c r="E26" s="295">
        <v>2</v>
      </c>
      <c r="F26" s="296">
        <f>ROUND(I26/Прил.10!$D$14,2)</f>
        <v>43258.79</v>
      </c>
      <c r="G26" s="297">
        <f>ROUND(E26*F26,2)</f>
        <v>86517.58</v>
      </c>
      <c r="H26" s="298">
        <f>G26/$G$29</f>
        <v>1</v>
      </c>
      <c r="I26" s="210">
        <v>270800</v>
      </c>
      <c r="J26" s="210">
        <f>ROUND(I26*E26,2)</f>
        <v>541600</v>
      </c>
    </row>
    <row r="27" spans="1:12" x14ac:dyDescent="0.25">
      <c r="A27" s="2"/>
      <c r="B27" s="299"/>
      <c r="C27" s="300" t="s">
        <v>223</v>
      </c>
      <c r="D27" s="301"/>
      <c r="E27" s="302"/>
      <c r="F27" s="303"/>
      <c r="G27" s="304">
        <f>SUM(G26:G26)</f>
        <v>86517.58</v>
      </c>
      <c r="H27" s="298">
        <f>G27/$G$29</f>
        <v>1</v>
      </c>
      <c r="I27" s="232"/>
      <c r="J27" s="231">
        <f>SUM(J26:J26)</f>
        <v>541600</v>
      </c>
      <c r="K27" s="227"/>
      <c r="L27" s="227"/>
    </row>
    <row r="28" spans="1:12" x14ac:dyDescent="0.25">
      <c r="A28" s="2"/>
      <c r="B28" s="299"/>
      <c r="C28" s="300" t="s">
        <v>224</v>
      </c>
      <c r="D28" s="299"/>
      <c r="E28" s="302"/>
      <c r="F28" s="303"/>
      <c r="G28" s="304">
        <v>0</v>
      </c>
      <c r="H28" s="298">
        <f>G28/$G$29</f>
        <v>0</v>
      </c>
      <c r="I28" s="232"/>
      <c r="J28" s="231">
        <v>0</v>
      </c>
      <c r="K28" s="227"/>
      <c r="L28" s="227"/>
    </row>
    <row r="29" spans="1:12" x14ac:dyDescent="0.25">
      <c r="A29" s="284"/>
      <c r="B29" s="299"/>
      <c r="C29" s="305" t="s">
        <v>225</v>
      </c>
      <c r="D29" s="299"/>
      <c r="E29" s="306"/>
      <c r="F29" s="303"/>
      <c r="G29" s="304">
        <f>G27+G28</f>
        <v>86517.58</v>
      </c>
      <c r="H29" s="298">
        <f>H27+H28</f>
        <v>1</v>
      </c>
      <c r="I29" s="232"/>
      <c r="J29" s="231">
        <f>J28+J27</f>
        <v>541600</v>
      </c>
      <c r="K29" s="227"/>
      <c r="L29" s="227"/>
    </row>
    <row r="30" spans="1:12" ht="25.5" customHeight="1" x14ac:dyDescent="0.25">
      <c r="A30" s="284"/>
      <c r="B30" s="299"/>
      <c r="C30" s="300" t="s">
        <v>226</v>
      </c>
      <c r="D30" s="299"/>
      <c r="E30" s="307"/>
      <c r="F30" s="303"/>
      <c r="G30" s="304">
        <f>'Прил.6 Расчет ОБ'!G13</f>
        <v>86517.58</v>
      </c>
      <c r="H30" s="308"/>
      <c r="I30" s="232"/>
      <c r="J30" s="231">
        <f>ROUND(G30*Прил.10!D14,2)</f>
        <v>541600.05000000005</v>
      </c>
      <c r="K30" s="227"/>
      <c r="L30" s="227"/>
    </row>
    <row r="31" spans="1:12" s="14" customFormat="1" ht="14.25" customHeight="1" x14ac:dyDescent="0.2">
      <c r="A31" s="2"/>
      <c r="B31" s="369" t="s">
        <v>124</v>
      </c>
      <c r="C31" s="369"/>
      <c r="D31" s="370"/>
      <c r="E31" s="371"/>
      <c r="F31" s="372"/>
      <c r="G31" s="372"/>
      <c r="H31" s="373"/>
      <c r="I31" s="206"/>
      <c r="J31" s="206"/>
    </row>
    <row r="32" spans="1:12" s="14" customFormat="1" ht="14.25" customHeight="1" x14ac:dyDescent="0.2">
      <c r="A32" s="279"/>
      <c r="B32" s="355" t="s">
        <v>227</v>
      </c>
      <c r="C32" s="355"/>
      <c r="D32" s="356"/>
      <c r="E32" s="357"/>
      <c r="F32" s="358"/>
      <c r="G32" s="358"/>
      <c r="H32" s="359"/>
      <c r="I32" s="234"/>
      <c r="J32" s="234"/>
    </row>
    <row r="33" spans="1:12" s="14" customFormat="1" ht="25.5" customHeight="1" x14ac:dyDescent="0.2">
      <c r="A33" s="228">
        <v>9</v>
      </c>
      <c r="B33" s="293" t="s">
        <v>125</v>
      </c>
      <c r="C33" s="294" t="s">
        <v>126</v>
      </c>
      <c r="D33" s="293" t="s">
        <v>127</v>
      </c>
      <c r="E33" s="295">
        <v>1.2E-2</v>
      </c>
      <c r="F33" s="296">
        <v>15481</v>
      </c>
      <c r="G33" s="297">
        <f t="shared" ref="G33:G39" si="0">ROUND(E33*F33,2)</f>
        <v>185.77</v>
      </c>
      <c r="H33" s="298">
        <f t="shared" ref="H33:H51" si="1">G33/$G$51</f>
        <v>0.41472998013082407</v>
      </c>
      <c r="I33" s="210">
        <f>ROUND(F33*Прил.10!$D$13,2)</f>
        <v>124467.24</v>
      </c>
      <c r="J33" s="210">
        <f t="shared" ref="J33:J39" si="2">ROUND(I33*E33,2)</f>
        <v>1493.61</v>
      </c>
    </row>
    <row r="34" spans="1:12" s="14" customFormat="1" ht="38.25" customHeight="1" x14ac:dyDescent="0.2">
      <c r="A34" s="228">
        <v>10</v>
      </c>
      <c r="B34" s="293" t="s">
        <v>128</v>
      </c>
      <c r="C34" s="294" t="s">
        <v>129</v>
      </c>
      <c r="D34" s="293" t="s">
        <v>127</v>
      </c>
      <c r="E34" s="295">
        <v>8.0000000000000004E-4</v>
      </c>
      <c r="F34" s="296">
        <v>75162.289999999994</v>
      </c>
      <c r="G34" s="297">
        <f t="shared" si="0"/>
        <v>60.13</v>
      </c>
      <c r="H34" s="298">
        <f t="shared" si="1"/>
        <v>0.13423972495702455</v>
      </c>
      <c r="I34" s="210">
        <f>ROUND(F34*Прил.10!$D$13,2)</f>
        <v>604304.81000000006</v>
      </c>
      <c r="J34" s="210">
        <f t="shared" si="2"/>
        <v>483.44</v>
      </c>
    </row>
    <row r="35" spans="1:12" s="14" customFormat="1" ht="14.25" customHeight="1" x14ac:dyDescent="0.2">
      <c r="A35" s="228">
        <v>11</v>
      </c>
      <c r="B35" s="228" t="s">
        <v>130</v>
      </c>
      <c r="C35" s="151" t="s">
        <v>131</v>
      </c>
      <c r="D35" s="228" t="s">
        <v>132</v>
      </c>
      <c r="E35" s="229">
        <v>0.3</v>
      </c>
      <c r="F35" s="230">
        <v>155</v>
      </c>
      <c r="G35" s="218">
        <f t="shared" si="0"/>
        <v>46.5</v>
      </c>
      <c r="H35" s="221">
        <f t="shared" si="1"/>
        <v>0.10381086330453421</v>
      </c>
      <c r="I35" s="210">
        <f>ROUND(F35*Прил.10!$D$13,2)</f>
        <v>1246.2</v>
      </c>
      <c r="J35" s="210">
        <f t="shared" si="2"/>
        <v>373.86</v>
      </c>
    </row>
    <row r="36" spans="1:12" s="14" customFormat="1" ht="14.25" customHeight="1" x14ac:dyDescent="0.2">
      <c r="A36" s="228">
        <v>12</v>
      </c>
      <c r="B36" s="228" t="s">
        <v>133</v>
      </c>
      <c r="C36" s="151" t="s">
        <v>134</v>
      </c>
      <c r="D36" s="228" t="s">
        <v>135</v>
      </c>
      <c r="E36" s="229">
        <v>0.2</v>
      </c>
      <c r="F36" s="230">
        <v>203</v>
      </c>
      <c r="G36" s="218">
        <f t="shared" si="0"/>
        <v>40.6</v>
      </c>
      <c r="H36" s="221">
        <f t="shared" si="1"/>
        <v>9.0639162369120188E-2</v>
      </c>
      <c r="I36" s="210">
        <f>ROUND(F36*Прил.10!$D$13,2)</f>
        <v>1632.12</v>
      </c>
      <c r="J36" s="210">
        <f t="shared" si="2"/>
        <v>326.42</v>
      </c>
    </row>
    <row r="37" spans="1:12" s="14" customFormat="1" ht="25.5" customHeight="1" x14ac:dyDescent="0.2">
      <c r="A37" s="228">
        <v>13</v>
      </c>
      <c r="B37" s="228" t="s">
        <v>136</v>
      </c>
      <c r="C37" s="151" t="s">
        <v>137</v>
      </c>
      <c r="D37" s="228" t="s">
        <v>127</v>
      </c>
      <c r="E37" s="229">
        <v>1.9400000000000001E-3</v>
      </c>
      <c r="F37" s="230">
        <v>12606</v>
      </c>
      <c r="G37" s="218">
        <f t="shared" si="0"/>
        <v>24.46</v>
      </c>
      <c r="H37" s="221">
        <f t="shared" si="1"/>
        <v>5.4606746589868964E-2</v>
      </c>
      <c r="I37" s="210">
        <f>ROUND(F37*Прил.10!$D$13,2)</f>
        <v>101352.24</v>
      </c>
      <c r="J37" s="210">
        <f t="shared" si="2"/>
        <v>196.62</v>
      </c>
    </row>
    <row r="38" spans="1:12" s="14" customFormat="1" ht="25.5" customHeight="1" x14ac:dyDescent="0.2">
      <c r="A38" s="228">
        <v>14</v>
      </c>
      <c r="B38" s="228" t="s">
        <v>138</v>
      </c>
      <c r="C38" s="151" t="s">
        <v>139</v>
      </c>
      <c r="D38" s="228" t="s">
        <v>140</v>
      </c>
      <c r="E38" s="229">
        <v>21.4</v>
      </c>
      <c r="F38" s="230">
        <v>1</v>
      </c>
      <c r="G38" s="218">
        <f t="shared" si="0"/>
        <v>21.4</v>
      </c>
      <c r="H38" s="221">
        <f t="shared" si="1"/>
        <v>4.7775322036925416E-2</v>
      </c>
      <c r="I38" s="210">
        <f>ROUND(F38*Прил.10!$D$13,2)</f>
        <v>8.0399999999999991</v>
      </c>
      <c r="J38" s="210">
        <f t="shared" si="2"/>
        <v>172.06</v>
      </c>
    </row>
    <row r="39" spans="1:12" s="14" customFormat="1" ht="38.25" customHeight="1" x14ac:dyDescent="0.2">
      <c r="A39" s="228">
        <v>15</v>
      </c>
      <c r="B39" s="228" t="s">
        <v>141</v>
      </c>
      <c r="C39" s="151" t="s">
        <v>142</v>
      </c>
      <c r="D39" s="228" t="s">
        <v>127</v>
      </c>
      <c r="E39" s="229">
        <v>5.5999999999999995E-4</v>
      </c>
      <c r="F39" s="230">
        <v>37517</v>
      </c>
      <c r="G39" s="218">
        <f t="shared" si="0"/>
        <v>21.01</v>
      </c>
      <c r="H39" s="221">
        <f t="shared" si="1"/>
        <v>4.6904650280177713E-2</v>
      </c>
      <c r="I39" s="210">
        <f>ROUND(F39*Прил.10!$D$13,2)</f>
        <v>301636.68</v>
      </c>
      <c r="J39" s="210">
        <f t="shared" si="2"/>
        <v>168.92</v>
      </c>
    </row>
    <row r="40" spans="1:12" s="14" customFormat="1" ht="14.25" customHeight="1" x14ac:dyDescent="0.2">
      <c r="A40" s="235"/>
      <c r="B40" s="236"/>
      <c r="C40" s="237" t="s">
        <v>228</v>
      </c>
      <c r="D40" s="238"/>
      <c r="E40" s="239"/>
      <c r="F40" s="240"/>
      <c r="G40" s="241">
        <f>SUM(G33:G39)</f>
        <v>399.86999999999995</v>
      </c>
      <c r="H40" s="221">
        <f t="shared" si="1"/>
        <v>0.89270644966847501</v>
      </c>
      <c r="I40" s="210"/>
      <c r="J40" s="241">
        <f>SUM(J33:J39)</f>
        <v>3214.93</v>
      </c>
      <c r="K40" s="26"/>
      <c r="L40" s="26"/>
    </row>
    <row r="41" spans="1:12" s="14" customFormat="1" ht="14.25" customHeight="1" outlineLevel="1" x14ac:dyDescent="0.2">
      <c r="A41" s="228">
        <v>16</v>
      </c>
      <c r="B41" s="228" t="s">
        <v>143</v>
      </c>
      <c r="C41" s="151" t="s">
        <v>144</v>
      </c>
      <c r="D41" s="228" t="s">
        <v>127</v>
      </c>
      <c r="E41" s="229">
        <v>3.6000000000000002E-4</v>
      </c>
      <c r="F41" s="230">
        <v>42700.01</v>
      </c>
      <c r="G41" s="218">
        <f t="shared" ref="G41:G49" si="3">ROUND(E41*F41,2)</f>
        <v>15.37</v>
      </c>
      <c r="H41" s="221">
        <f t="shared" si="1"/>
        <v>3.4313397182595497E-2</v>
      </c>
      <c r="I41" s="210">
        <f>ROUND(F41*Прил.10!$D$13,2)</f>
        <v>343308.08</v>
      </c>
      <c r="J41" s="210">
        <f t="shared" ref="J41:J49" si="4">ROUND(I41*E41,2)</f>
        <v>123.59</v>
      </c>
    </row>
    <row r="42" spans="1:12" s="14" customFormat="1" ht="25.5" customHeight="1" outlineLevel="1" x14ac:dyDescent="0.2">
      <c r="A42" s="228">
        <v>17</v>
      </c>
      <c r="B42" s="228" t="s">
        <v>145</v>
      </c>
      <c r="C42" s="151" t="s">
        <v>146</v>
      </c>
      <c r="D42" s="228" t="s">
        <v>127</v>
      </c>
      <c r="E42" s="229">
        <v>1.2E-4</v>
      </c>
      <c r="F42" s="230">
        <v>114220</v>
      </c>
      <c r="G42" s="218">
        <f t="shared" si="3"/>
        <v>13.71</v>
      </c>
      <c r="H42" s="221">
        <f t="shared" si="1"/>
        <v>3.0607460987207829E-2</v>
      </c>
      <c r="I42" s="210">
        <f>ROUND(F42*Прил.10!$D$13,2)</f>
        <v>918328.8</v>
      </c>
      <c r="J42" s="210">
        <f t="shared" si="4"/>
        <v>110.2</v>
      </c>
    </row>
    <row r="43" spans="1:12" s="14" customFormat="1" ht="14.25" customHeight="1" outlineLevel="1" x14ac:dyDescent="0.2">
      <c r="A43" s="228">
        <v>18</v>
      </c>
      <c r="B43" s="228" t="s">
        <v>147</v>
      </c>
      <c r="C43" s="151" t="s">
        <v>148</v>
      </c>
      <c r="D43" s="228" t="s">
        <v>132</v>
      </c>
      <c r="E43" s="229">
        <v>0.24</v>
      </c>
      <c r="F43" s="230">
        <v>28.26</v>
      </c>
      <c r="G43" s="218">
        <f t="shared" si="3"/>
        <v>6.78</v>
      </c>
      <c r="H43" s="221">
        <f t="shared" si="1"/>
        <v>1.5136293617306278E-2</v>
      </c>
      <c r="I43" s="210">
        <f>ROUND(F43*Прил.10!$D$13,2)</f>
        <v>227.21</v>
      </c>
      <c r="J43" s="210">
        <f t="shared" si="4"/>
        <v>54.53</v>
      </c>
    </row>
    <row r="44" spans="1:12" s="14" customFormat="1" ht="14.25" customHeight="1" outlineLevel="1" x14ac:dyDescent="0.2">
      <c r="A44" s="228">
        <v>19</v>
      </c>
      <c r="B44" s="228" t="s">
        <v>149</v>
      </c>
      <c r="C44" s="151" t="s">
        <v>150</v>
      </c>
      <c r="D44" s="228" t="s">
        <v>132</v>
      </c>
      <c r="E44" s="229">
        <v>3.6999999999999998E-2</v>
      </c>
      <c r="F44" s="230">
        <v>138.76</v>
      </c>
      <c r="G44" s="218">
        <f t="shared" si="3"/>
        <v>5.13</v>
      </c>
      <c r="H44" s="221">
        <f t="shared" si="1"/>
        <v>1.1452682338758289E-2</v>
      </c>
      <c r="I44" s="210">
        <f>ROUND(F44*Прил.10!$D$13,2)</f>
        <v>1115.6300000000001</v>
      </c>
      <c r="J44" s="210">
        <f t="shared" si="4"/>
        <v>41.28</v>
      </c>
    </row>
    <row r="45" spans="1:12" s="14" customFormat="1" ht="38.25" customHeight="1" outlineLevel="1" x14ac:dyDescent="0.2">
      <c r="A45" s="228">
        <v>20</v>
      </c>
      <c r="B45" s="228" t="s">
        <v>151</v>
      </c>
      <c r="C45" s="151" t="s">
        <v>152</v>
      </c>
      <c r="D45" s="228" t="s">
        <v>153</v>
      </c>
      <c r="E45" s="229">
        <v>6.0000000000000001E-3</v>
      </c>
      <c r="F45" s="230">
        <v>405.22</v>
      </c>
      <c r="G45" s="218">
        <f t="shared" si="3"/>
        <v>2.4300000000000002</v>
      </c>
      <c r="H45" s="221">
        <f t="shared" si="1"/>
        <v>5.4249547920434005E-3</v>
      </c>
      <c r="I45" s="210">
        <f>ROUND(F45*Прил.10!$D$13,2)</f>
        <v>3257.97</v>
      </c>
      <c r="J45" s="210">
        <f t="shared" si="4"/>
        <v>19.55</v>
      </c>
    </row>
    <row r="46" spans="1:12" s="14" customFormat="1" ht="25.5" customHeight="1" outlineLevel="1" x14ac:dyDescent="0.2">
      <c r="A46" s="228">
        <v>21</v>
      </c>
      <c r="B46" s="228" t="s">
        <v>154</v>
      </c>
      <c r="C46" s="151" t="s">
        <v>155</v>
      </c>
      <c r="D46" s="228" t="s">
        <v>132</v>
      </c>
      <c r="E46" s="229">
        <v>5.1999999999999998E-2</v>
      </c>
      <c r="F46" s="230">
        <v>39.020000000000003</v>
      </c>
      <c r="G46" s="218">
        <f t="shared" si="3"/>
        <v>2.0299999999999998</v>
      </c>
      <c r="H46" s="221">
        <f t="shared" si="1"/>
        <v>4.5319581184560089E-3</v>
      </c>
      <c r="I46" s="210">
        <f>ROUND(F46*Прил.10!$D$13,2)</f>
        <v>313.72000000000003</v>
      </c>
      <c r="J46" s="210">
        <f t="shared" si="4"/>
        <v>16.309999999999999</v>
      </c>
    </row>
    <row r="47" spans="1:12" s="14" customFormat="1" ht="25.5" customHeight="1" outlineLevel="1" x14ac:dyDescent="0.2">
      <c r="A47" s="228">
        <v>22</v>
      </c>
      <c r="B47" s="228" t="s">
        <v>156</v>
      </c>
      <c r="C47" s="151" t="s">
        <v>157</v>
      </c>
      <c r="D47" s="228" t="s">
        <v>132</v>
      </c>
      <c r="E47" s="229">
        <v>0.04</v>
      </c>
      <c r="F47" s="230">
        <v>38.340000000000003</v>
      </c>
      <c r="G47" s="218">
        <f t="shared" si="3"/>
        <v>1.53</v>
      </c>
      <c r="H47" s="221">
        <f t="shared" si="1"/>
        <v>3.4157122764717704E-3</v>
      </c>
      <c r="I47" s="210">
        <f>ROUND(F47*Прил.10!$D$13,2)</f>
        <v>308.25</v>
      </c>
      <c r="J47" s="210">
        <f t="shared" si="4"/>
        <v>12.33</v>
      </c>
    </row>
    <row r="48" spans="1:12" s="14" customFormat="1" ht="25.5" customHeight="1" outlineLevel="1" x14ac:dyDescent="0.2">
      <c r="A48" s="228">
        <v>23</v>
      </c>
      <c r="B48" s="228" t="s">
        <v>158</v>
      </c>
      <c r="C48" s="151" t="s">
        <v>159</v>
      </c>
      <c r="D48" s="228" t="s">
        <v>127</v>
      </c>
      <c r="E48" s="229">
        <v>4.8000000000000001E-5</v>
      </c>
      <c r="F48" s="230">
        <v>22419</v>
      </c>
      <c r="G48" s="218">
        <f t="shared" si="3"/>
        <v>1.08</v>
      </c>
      <c r="H48" s="221">
        <f t="shared" si="1"/>
        <v>2.4110910186859557E-3</v>
      </c>
      <c r="I48" s="210">
        <f>ROUND(F48*Прил.10!$D$13,2)</f>
        <v>180248.76</v>
      </c>
      <c r="J48" s="210">
        <f t="shared" si="4"/>
        <v>8.65</v>
      </c>
    </row>
    <row r="49" spans="1:10" s="14" customFormat="1" ht="14.25" customHeight="1" outlineLevel="1" x14ac:dyDescent="0.2">
      <c r="A49" s="228">
        <v>24</v>
      </c>
      <c r="B49" s="228" t="s">
        <v>160</v>
      </c>
      <c r="C49" s="151" t="s">
        <v>161</v>
      </c>
      <c r="D49" s="228" t="s">
        <v>127</v>
      </c>
      <c r="E49" s="229">
        <v>0.35</v>
      </c>
      <c r="F49" s="230"/>
      <c r="G49" s="218">
        <f t="shared" si="3"/>
        <v>0</v>
      </c>
      <c r="H49" s="221">
        <f t="shared" si="1"/>
        <v>0</v>
      </c>
      <c r="I49" s="210">
        <f>ROUND(F49*Прил.10!$D$13,2)</f>
        <v>0</v>
      </c>
      <c r="J49" s="210">
        <f t="shared" si="4"/>
        <v>0</v>
      </c>
    </row>
    <row r="50" spans="1:10" s="14" customFormat="1" ht="14.25" customHeight="1" x14ac:dyDescent="0.2">
      <c r="A50" s="2"/>
      <c r="B50" s="2"/>
      <c r="C50" s="9" t="s">
        <v>229</v>
      </c>
      <c r="D50" s="2"/>
      <c r="E50" s="281"/>
      <c r="F50" s="282"/>
      <c r="G50" s="29">
        <f>SUM(G41:G49)</f>
        <v>48.06</v>
      </c>
      <c r="H50" s="221">
        <f t="shared" si="1"/>
        <v>0.10729355033152503</v>
      </c>
      <c r="I50" s="29"/>
      <c r="J50" s="29">
        <f>SUM(J41:J49)</f>
        <v>386.44</v>
      </c>
    </row>
    <row r="51" spans="1:10" s="14" customFormat="1" ht="14.25" customHeight="1" x14ac:dyDescent="0.2">
      <c r="A51" s="2"/>
      <c r="B51" s="2"/>
      <c r="C51" s="280" t="s">
        <v>230</v>
      </c>
      <c r="D51" s="2"/>
      <c r="E51" s="281"/>
      <c r="F51" s="282"/>
      <c r="G51" s="29">
        <f>G40+G50</f>
        <v>447.92999999999995</v>
      </c>
      <c r="H51" s="283">
        <f t="shared" si="1"/>
        <v>1</v>
      </c>
      <c r="I51" s="29"/>
      <c r="J51" s="29">
        <f>J40+J50</f>
        <v>3601.37</v>
      </c>
    </row>
    <row r="52" spans="1:10" s="14" customFormat="1" ht="14.25" customHeight="1" x14ac:dyDescent="0.2">
      <c r="A52" s="2"/>
      <c r="B52" s="2"/>
      <c r="C52" s="9" t="s">
        <v>231</v>
      </c>
      <c r="D52" s="2"/>
      <c r="E52" s="281"/>
      <c r="F52" s="282"/>
      <c r="G52" s="29">
        <f>G14+G23+G51</f>
        <v>1650.52</v>
      </c>
      <c r="H52" s="283"/>
      <c r="I52" s="29"/>
      <c r="J52" s="29">
        <f>J14+J23+J51</f>
        <v>9040.119999999999</v>
      </c>
    </row>
    <row r="53" spans="1:10" s="14" customFormat="1" ht="14.25" customHeight="1" x14ac:dyDescent="0.2">
      <c r="A53" s="2"/>
      <c r="B53" s="2"/>
      <c r="C53" s="9" t="s">
        <v>232</v>
      </c>
      <c r="D53" s="242">
        <f>ROUND(G53/(G$16+$G$14),2)</f>
        <v>0.94</v>
      </c>
      <c r="E53" s="281"/>
      <c r="F53" s="282"/>
      <c r="G53" s="29">
        <v>1029.8699999999999</v>
      </c>
      <c r="H53" s="283"/>
      <c r="I53" s="29"/>
      <c r="J53" s="210">
        <f>ROUND(D53*(J14+J16),2)</f>
        <v>4370.24</v>
      </c>
    </row>
    <row r="54" spans="1:10" s="14" customFormat="1" ht="14.25" customHeight="1" x14ac:dyDescent="0.2">
      <c r="A54" s="2"/>
      <c r="B54" s="2"/>
      <c r="C54" s="9" t="s">
        <v>233</v>
      </c>
      <c r="D54" s="242">
        <f>ROUND(G54/(G$14+G$16),2)</f>
        <v>0.52</v>
      </c>
      <c r="E54" s="281"/>
      <c r="F54" s="282"/>
      <c r="G54" s="29">
        <v>569.17999999999995</v>
      </c>
      <c r="H54" s="283"/>
      <c r="I54" s="29"/>
      <c r="J54" s="210">
        <f>ROUND(D54*(J14+J16),2)</f>
        <v>2417.58</v>
      </c>
    </row>
    <row r="55" spans="1:10" s="14" customFormat="1" ht="14.25" customHeight="1" x14ac:dyDescent="0.2">
      <c r="A55" s="2"/>
      <c r="B55" s="2"/>
      <c r="C55" s="9" t="s">
        <v>234</v>
      </c>
      <c r="D55" s="2"/>
      <c r="E55" s="281"/>
      <c r="F55" s="282"/>
      <c r="G55" s="29">
        <f>G14+G23+G51+G53+G54</f>
        <v>3249.5699999999997</v>
      </c>
      <c r="H55" s="283"/>
      <c r="I55" s="29"/>
      <c r="J55" s="29">
        <f>J14+J23+J51+J53+J54</f>
        <v>15827.939999999999</v>
      </c>
    </row>
    <row r="56" spans="1:10" s="14" customFormat="1" ht="14.25" customHeight="1" x14ac:dyDescent="0.2">
      <c r="A56" s="2"/>
      <c r="B56" s="2"/>
      <c r="C56" s="9" t="s">
        <v>235</v>
      </c>
      <c r="D56" s="2"/>
      <c r="E56" s="281"/>
      <c r="F56" s="282"/>
      <c r="G56" s="29">
        <f>G55+G29</f>
        <v>89767.15</v>
      </c>
      <c r="H56" s="283"/>
      <c r="I56" s="29"/>
      <c r="J56" s="29">
        <f>J55+J29</f>
        <v>557427.93999999994</v>
      </c>
    </row>
    <row r="57" spans="1:10" s="14" customFormat="1" ht="34.5" customHeight="1" x14ac:dyDescent="0.2">
      <c r="A57" s="2"/>
      <c r="B57" s="2"/>
      <c r="C57" s="9" t="s">
        <v>198</v>
      </c>
      <c r="D57" s="2" t="s">
        <v>236</v>
      </c>
      <c r="E57" s="289">
        <v>1</v>
      </c>
      <c r="F57" s="282"/>
      <c r="G57" s="29">
        <f>G56/E57</f>
        <v>89767.15</v>
      </c>
      <c r="H57" s="283"/>
      <c r="I57" s="29"/>
      <c r="J57" s="29">
        <f>J56/E57</f>
        <v>557427.93999999994</v>
      </c>
    </row>
    <row r="59" spans="1:10" s="14" customFormat="1" ht="14.25" customHeight="1" x14ac:dyDescent="0.2">
      <c r="A59" s="4" t="s">
        <v>237</v>
      </c>
    </row>
    <row r="60" spans="1:10" s="14" customFormat="1" ht="14.25" customHeight="1" x14ac:dyDescent="0.2">
      <c r="A60" s="243" t="s">
        <v>76</v>
      </c>
    </row>
    <row r="61" spans="1:10" s="14" customFormat="1" ht="14.25" customHeight="1" x14ac:dyDescent="0.2">
      <c r="A61" s="4"/>
    </row>
    <row r="62" spans="1:10" s="14" customFormat="1" ht="14.25" customHeight="1" x14ac:dyDescent="0.2">
      <c r="A62" s="4" t="s">
        <v>238</v>
      </c>
    </row>
    <row r="63" spans="1:10" s="14" customFormat="1" ht="14.25" customHeight="1" x14ac:dyDescent="0.2">
      <c r="A63" s="243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2:H32"/>
    <mergeCell ref="B12:H12"/>
    <mergeCell ref="B15:H15"/>
    <mergeCell ref="B17:H17"/>
    <mergeCell ref="B18:H18"/>
    <mergeCell ref="B25:H25"/>
    <mergeCell ref="B24:H24"/>
    <mergeCell ref="B31:H31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workbookViewId="0">
      <selection activeCell="A16" sqref="A1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74" t="s">
        <v>239</v>
      </c>
      <c r="B1" s="374"/>
      <c r="C1" s="374"/>
      <c r="D1" s="374"/>
      <c r="E1" s="374"/>
      <c r="F1" s="374"/>
      <c r="G1" s="374"/>
    </row>
    <row r="2" spans="1:7" ht="21.75" customHeight="1" x14ac:dyDescent="0.25">
      <c r="A2" s="286"/>
      <c r="B2" s="286"/>
      <c r="C2" s="286"/>
      <c r="D2" s="286"/>
      <c r="E2" s="286"/>
      <c r="F2" s="286"/>
      <c r="G2" s="286"/>
    </row>
    <row r="3" spans="1:7" x14ac:dyDescent="0.25">
      <c r="A3" s="325" t="s">
        <v>240</v>
      </c>
      <c r="B3" s="325"/>
      <c r="C3" s="325"/>
      <c r="D3" s="325"/>
      <c r="E3" s="325"/>
      <c r="F3" s="325"/>
      <c r="G3" s="325"/>
    </row>
    <row r="4" spans="1:7" ht="25.5" customHeight="1" x14ac:dyDescent="0.25">
      <c r="A4" s="328" t="s">
        <v>47</v>
      </c>
      <c r="B4" s="328"/>
      <c r="C4" s="328"/>
      <c r="D4" s="328"/>
      <c r="E4" s="328"/>
      <c r="F4" s="328"/>
      <c r="G4" s="328"/>
    </row>
    <row r="5" spans="1:7" x14ac:dyDescent="0.25">
      <c r="A5" s="244"/>
      <c r="B5" s="244"/>
      <c r="C5" s="244"/>
      <c r="D5" s="244"/>
      <c r="E5" s="244"/>
      <c r="F5" s="244"/>
      <c r="G5" s="244"/>
    </row>
    <row r="6" spans="1:7" ht="30" customHeight="1" x14ac:dyDescent="0.25">
      <c r="A6" s="379" t="s">
        <v>13</v>
      </c>
      <c r="B6" s="379" t="s">
        <v>99</v>
      </c>
      <c r="C6" s="379" t="s">
        <v>164</v>
      </c>
      <c r="D6" s="379" t="s">
        <v>101</v>
      </c>
      <c r="E6" s="352" t="s">
        <v>207</v>
      </c>
      <c r="F6" s="379" t="s">
        <v>103</v>
      </c>
      <c r="G6" s="379"/>
    </row>
    <row r="7" spans="1:7" x14ac:dyDescent="0.25">
      <c r="A7" s="379"/>
      <c r="B7" s="379"/>
      <c r="C7" s="379"/>
      <c r="D7" s="379"/>
      <c r="E7" s="353"/>
      <c r="F7" s="284" t="s">
        <v>210</v>
      </c>
      <c r="G7" s="284" t="s">
        <v>105</v>
      </c>
    </row>
    <row r="8" spans="1:7" x14ac:dyDescent="0.25">
      <c r="A8" s="284">
        <v>1</v>
      </c>
      <c r="B8" s="284">
        <v>2</v>
      </c>
      <c r="C8" s="284">
        <v>3</v>
      </c>
      <c r="D8" s="284">
        <v>4</v>
      </c>
      <c r="E8" s="284">
        <v>5</v>
      </c>
      <c r="F8" s="284">
        <v>6</v>
      </c>
      <c r="G8" s="284">
        <v>7</v>
      </c>
    </row>
    <row r="9" spans="1:7" ht="15" customHeight="1" x14ac:dyDescent="0.25">
      <c r="A9" s="245"/>
      <c r="B9" s="375" t="s">
        <v>241</v>
      </c>
      <c r="C9" s="376"/>
      <c r="D9" s="376"/>
      <c r="E9" s="376"/>
      <c r="F9" s="376"/>
      <c r="G9" s="377"/>
    </row>
    <row r="10" spans="1:7" ht="27" customHeight="1" x14ac:dyDescent="0.25">
      <c r="A10" s="284"/>
      <c r="B10" s="233"/>
      <c r="C10" s="136" t="s">
        <v>242</v>
      </c>
      <c r="D10" s="233"/>
      <c r="E10" s="246"/>
      <c r="F10" s="285"/>
      <c r="G10" s="231">
        <v>0</v>
      </c>
    </row>
    <row r="11" spans="1:7" x14ac:dyDescent="0.25">
      <c r="A11" s="284"/>
      <c r="B11" s="361" t="s">
        <v>243</v>
      </c>
      <c r="C11" s="361"/>
      <c r="D11" s="361"/>
      <c r="E11" s="378"/>
      <c r="F11" s="363"/>
      <c r="G11" s="363"/>
    </row>
    <row r="12" spans="1:7" s="161" customFormat="1" ht="89.25" customHeight="1" x14ac:dyDescent="0.25">
      <c r="A12" s="284">
        <v>1</v>
      </c>
      <c r="B12" s="136" t="str">
        <f>'Прил.5 Расчет СМР и ОБ'!B26</f>
        <v>БЦ.54.24</v>
      </c>
      <c r="C12" s="247" t="str">
        <f>'Прил.5 Расчет СМР и ОБ'!C26</f>
        <v>Рабочая станция HP T4K63EA Z840 / Win10p64DowngradeWin764 / 16GB DDR4-2400 (2x8GB) / 1TB 7200 / E5-2620v4 2.1 2133 / 3yw / SuperMultiODD / USBBusinessSlimkbd / USBmouse / MCR / T7T60AA NVIDIA Quadro M2000 4GB Graphics   HP Z840
ЖК Монитор
ИБП
Пульт управления</v>
      </c>
      <c r="D12" s="248" t="str">
        <f>'Прил.5 Расчет СМР и ОБ'!D26</f>
        <v>шт</v>
      </c>
      <c r="E12" s="249">
        <f>'Прил.5 Расчет СМР и ОБ'!E26</f>
        <v>2</v>
      </c>
      <c r="F12" s="217">
        <f>'Прил.5 Расчет СМР и ОБ'!F26</f>
        <v>43258.79</v>
      </c>
      <c r="G12" s="231">
        <f>ROUND(E12*F12,2)</f>
        <v>86517.58</v>
      </c>
    </row>
    <row r="13" spans="1:7" ht="25.5" customHeight="1" x14ac:dyDescent="0.25">
      <c r="A13" s="284"/>
      <c r="B13" s="136"/>
      <c r="C13" s="136" t="s">
        <v>244</v>
      </c>
      <c r="D13" s="136"/>
      <c r="E13" s="287"/>
      <c r="F13" s="285"/>
      <c r="G13" s="231">
        <f>SUM(G12:G12)</f>
        <v>86517.58</v>
      </c>
    </row>
    <row r="14" spans="1:7" ht="19.5" customHeight="1" x14ac:dyDescent="0.25">
      <c r="A14" s="284"/>
      <c r="B14" s="136"/>
      <c r="C14" s="136" t="s">
        <v>245</v>
      </c>
      <c r="D14" s="136"/>
      <c r="E14" s="287"/>
      <c r="F14" s="285"/>
      <c r="G14" s="231">
        <f>G10+G13</f>
        <v>86517.58</v>
      </c>
    </row>
    <row r="15" spans="1:7" x14ac:dyDescent="0.25">
      <c r="A15" s="250"/>
      <c r="B15" s="251"/>
      <c r="C15" s="250"/>
      <c r="D15" s="250"/>
      <c r="E15" s="250"/>
      <c r="F15" s="250"/>
      <c r="G15" s="250"/>
    </row>
    <row r="16" spans="1:7" x14ac:dyDescent="0.25">
      <c r="A16" s="4" t="s">
        <v>237</v>
      </c>
      <c r="B16" s="14"/>
      <c r="C16" s="14"/>
      <c r="D16" s="250"/>
      <c r="E16" s="250"/>
      <c r="F16" s="250"/>
      <c r="G16" s="250"/>
    </row>
    <row r="17" spans="1:7" x14ac:dyDescent="0.25">
      <c r="A17" s="243" t="s">
        <v>76</v>
      </c>
      <c r="B17" s="14"/>
      <c r="C17" s="14"/>
      <c r="D17" s="250"/>
      <c r="E17" s="250"/>
      <c r="F17" s="250"/>
      <c r="G17" s="250"/>
    </row>
    <row r="18" spans="1:7" x14ac:dyDescent="0.25">
      <c r="A18" s="4"/>
      <c r="B18" s="14"/>
      <c r="C18" s="14"/>
      <c r="D18" s="250"/>
      <c r="E18" s="250"/>
      <c r="F18" s="250"/>
      <c r="G18" s="250"/>
    </row>
    <row r="19" spans="1:7" x14ac:dyDescent="0.25">
      <c r="A19" s="4" t="s">
        <v>238</v>
      </c>
      <c r="B19" s="14"/>
      <c r="C19" s="14"/>
      <c r="D19" s="250"/>
      <c r="E19" s="250"/>
      <c r="F19" s="250"/>
      <c r="G19" s="250"/>
    </row>
    <row r="20" spans="1:7" x14ac:dyDescent="0.25">
      <c r="A20" s="243" t="s">
        <v>78</v>
      </c>
      <c r="B20" s="14"/>
      <c r="C20" s="14"/>
      <c r="D20" s="250"/>
      <c r="E20" s="250"/>
      <c r="F20" s="250"/>
      <c r="G20" s="25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2023-11-24T11:09:37Z</cp:lastPrinted>
  <dcterms:created xsi:type="dcterms:W3CDTF">2020-09-30T08:50:27Z</dcterms:created>
  <dcterms:modified xsi:type="dcterms:W3CDTF">2023-11-24T11:09:54Z</dcterms:modified>
  <cp:category/>
</cp:coreProperties>
</file>