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1 500\500 кВ\"/>
    </mc:Choice>
  </mc:AlternateContent>
  <xr:revisionPtr revIDLastSave="0" documentId="13_ncr:1_{0DCD59A6-F54D-4859-AF53-BB7B778859AC}" xr6:coauthVersionLast="47" xr6:coauthVersionMax="47" xr10:uidLastSave="{00000000-0000-0000-0000-000000000000}"/>
  <bookViews>
    <workbookView xWindow="1980" yWindow="-120" windowWidth="26940" windowHeight="16440" tabRatio="924" firstSheet="3" activeTab="4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6" r:id="rId5"/>
    <sheet name="Прил. 3" sheetId="7" r:id="rId6"/>
    <sheet name="Прил.4 РМ" sheetId="8" r:id="rId7"/>
    <sheet name="Прил.5 Расчет СМР и ОБ" sheetId="9" r:id="rId8"/>
    <sheet name="Прил.6 Расчет ОБ" sheetId="10" r:id="rId9"/>
    <sheet name="Прил.7" sheetId="11" r:id="rId10"/>
    <sheet name="Прил. 10" sheetId="12" r:id="rId11"/>
    <sheet name="ФОТр.тек." sheetId="13" r:id="rId12"/>
    <sheet name="4.7 Прил.6 Расчет Прочие" sheetId="14" state="hidden" r:id="rId13"/>
    <sheet name="4.8 Прил. 6.1 Расчет ПНР" sheetId="15" state="hidden" r:id="rId14"/>
    <sheet name="4.9 Прил 6.2 Расчет ПИР" sheetId="16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3'!$A$1:$H$43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6">'Прил.4 РМ'!$A$1:$E$48</definedName>
    <definedName name="_xlnm.Print_Area" localSheetId="7">'Прил.5 Расчет СМР и ОБ'!$A$1:$J$64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Q23" i="16" l="1"/>
  <c r="H22" i="16"/>
  <c r="G22" i="16"/>
  <c r="P22" i="16" s="1"/>
  <c r="M21" i="16"/>
  <c r="L21" i="16"/>
  <c r="K21" i="16"/>
  <c r="J21" i="16"/>
  <c r="I21" i="16"/>
  <c r="H21" i="16"/>
  <c r="G21" i="16"/>
  <c r="P20" i="16"/>
  <c r="O20" i="16"/>
  <c r="N20" i="16"/>
  <c r="P19" i="16"/>
  <c r="O19" i="16"/>
  <c r="N19" i="16"/>
  <c r="R19" i="16" s="1"/>
  <c r="P18" i="16"/>
  <c r="O18" i="16"/>
  <c r="N18" i="16"/>
  <c r="F18" i="16"/>
  <c r="M17" i="16"/>
  <c r="L17" i="16"/>
  <c r="K17" i="16"/>
  <c r="I17" i="16"/>
  <c r="H17" i="16"/>
  <c r="G17" i="16"/>
  <c r="P16" i="16"/>
  <c r="O16" i="16"/>
  <c r="N16" i="16"/>
  <c r="P15" i="16"/>
  <c r="O15" i="16"/>
  <c r="N15" i="16"/>
  <c r="R15" i="16" s="1"/>
  <c r="P14" i="16"/>
  <c r="O14" i="16"/>
  <c r="N14" i="16"/>
  <c r="F14" i="16"/>
  <c r="M13" i="16"/>
  <c r="L13" i="16"/>
  <c r="K13" i="16"/>
  <c r="I13" i="16"/>
  <c r="H13" i="16"/>
  <c r="G13" i="16"/>
  <c r="P12" i="16"/>
  <c r="O12" i="16"/>
  <c r="N12" i="16"/>
  <c r="F12" i="16"/>
  <c r="M11" i="16"/>
  <c r="L11" i="16"/>
  <c r="K11" i="16"/>
  <c r="I11" i="16"/>
  <c r="H11" i="16"/>
  <c r="G11" i="16"/>
  <c r="F11" i="16" s="1"/>
  <c r="M10" i="16"/>
  <c r="M9" i="16" s="1"/>
  <c r="K10" i="16"/>
  <c r="K9" i="16" s="1"/>
  <c r="I10" i="16"/>
  <c r="I9" i="16" s="1"/>
  <c r="H10" i="16"/>
  <c r="H9" i="16" s="1"/>
  <c r="G10" i="16"/>
  <c r="N15" i="15"/>
  <c r="M15" i="15"/>
  <c r="L15" i="15"/>
  <c r="K15" i="15"/>
  <c r="D15" i="15"/>
  <c r="M14" i="15"/>
  <c r="L14" i="15"/>
  <c r="K14" i="15"/>
  <c r="H14" i="15"/>
  <c r="N14" i="15" s="1"/>
  <c r="O14" i="15" s="1"/>
  <c r="D14" i="15"/>
  <c r="N13" i="15"/>
  <c r="M13" i="15"/>
  <c r="L13" i="15"/>
  <c r="K13" i="15"/>
  <c r="D13" i="15"/>
  <c r="O12" i="15"/>
  <c r="J12" i="15"/>
  <c r="D12" i="15"/>
  <c r="N11" i="15"/>
  <c r="M11" i="15"/>
  <c r="L11" i="15"/>
  <c r="K11" i="15"/>
  <c r="D11" i="15"/>
  <c r="M10" i="15"/>
  <c r="I10" i="15"/>
  <c r="H10" i="15"/>
  <c r="N10" i="15" s="1"/>
  <c r="F10" i="15"/>
  <c r="L10" i="15" s="1"/>
  <c r="E10" i="15"/>
  <c r="K10" i="15" s="1"/>
  <c r="J10" i="15" s="1"/>
  <c r="M9" i="15"/>
  <c r="H9" i="15"/>
  <c r="N9" i="15" s="1"/>
  <c r="F9" i="15"/>
  <c r="L9" i="15" s="1"/>
  <c r="E9" i="15"/>
  <c r="G8" i="14"/>
  <c r="G19" i="14" s="1"/>
  <c r="G20" i="14" s="1"/>
  <c r="F8" i="14"/>
  <c r="F9" i="14" s="1"/>
  <c r="E8" i="14"/>
  <c r="E9" i="14" s="1"/>
  <c r="A3" i="14"/>
  <c r="E8" i="13"/>
  <c r="E13" i="13" s="1"/>
  <c r="I14" i="9" s="1"/>
  <c r="J14" i="9" s="1"/>
  <c r="J15" i="9" s="1"/>
  <c r="D5" i="11"/>
  <c r="C11" i="11" s="1"/>
  <c r="E12" i="10"/>
  <c r="D12" i="10"/>
  <c r="C12" i="10"/>
  <c r="B12" i="10"/>
  <c r="I50" i="9"/>
  <c r="J50" i="9" s="1"/>
  <c r="G50" i="9"/>
  <c r="I49" i="9"/>
  <c r="J49" i="9" s="1"/>
  <c r="G49" i="9"/>
  <c r="I48" i="9"/>
  <c r="J48" i="9" s="1"/>
  <c r="G48" i="9"/>
  <c r="I47" i="9"/>
  <c r="J47" i="9" s="1"/>
  <c r="G47" i="9"/>
  <c r="I46" i="9"/>
  <c r="J46" i="9" s="1"/>
  <c r="G46" i="9"/>
  <c r="I45" i="9"/>
  <c r="J45" i="9" s="1"/>
  <c r="G45" i="9"/>
  <c r="I44" i="9"/>
  <c r="J44" i="9" s="1"/>
  <c r="G44" i="9"/>
  <c r="I43" i="9"/>
  <c r="J43" i="9" s="1"/>
  <c r="G43" i="9"/>
  <c r="I42" i="9"/>
  <c r="J42" i="9" s="1"/>
  <c r="G42" i="9"/>
  <c r="I40" i="9"/>
  <c r="J40" i="9" s="1"/>
  <c r="G40" i="9"/>
  <c r="I39" i="9"/>
  <c r="J39" i="9" s="1"/>
  <c r="G39" i="9"/>
  <c r="I38" i="9"/>
  <c r="J38" i="9" s="1"/>
  <c r="G38" i="9"/>
  <c r="I37" i="9"/>
  <c r="J37" i="9" s="1"/>
  <c r="G37" i="9"/>
  <c r="I36" i="9"/>
  <c r="J36" i="9" s="1"/>
  <c r="G36" i="9"/>
  <c r="I35" i="9"/>
  <c r="J35" i="9" s="1"/>
  <c r="G35" i="9"/>
  <c r="I34" i="9"/>
  <c r="J34" i="9" s="1"/>
  <c r="G34" i="9"/>
  <c r="J27" i="9"/>
  <c r="J28" i="9" s="1"/>
  <c r="J30" i="9" s="1"/>
  <c r="C25" i="8" s="1"/>
  <c r="F27" i="9"/>
  <c r="H19" i="7" s="1"/>
  <c r="H18" i="7" s="1"/>
  <c r="I22" i="9"/>
  <c r="J22" i="9" s="1"/>
  <c r="J23" i="9" s="1"/>
  <c r="G22" i="9"/>
  <c r="G23" i="9" s="1"/>
  <c r="I20" i="9"/>
  <c r="J20" i="9" s="1"/>
  <c r="J21" i="9" s="1"/>
  <c r="C12" i="8" s="1"/>
  <c r="G20" i="9"/>
  <c r="G21" i="9" s="1"/>
  <c r="E17" i="9"/>
  <c r="E15" i="9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17" i="7"/>
  <c r="H16" i="7"/>
  <c r="H13" i="7"/>
  <c r="G17" i="9" s="1"/>
  <c r="F13" i="7"/>
  <c r="H12" i="7"/>
  <c r="H11" i="7"/>
  <c r="F10" i="7"/>
  <c r="F9" i="3"/>
  <c r="G4" i="3" s="1"/>
  <c r="C4" i="2"/>
  <c r="B4" i="2"/>
  <c r="A18" i="2" s="1"/>
  <c r="H10" i="7" l="1"/>
  <c r="G14" i="9" s="1"/>
  <c r="D9" i="15"/>
  <c r="H20" i="7"/>
  <c r="F21" i="16"/>
  <c r="J15" i="15"/>
  <c r="J13" i="15"/>
  <c r="F10" i="16"/>
  <c r="N13" i="16"/>
  <c r="N21" i="16"/>
  <c r="H15" i="7"/>
  <c r="K9" i="15"/>
  <c r="J9" i="15" s="1"/>
  <c r="O11" i="16"/>
  <c r="P17" i="16"/>
  <c r="O21" i="16"/>
  <c r="R21" i="16" s="1"/>
  <c r="G51" i="9"/>
  <c r="H12" i="14"/>
  <c r="I12" i="14" s="1"/>
  <c r="O11" i="15"/>
  <c r="P11" i="16"/>
  <c r="F12" i="10"/>
  <c r="G12" i="10" s="1"/>
  <c r="G13" i="10" s="1"/>
  <c r="H16" i="14"/>
  <c r="I16" i="14" s="1"/>
  <c r="O9" i="15"/>
  <c r="O13" i="15"/>
  <c r="J14" i="15"/>
  <c r="O15" i="15"/>
  <c r="N10" i="16"/>
  <c r="O13" i="16"/>
  <c r="P21" i="16"/>
  <c r="D10" i="15"/>
  <c r="J11" i="15"/>
  <c r="O10" i="16"/>
  <c r="P10" i="16"/>
  <c r="N11" i="16"/>
  <c r="F13" i="16"/>
  <c r="P13" i="16"/>
  <c r="N17" i="16"/>
  <c r="O17" i="16"/>
  <c r="C11" i="8"/>
  <c r="C13" i="8"/>
  <c r="J24" i="9"/>
  <c r="G15" i="9"/>
  <c r="H14" i="9" s="1"/>
  <c r="J51" i="9"/>
  <c r="C17" i="8" s="1"/>
  <c r="F17" i="9"/>
  <c r="I17" i="9" s="1"/>
  <c r="J17" i="9" s="1"/>
  <c r="C15" i="8" s="1"/>
  <c r="G6" i="3"/>
  <c r="D6" i="3" s="1"/>
  <c r="G5" i="3"/>
  <c r="G8" i="3"/>
  <c r="D8" i="3" s="1"/>
  <c r="G7" i="3"/>
  <c r="D7" i="3" s="1"/>
  <c r="G24" i="9"/>
  <c r="H21" i="9" s="1"/>
  <c r="H17" i="14"/>
  <c r="I17" i="14" s="1"/>
  <c r="E11" i="14"/>
  <c r="I11" i="14" s="1"/>
  <c r="I9" i="14"/>
  <c r="C11" i="2"/>
  <c r="C18" i="2" s="1"/>
  <c r="J41" i="9"/>
  <c r="G14" i="10"/>
  <c r="G31" i="9"/>
  <c r="J31" i="9" s="1"/>
  <c r="C26" i="8" s="1"/>
  <c r="O10" i="15"/>
  <c r="F17" i="16"/>
  <c r="F22" i="16"/>
  <c r="G41" i="9"/>
  <c r="N22" i="16"/>
  <c r="O22" i="16"/>
  <c r="G27" i="9"/>
  <c r="I8" i="14"/>
  <c r="G9" i="16"/>
  <c r="N9" i="16" s="1"/>
  <c r="O16" i="15" l="1"/>
  <c r="R13" i="16"/>
  <c r="R11" i="16"/>
  <c r="R17" i="16"/>
  <c r="N23" i="16"/>
  <c r="G52" i="9"/>
  <c r="G53" i="9" s="1"/>
  <c r="H20" i="9"/>
  <c r="D5" i="3"/>
  <c r="G9" i="3"/>
  <c r="H23" i="9"/>
  <c r="D55" i="9"/>
  <c r="F9" i="16"/>
  <c r="O9" i="16"/>
  <c r="O23" i="16" s="1"/>
  <c r="J52" i="9"/>
  <c r="J53" i="9" s="1"/>
  <c r="C16" i="8"/>
  <c r="C18" i="8" s="1"/>
  <c r="C12" i="2"/>
  <c r="D18" i="2" s="1"/>
  <c r="H22" i="9"/>
  <c r="J14" i="14"/>
  <c r="D14" i="14" s="1"/>
  <c r="H14" i="14" s="1"/>
  <c r="G28" i="9"/>
  <c r="D54" i="9"/>
  <c r="C14" i="8"/>
  <c r="E19" i="14"/>
  <c r="E20" i="14" s="1"/>
  <c r="P9" i="16"/>
  <c r="P23" i="16" s="1"/>
  <c r="H41" i="9" l="1"/>
  <c r="C19" i="8"/>
  <c r="I14" i="14"/>
  <c r="H19" i="14"/>
  <c r="H20" i="14" s="1"/>
  <c r="G30" i="9"/>
  <c r="G56" i="9"/>
  <c r="C21" i="8"/>
  <c r="C20" i="8" s="1"/>
  <c r="J55" i="9"/>
  <c r="H52" i="9"/>
  <c r="H40" i="9"/>
  <c r="H36" i="9"/>
  <c r="H50" i="9"/>
  <c r="H39" i="9"/>
  <c r="H35" i="9"/>
  <c r="H45" i="9"/>
  <c r="H42" i="9"/>
  <c r="H51" i="9"/>
  <c r="H49" i="9"/>
  <c r="H48" i="9"/>
  <c r="H43" i="9"/>
  <c r="H37" i="9"/>
  <c r="H47" i="9"/>
  <c r="H46" i="9"/>
  <c r="H34" i="9"/>
  <c r="H44" i="9"/>
  <c r="H38" i="9"/>
  <c r="R9" i="16"/>
  <c r="J54" i="9"/>
  <c r="C23" i="8"/>
  <c r="C22" i="8" s="1"/>
  <c r="R23" i="16"/>
  <c r="J56" i="9" l="1"/>
  <c r="J57" i="9" s="1"/>
  <c r="J58" i="9" s="1"/>
  <c r="H29" i="9"/>
  <c r="H27" i="9"/>
  <c r="H28" i="9"/>
  <c r="I19" i="14"/>
  <c r="G57" i="9"/>
  <c r="C24" i="8"/>
  <c r="D20" i="8" s="1"/>
  <c r="H30" i="9" l="1"/>
  <c r="I20" i="14"/>
  <c r="I21" i="14" s="1"/>
  <c r="C29" i="8"/>
  <c r="C30" i="8" s="1"/>
  <c r="D24" i="8"/>
  <c r="C27" i="8"/>
  <c r="D12" i="8"/>
  <c r="D15" i="8"/>
  <c r="D17" i="8"/>
  <c r="D11" i="8"/>
  <c r="D13" i="8"/>
  <c r="D18" i="8"/>
  <c r="D16" i="8"/>
  <c r="D14" i="8"/>
  <c r="G58" i="9"/>
  <c r="D22" i="8"/>
  <c r="C36" i="8" l="1"/>
  <c r="C37" i="8"/>
  <c r="C38" i="8" l="1"/>
  <c r="C39" i="8" l="1"/>
  <c r="E39" i="8" l="1"/>
  <c r="C40" i="8"/>
  <c r="E32" i="8" l="1"/>
  <c r="E31" i="8"/>
  <c r="E35" i="8"/>
  <c r="C41" i="8"/>
  <c r="D11" i="11" s="1"/>
  <c r="E40" i="8"/>
  <c r="E33" i="8"/>
  <c r="E34" i="8"/>
  <c r="E25" i="8"/>
  <c r="E12" i="8"/>
  <c r="E15" i="8"/>
  <c r="E26" i="8"/>
  <c r="E17" i="8"/>
  <c r="E11" i="8"/>
  <c r="E13" i="8"/>
  <c r="E16" i="8"/>
  <c r="E18" i="8"/>
  <c r="E14" i="8"/>
  <c r="E20" i="8"/>
  <c r="E22" i="8"/>
  <c r="E24" i="8"/>
  <c r="E30" i="8"/>
  <c r="E27" i="8"/>
  <c r="E29" i="8"/>
  <c r="E37" i="8"/>
  <c r="E36" i="8"/>
  <c r="E38" i="8"/>
  <c r="C10" i="1"/>
  <c r="C9" i="2"/>
  <c r="B18" i="2" s="1"/>
  <c r="C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  <family val="2"/>
            <charset val="204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D00-000001000000}">
      <text>
        <r>
          <rPr>
            <b/>
            <sz val="9"/>
            <color rgb="FF000000"/>
            <rFont val="Tahoma"/>
            <family val="2"/>
            <charset val="204"/>
          </rPr>
          <t>Принимаем процент согласно РГН вкладка "Индексы и нормы"</t>
        </r>
      </text>
    </comment>
    <comment ref="D14" authorId="0" shapeId="0" xr:uid="{00000000-0006-0000-0D00-000002000000}">
      <text>
        <r>
          <rPr>
            <b/>
            <sz val="9"/>
            <color rgb="FF000000"/>
            <rFont val="Tahoma"/>
            <family val="2"/>
            <charset val="204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<sst xmlns="http://schemas.openxmlformats.org/spreadsheetml/2006/main" count="634" uniqueCount="408">
  <si>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</si>
  <si>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</si>
  <si>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</si>
  <si>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</si>
  <si>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  <family val="2"/>
        <charset val="204"/>
      </rPr>
      <t>Единица измерения:</t>
    </r>
    <r>
      <rPr>
        <sz val="11"/>
        <color rgb="FF000000"/>
        <rFont val="Calibri"/>
        <family val="2"/>
        <charset val="204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</si>
  <si>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</si>
  <si>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</si>
  <si>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</si>
  <si>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</si>
  <si>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</si>
  <si>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</si>
  <si>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</si>
  <si>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</si>
  <si>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</si>
  <si>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</si>
  <si>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</si>
  <si>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</si>
  <si>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</si>
  <si>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</si>
  <si>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</si>
  <si>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</si>
  <si>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</si>
  <si>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</si>
  <si>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</si>
  <si>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</si>
  <si>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</si>
  <si>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</si>
  <si>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</si>
  <si>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</si>
  <si>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</si>
  <si>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</si>
  <si>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</si>
  <si>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</si>
  <si>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</si>
  <si>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</si>
  <si>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</si>
  <si>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</si>
  <si>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</si>
  <si>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</si>
  <si>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</si>
  <si>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</si>
  <si>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</si>
  <si>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</si>
  <si>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</si>
  <si>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</si>
  <si>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</si>
  <si>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</si>
  <si>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</si>
  <si>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</si>
  <si>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</si>
  <si>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</si>
  <si>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</si>
  <si>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</si>
  <si>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</si>
  <si>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АРМ - 2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</si>
  <si>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</si>
  <si>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</si>
  <si>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</si>
  <si>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</si>
  <si>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</si>
  <si>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</si>
  <si>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</si>
  <si>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</si>
  <si>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</si>
  <si>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</si>
  <si>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</si>
  <si>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</si>
  <si>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</si>
  <si>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</si>
  <si>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</si>
  <si>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</si>
  <si>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</si>
  <si>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</si>
  <si>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</si>
  <si>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</si>
  <si>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</si>
  <si>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</si>
  <si>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</si>
  <si>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</si>
  <si>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</si>
  <si>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</si>
  <si>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</si>
  <si>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</si>
  <si>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</si>
  <si>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</si>
  <si>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</si>
  <si>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</si>
  <si>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</si>
  <si>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</si>
  <si>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</si>
  <si>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</si>
  <si>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</si>
  <si>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</si>
  <si>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Строительный контроль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</si>
  <si>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</si>
  <si>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</si>
  <si>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</si>
  <si>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</si>
  <si>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</si>
  <si>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</si>
  <si>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</si>
  <si>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</si>
  <si>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</si>
  <si>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</si>
  <si>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</si>
  <si>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</si>
  <si>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</si>
  <si>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</si>
  <si>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</si>
  <si>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</si>
  <si>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</si>
  <si>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</si>
  <si>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</si>
  <si>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</si>
  <si>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</si>
  <si>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</si>
  <si>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</si>
  <si>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</si>
  <si>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</si>
  <si>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</si>
  <si>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</si>
  <si>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</si>
  <si>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</si>
  <si>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</si>
  <si>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</si>
  <si>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</si>
  <si>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</si>
  <si>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</si>
  <si>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1-3-0</t>
  </si>
  <si>
    <t>Затраты труда рабочих (ср 3)</t>
  </si>
  <si>
    <t>Затраты труда машинистов</t>
  </si>
  <si>
    <t>Машины и механизмы</t>
  </si>
  <si>
    <t>91.14.02-001</t>
  </si>
  <si>
    <t>Автомобили бортовые, грузоподъемность до 5 т</t>
  </si>
  <si>
    <t>маш.час</t>
  </si>
  <si>
    <t>91.06.05-011</t>
  </si>
  <si>
    <t>Погрузчики, грузоподъемность 5 т</t>
  </si>
  <si>
    <t>Рабочая станция HP T4K63EA Z840 / Win10p64DowngradeWin764 / 16GB DDR4-2400 (2x8GB) / 1TB 7200 / E5-2620v4 2.1 2133 / 3yw / SuperMultiODD / USBBusinessSlimkbd / USBmouse / MCR / T7T60AA NVIDIA Quadro M2000 4GB Graphics   HP Z840</t>
  </si>
  <si>
    <t>шт</t>
  </si>
  <si>
    <t>Материалы</t>
  </si>
  <si>
    <t>14.3.02.01-0219</t>
  </si>
  <si>
    <t>Краска универсальная, акриловая для внутренних и наружных работ</t>
  </si>
  <si>
    <t>т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</si>
  <si>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</si>
  <si>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</si>
  <si>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01.7.20.04-0003</t>
  </si>
  <si>
    <t>Нитки суровые</t>
  </si>
  <si>
    <t>кг</t>
  </si>
  <si>
    <t>20.2.10.03-0020</t>
  </si>
  <si>
    <t>Наконечники кабельные П2.5-4Д-МУ3</t>
  </si>
  <si>
    <t>100 шт</t>
  </si>
  <si>
    <t>01.7.15.02-0084</t>
  </si>
  <si>
    <t>Болты с шестигранной головкой, диаметр 12 (14) мм</t>
  </si>
  <si>
    <t>999-9950</t>
  </si>
  <si>
    <t>Вспомогательные ненормируемые ресурсы (2% от Оплаты труда рабочих)</t>
  </si>
  <si>
    <t>руб</t>
  </si>
  <si>
    <t>10.2.02.08-0001</t>
  </si>
  <si>
    <t>Проволока медная, круглая, мягкая, электротехническая, диаметр 1,0-3,0 мм и выше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</si>
  <si>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</si>
  <si>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</si>
  <si>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</si>
  <si>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</si>
  <si>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01.7.19.07-0003</t>
  </si>
  <si>
    <t>Резина прессованная</t>
  </si>
  <si>
    <t>01.7.11.06-0028</t>
  </si>
  <si>
    <t>Флюс ФКДТ</t>
  </si>
  <si>
    <t>01.7.05.03-0006</t>
  </si>
  <si>
    <t>Лакоткани стеклянные ЛСК-155/180, ширина 690, 790, 890, 940, 990, 1060, 1140 мм, толщина 0,08 мм</t>
  </si>
  <si>
    <t>10 м2</t>
  </si>
  <si>
    <t>01.7.06.03-0023</t>
  </si>
  <si>
    <t>Лента полиэтиленовая с липким слоем, марка А</t>
  </si>
  <si>
    <t>24.3.01.01-0004</t>
  </si>
  <si>
    <t>Трубка электроизоляционная ПВХ-305, диаметр 6-10 мм</t>
  </si>
  <si>
    <t>01.7.07.03-0007</t>
  </si>
  <si>
    <t>Воск полиэтиленовый неокисленный ПВ-25, ПВ-100, ПВ-200, ПВ-300, ПВ-500</t>
  </si>
  <si>
    <t>999-0005</t>
  </si>
  <si>
    <t>Масса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</si>
  <si>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</si>
  <si>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</si>
  <si>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</si>
  <si>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</si>
  <si>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</si>
  <si>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</si>
  <si>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</si>
  <si>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</si>
  <si>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</si>
  <si>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</si>
  <si>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</si>
  <si>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</si>
  <si>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</si>
  <si>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</si>
  <si>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</si>
  <si>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</si>
  <si>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</si>
  <si>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</si>
  <si>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</si>
  <si>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</si>
  <si>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</si>
  <si>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</si>
  <si>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</si>
  <si>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</si>
  <si>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</si>
  <si>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</si>
  <si>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</si>
  <si>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</si>
  <si>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</si>
  <si>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</si>
  <si>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</si>
  <si>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</si>
  <si>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</si>
  <si>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</si>
  <si>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БЦ.54.24</t>
  </si>
  <si>
    <t>Рабочая станция HP T4K63EA Z840 / Win10p64DowngradeWin764 / 16GB DDR4-2400 (2x8GB) / 1TB 7200 / E5-2620v4 2.1 2133 / 3yw / SuperMultiODD / USBBusinessSlimkbd / USBmouse / MCR / T7T60AA NVIDIA Quadro M2000 4GB Graphics   HP Z840
ЖК Монитор
ИБП
Пульт управления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</si>
  <si>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</si>
  <si>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</si>
  <si>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</si>
  <si>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</si>
  <si>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</si>
  <si>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</si>
  <si>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</si>
  <si>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</si>
  <si>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</si>
  <si>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</si>
  <si>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</si>
  <si>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</si>
  <si>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</si>
  <si>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</si>
  <si>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  <family val="2"/>
        <charset val="204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</si>
  <si>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</si>
  <si>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</si>
  <si>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</si>
  <si>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</si>
  <si>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</si>
  <si>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</si>
  <si>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</si>
  <si>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</si>
  <si>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</si>
  <si>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</si>
  <si>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</si>
  <si>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</si>
  <si>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</si>
  <si>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</si>
  <si>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</si>
  <si>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</si>
  <si>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</si>
  <si>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</si>
  <si>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</si>
  <si>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</si>
  <si>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</si>
  <si>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</si>
  <si>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</si>
  <si>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</si>
  <si>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</si>
  <si>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</si>
  <si>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</si>
  <si>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</si>
  <si>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</si>
  <si>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</si>
  <si>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</si>
  <si>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</si>
  <si>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</si>
  <si>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</si>
  <si>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</si>
  <si>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</si>
  <si>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</si>
  <si>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</si>
  <si>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</si>
  <si>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</si>
  <si>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</si>
  <si>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</si>
  <si>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</si>
  <si>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</si>
  <si>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</si>
  <si>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</si>
  <si>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</si>
  <si>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</si>
  <si>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</si>
  <si>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</si>
  <si>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</si>
  <si>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</si>
  <si>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</si>
  <si>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</si>
  <si>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</si>
  <si>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</si>
  <si>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</si>
  <si>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</si>
  <si>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</si>
  <si>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</si>
  <si>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</si>
  <si>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</si>
  <si>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</si>
  <si>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</si>
  <si>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</si>
  <si>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</si>
  <si>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</si>
  <si>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</si>
  <si>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</si>
  <si>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</si>
  <si>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</si>
  <si>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</si>
  <si>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</si>
  <si>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</si>
  <si>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</si>
  <si>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</si>
  <si>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</si>
  <si>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</si>
  <si>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</si>
  <si>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</si>
  <si>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</si>
  <si>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</si>
  <si>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</si>
  <si>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</si>
  <si>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</si>
  <si>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</si>
  <si>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</si>
  <si>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</si>
  <si>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</si>
  <si>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</si>
  <si>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</si>
  <si>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</si>
  <si>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</si>
  <si>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</si>
  <si>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</si>
  <si>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</si>
  <si>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</si>
  <si>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</si>
  <si>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</si>
  <si>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</si>
  <si>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</si>
  <si>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</si>
  <si>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</si>
  <si>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</si>
  <si>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</si>
  <si>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</si>
  <si>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</si>
  <si>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</si>
  <si>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</si>
  <si>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</si>
  <si>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</si>
  <si>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</si>
  <si>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</si>
  <si>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</si>
  <si>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</si>
  <si>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</si>
  <si>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</si>
  <si>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</si>
  <si>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</si>
  <si>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</si>
  <si>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</si>
  <si>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</si>
  <si>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</si>
  <si>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</si>
  <si>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</si>
  <si>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</si>
  <si>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</si>
  <si>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</si>
  <si>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</si>
  <si>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</si>
  <si>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</si>
  <si>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</si>
  <si>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</si>
  <si>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</si>
  <si>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</si>
  <si>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</si>
  <si>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</si>
  <si>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</si>
  <si>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</si>
  <si>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</si>
  <si>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</si>
  <si>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</si>
  <si>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</si>
  <si>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</si>
  <si>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</si>
  <si>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</si>
  <si>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</si>
  <si>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</si>
  <si>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</si>
  <si>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</si>
  <si>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</si>
  <si>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</si>
  <si>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</si>
  <si>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</si>
  <si>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</si>
  <si>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</si>
  <si>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</si>
  <si>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</si>
  <si>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</si>
  <si>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</si>
  <si>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</si>
  <si>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1 ПС</t>
  </si>
  <si>
    <t>Единица измерения  — 1 ПС</t>
  </si>
  <si>
    <t>Единица измерения  — ПС</t>
  </si>
  <si>
    <t>Прайс из СД ОП</t>
  </si>
  <si>
    <t>ПС 500 кВ Белобережская</t>
  </si>
  <si>
    <t>Брянская область</t>
  </si>
  <si>
    <t>IIIВ</t>
  </si>
  <si>
    <t>Наименование разрабатываемого показателя УНЦ — Постоянная часть ПС, АРМ ПС 500 кВ</t>
  </si>
  <si>
    <t>Наименование разрабатываемого показателя УНЦ —  Постоянная часть ПС, АРМ ПС 500 кВ</t>
  </si>
  <si>
    <t>Наименование разрабатываемого показателя УНЦ - Постоянная часть ПС, АРМ ПС 500 кВ</t>
  </si>
  <si>
    <t>Постоянная часть ПС, АРМ ПС 500 кВ</t>
  </si>
  <si>
    <t>З1-05</t>
  </si>
  <si>
    <t>УНЦ постоянной части ПС 500 кВ</t>
  </si>
  <si>
    <t xml:space="preserve">Объект-представитель </t>
  </si>
  <si>
    <t>Сметная стоимость в уровне цен 4 кв. 2018 г., тыс. руб.</t>
  </si>
  <si>
    <t>Всего по объекту в сопоставимом уровне цен 4 кв. 2018 г:</t>
  </si>
  <si>
    <t>АРМ ПС 500 кВ</t>
  </si>
  <si>
    <t>Сопоставимый уровень цен: 4 квартал 2018 г</t>
  </si>
  <si>
    <t>4 квартал 2018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</si>
</sst>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0.000"/>
  </numFmts>
  <fonts count="33" x14ac:knownFonts="1">
    <font>
      <sz val="11"/>
      <color rgb="FF000000"/>
      <name val="Calibri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i/>
      <sz val="8"/>
      <color rgb="FFFF0000"/>
      <name val="Arial"/>
      <family val="2"/>
      <charset val="204"/>
    </font>
    <font>
      <i/>
      <sz val="8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9"/>
      <color rgb="FFFF000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FF99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  <font>
      <u/>
      <sz val="10"/>
      <color rgb="FF000000"/>
      <name val="Arial"/>
      <family val="2"/>
      <charset val="204"/>
    </font>
    <font>
      <i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9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1" fillId="0" borderId="0"/>
  </cellStyleXfs>
  <cellXfs count="30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32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right" vertical="center" wrapText="1"/>
    </xf>
    <xf numFmtId="10" fontId="1" fillId="4" borderId="8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/>
    </xf>
    <xf numFmtId="4" fontId="16" fillId="0" borderId="7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wrapText="1"/>
    </xf>
    <xf numFmtId="4" fontId="19" fillId="0" borderId="2" xfId="0" applyNumberFormat="1" applyFont="1" applyBorder="1" applyAlignment="1">
      <alignment horizontal="center" vertical="center" wrapText="1"/>
    </xf>
    <xf numFmtId="4" fontId="19" fillId="0" borderId="7" xfId="0" applyNumberFormat="1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center" wrapText="1"/>
    </xf>
  </cellXfs>
  <cellStyles count="2">
    <cellStyle name="Обычный" xfId="0" builtinId="0"/>
    <cellStyle name="Обычный 2" xfId="1" xr:uid="{E9597501-1790-4AA9-B617-1193D24F47E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4" t="s">
        <v>0</v>
      </c>
      <c r="B2" s="204"/>
      <c r="C2" s="204"/>
    </row>
    <row r="3" spans="1:3" x14ac:dyDescent="0.25">
      <c r="A3" s="1"/>
      <c r="B3" s="1"/>
      <c r="C3" s="1"/>
    </row>
    <row r="4" spans="1:3" x14ac:dyDescent="0.25">
      <c r="A4" s="205" t="s">
        <v>1</v>
      </c>
      <c r="B4" s="205"/>
      <c r="C4" s="205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06" t="s">
        <v>3</v>
      </c>
      <c r="C6" s="206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D17"/>
  <sheetViews>
    <sheetView view="pageBreakPreview" workbookViewId="0">
      <selection activeCell="C13" sqref="C13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1"/>
      <c r="B1" s="111"/>
      <c r="C1" s="111"/>
      <c r="D1" s="111" t="s">
        <v>235</v>
      </c>
    </row>
    <row r="2" spans="1:4" ht="15.75" customHeight="1" x14ac:dyDescent="0.25">
      <c r="A2" s="111"/>
      <c r="B2" s="111"/>
      <c r="C2" s="111"/>
      <c r="D2" s="111"/>
    </row>
    <row r="3" spans="1:4" ht="15.75" customHeight="1" x14ac:dyDescent="0.25">
      <c r="A3" s="111"/>
      <c r="B3" s="132" t="s">
        <v>236</v>
      </c>
      <c r="C3" s="111"/>
      <c r="D3" s="111"/>
    </row>
    <row r="4" spans="1:4" ht="15.75" customHeight="1" x14ac:dyDescent="0.25">
      <c r="A4" s="111"/>
      <c r="B4" s="111"/>
      <c r="C4" s="111"/>
      <c r="D4" s="111"/>
    </row>
    <row r="5" spans="1:4" ht="31.5" customHeight="1" x14ac:dyDescent="0.25">
      <c r="A5" s="255" t="s">
        <v>237</v>
      </c>
      <c r="B5" s="255"/>
      <c r="C5" s="255"/>
      <c r="D5" s="201" t="str">
        <f>'Прил.5 Расчет СМР и ОБ'!D6:J6</f>
        <v>Постоянная часть ПС, АРМ ПС 500 кВ</v>
      </c>
    </row>
    <row r="6" spans="1:4" ht="15.75" customHeight="1" x14ac:dyDescent="0.25">
      <c r="A6" s="111" t="s">
        <v>391</v>
      </c>
      <c r="B6" s="111"/>
      <c r="C6" s="111"/>
      <c r="D6" s="111"/>
    </row>
    <row r="7" spans="1:4" ht="15.75" customHeight="1" x14ac:dyDescent="0.25">
      <c r="A7" s="111"/>
      <c r="B7" s="111"/>
      <c r="C7" s="111"/>
      <c r="D7" s="111"/>
    </row>
    <row r="8" spans="1:4" x14ac:dyDescent="0.25">
      <c r="A8" s="217" t="s">
        <v>5</v>
      </c>
      <c r="B8" s="217" t="s">
        <v>6</v>
      </c>
      <c r="C8" s="217" t="s">
        <v>238</v>
      </c>
      <c r="D8" s="217" t="s">
        <v>239</v>
      </c>
    </row>
    <row r="9" spans="1:4" x14ac:dyDescent="0.25">
      <c r="A9" s="217"/>
      <c r="B9" s="217"/>
      <c r="C9" s="217"/>
      <c r="D9" s="217"/>
    </row>
    <row r="10" spans="1:4" ht="15.75" customHeight="1" x14ac:dyDescent="0.25">
      <c r="A10" s="120">
        <v>1</v>
      </c>
      <c r="B10" s="120">
        <v>2</v>
      </c>
      <c r="C10" s="120">
        <v>3</v>
      </c>
      <c r="D10" s="120">
        <v>4</v>
      </c>
    </row>
    <row r="11" spans="1:4" ht="63" customHeight="1" x14ac:dyDescent="0.25">
      <c r="A11" s="120" t="s">
        <v>400</v>
      </c>
      <c r="B11" s="120" t="s">
        <v>401</v>
      </c>
      <c r="C11" s="202" t="str">
        <f>D5</f>
        <v>Постоянная часть ПС, АРМ ПС 500 кВ</v>
      </c>
      <c r="D11" s="170">
        <f>'Прил.4 РМ'!C41/1000</f>
        <v>619.90382999999997</v>
      </c>
    </row>
    <row r="13" spans="1:4" x14ac:dyDescent="0.25">
      <c r="A13" s="4" t="s">
        <v>240</v>
      </c>
      <c r="B13" s="12"/>
      <c r="C13" s="12"/>
      <c r="D13" s="25"/>
    </row>
    <row r="14" spans="1:4" x14ac:dyDescent="0.25">
      <c r="A14" s="161" t="s">
        <v>69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70</v>
      </c>
      <c r="B16" s="12"/>
      <c r="C16" s="12"/>
      <c r="D16" s="25"/>
    </row>
    <row r="17" spans="1:4" x14ac:dyDescent="0.25">
      <c r="A17" s="161" t="s">
        <v>71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4:E31"/>
  <sheetViews>
    <sheetView zoomScale="85" zoomScaleNormal="85" workbookViewId="0">
      <selection activeCell="H24" sqref="H24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1" t="s">
        <v>241</v>
      </c>
      <c r="C4" s="211"/>
      <c r="D4" s="211"/>
    </row>
    <row r="5" spans="2:5" ht="18.75" customHeight="1" x14ac:dyDescent="0.25">
      <c r="B5" s="164"/>
    </row>
    <row r="6" spans="2:5" ht="15.75" customHeight="1" x14ac:dyDescent="0.25">
      <c r="B6" s="212" t="s">
        <v>242</v>
      </c>
      <c r="C6" s="212"/>
      <c r="D6" s="212"/>
    </row>
    <row r="7" spans="2:5" x14ac:dyDescent="0.25">
      <c r="B7" s="256"/>
      <c r="C7" s="256"/>
      <c r="D7" s="256"/>
      <c r="E7" s="256"/>
    </row>
    <row r="8" spans="2:5" x14ac:dyDescent="0.25">
      <c r="B8" s="184"/>
      <c r="C8" s="184"/>
      <c r="D8" s="184"/>
      <c r="E8" s="184"/>
    </row>
    <row r="9" spans="2:5" ht="47.25" customHeight="1" x14ac:dyDescent="0.25">
      <c r="B9" s="120" t="s">
        <v>243</v>
      </c>
      <c r="C9" s="120" t="s">
        <v>244</v>
      </c>
      <c r="D9" s="120" t="s">
        <v>245</v>
      </c>
    </row>
    <row r="10" spans="2:5" ht="15.75" customHeight="1" x14ac:dyDescent="0.25">
      <c r="B10" s="120">
        <v>1</v>
      </c>
      <c r="C10" s="120">
        <v>2</v>
      </c>
      <c r="D10" s="120">
        <v>3</v>
      </c>
    </row>
    <row r="11" spans="2:5" ht="45" customHeight="1" x14ac:dyDescent="0.25">
      <c r="B11" s="120" t="s">
        <v>246</v>
      </c>
      <c r="C11" s="120" t="s">
        <v>247</v>
      </c>
      <c r="D11" s="120">
        <v>44.29</v>
      </c>
    </row>
    <row r="12" spans="2:5" ht="29.25" customHeight="1" x14ac:dyDescent="0.25">
      <c r="B12" s="120" t="s">
        <v>248</v>
      </c>
      <c r="C12" s="120" t="s">
        <v>247</v>
      </c>
      <c r="D12" s="120">
        <v>13.47</v>
      </c>
    </row>
    <row r="13" spans="2:5" ht="29.25" customHeight="1" x14ac:dyDescent="0.25">
      <c r="B13" s="120" t="s">
        <v>249</v>
      </c>
      <c r="C13" s="120" t="s">
        <v>247</v>
      </c>
      <c r="D13" s="120">
        <v>8.0399999999999991</v>
      </c>
    </row>
    <row r="14" spans="2:5" ht="30.75" customHeight="1" x14ac:dyDescent="0.25">
      <c r="B14" s="120" t="s">
        <v>250</v>
      </c>
      <c r="C14" s="115" t="s">
        <v>251</v>
      </c>
      <c r="D14" s="120">
        <v>6.26</v>
      </c>
    </row>
    <row r="15" spans="2:5" ht="89.25" customHeight="1" x14ac:dyDescent="0.25">
      <c r="B15" s="120" t="s">
        <v>252</v>
      </c>
      <c r="C15" s="120" t="s">
        <v>253</v>
      </c>
      <c r="D15" s="165">
        <v>3.9E-2</v>
      </c>
    </row>
    <row r="16" spans="2:5" ht="78.75" customHeight="1" x14ac:dyDescent="0.25">
      <c r="B16" s="120" t="s">
        <v>254</v>
      </c>
      <c r="C16" s="120" t="s">
        <v>255</v>
      </c>
      <c r="D16" s="165">
        <v>2.1000000000000001E-2</v>
      </c>
    </row>
    <row r="17" spans="2:4" ht="34.5" customHeight="1" x14ac:dyDescent="0.25">
      <c r="B17" s="120"/>
      <c r="C17" s="120"/>
      <c r="D17" s="120"/>
    </row>
    <row r="18" spans="2:4" ht="31.5" customHeight="1" x14ac:dyDescent="0.25">
      <c r="B18" s="120" t="s">
        <v>93</v>
      </c>
      <c r="C18" s="120" t="s">
        <v>256</v>
      </c>
      <c r="D18" s="165">
        <v>2.1399999999999999E-2</v>
      </c>
    </row>
    <row r="19" spans="2:4" ht="31.5" customHeight="1" x14ac:dyDescent="0.25">
      <c r="B19" s="120" t="s">
        <v>189</v>
      </c>
      <c r="C19" s="120" t="s">
        <v>257</v>
      </c>
      <c r="D19" s="165">
        <v>2E-3</v>
      </c>
    </row>
    <row r="20" spans="2:4" ht="24" customHeight="1" x14ac:dyDescent="0.25">
      <c r="B20" s="120" t="s">
        <v>95</v>
      </c>
      <c r="C20" s="120" t="s">
        <v>258</v>
      </c>
      <c r="D20" s="165">
        <v>0.03</v>
      </c>
    </row>
    <row r="21" spans="2:4" ht="18.75" customHeight="1" x14ac:dyDescent="0.25">
      <c r="B21" s="166"/>
    </row>
    <row r="22" spans="2:4" ht="18.75" customHeight="1" x14ac:dyDescent="0.25">
      <c r="B22" s="166"/>
    </row>
    <row r="23" spans="2:4" ht="18.75" customHeight="1" x14ac:dyDescent="0.25">
      <c r="B23" s="166"/>
    </row>
    <row r="24" spans="2:4" ht="18.75" customHeight="1" x14ac:dyDescent="0.25">
      <c r="B24" s="166"/>
    </row>
    <row r="27" spans="2:4" x14ac:dyDescent="0.25">
      <c r="B27" s="4" t="s">
        <v>259</v>
      </c>
      <c r="C27" s="12"/>
    </row>
    <row r="28" spans="2:4" x14ac:dyDescent="0.25">
      <c r="B28" s="161" t="s">
        <v>69</v>
      </c>
      <c r="C28" s="12"/>
    </row>
    <row r="29" spans="2:4" x14ac:dyDescent="0.25">
      <c r="B29" s="4"/>
      <c r="C29" s="12"/>
    </row>
    <row r="30" spans="2:4" x14ac:dyDescent="0.25">
      <c r="B30" s="4" t="s">
        <v>227</v>
      </c>
      <c r="C30" s="12"/>
    </row>
    <row r="31" spans="2:4" x14ac:dyDescent="0.25">
      <c r="B31" s="161" t="s">
        <v>71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N7" sqref="N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2" t="s">
        <v>260</v>
      </c>
      <c r="B2" s="212"/>
      <c r="C2" s="212"/>
      <c r="D2" s="212"/>
      <c r="E2" s="212"/>
      <c r="F2" s="212"/>
    </row>
    <row r="4" spans="1:7" ht="18" customHeight="1" x14ac:dyDescent="0.25">
      <c r="A4" s="167" t="s">
        <v>261</v>
      </c>
      <c r="B4" s="111"/>
      <c r="C4" s="111"/>
      <c r="D4" s="111"/>
      <c r="E4" s="111"/>
      <c r="F4" s="111"/>
      <c r="G4" s="111"/>
    </row>
    <row r="5" spans="1:7" ht="15.75" customHeight="1" x14ac:dyDescent="0.25">
      <c r="A5" s="168" t="s">
        <v>13</v>
      </c>
      <c r="B5" s="168" t="s">
        <v>262</v>
      </c>
      <c r="C5" s="168" t="s">
        <v>263</v>
      </c>
      <c r="D5" s="168" t="s">
        <v>264</v>
      </c>
      <c r="E5" s="168" t="s">
        <v>265</v>
      </c>
      <c r="F5" s="168" t="s">
        <v>266</v>
      </c>
      <c r="G5" s="111"/>
    </row>
    <row r="6" spans="1:7" ht="15.75" customHeight="1" x14ac:dyDescent="0.25">
      <c r="A6" s="168">
        <v>1</v>
      </c>
      <c r="B6" s="168">
        <v>2</v>
      </c>
      <c r="C6" s="168">
        <v>3</v>
      </c>
      <c r="D6" s="168">
        <v>4</v>
      </c>
      <c r="E6" s="168">
        <v>5</v>
      </c>
      <c r="F6" s="168">
        <v>6</v>
      </c>
      <c r="G6" s="111"/>
    </row>
    <row r="7" spans="1:7" ht="110.25" customHeight="1" x14ac:dyDescent="0.25">
      <c r="A7" s="169" t="s">
        <v>267</v>
      </c>
      <c r="B7" s="114" t="s">
        <v>268</v>
      </c>
      <c r="C7" s="120" t="s">
        <v>269</v>
      </c>
      <c r="D7" s="120" t="s">
        <v>270</v>
      </c>
      <c r="E7" s="170">
        <v>47872.94</v>
      </c>
      <c r="F7" s="114" t="s">
        <v>271</v>
      </c>
      <c r="G7" s="111"/>
    </row>
    <row r="8" spans="1:7" ht="31.5" customHeight="1" x14ac:dyDescent="0.25">
      <c r="A8" s="169" t="s">
        <v>272</v>
      </c>
      <c r="B8" s="114" t="s">
        <v>273</v>
      </c>
      <c r="C8" s="120" t="s">
        <v>274</v>
      </c>
      <c r="D8" s="120" t="s">
        <v>275</v>
      </c>
      <c r="E8" s="170">
        <f>1973/12</f>
        <v>164.41666666666666</v>
      </c>
      <c r="F8" s="114" t="s">
        <v>276</v>
      </c>
      <c r="G8" s="171"/>
    </row>
    <row r="9" spans="1:7" ht="15.75" customHeight="1" x14ac:dyDescent="0.25">
      <c r="A9" s="169" t="s">
        <v>277</v>
      </c>
      <c r="B9" s="114" t="s">
        <v>278</v>
      </c>
      <c r="C9" s="120" t="s">
        <v>279</v>
      </c>
      <c r="D9" s="120" t="s">
        <v>270</v>
      </c>
      <c r="E9" s="170">
        <v>1</v>
      </c>
      <c r="F9" s="114"/>
      <c r="G9" s="171"/>
    </row>
    <row r="10" spans="1:7" ht="15.75" customHeight="1" x14ac:dyDescent="0.25">
      <c r="A10" s="169" t="s">
        <v>280</v>
      </c>
      <c r="B10" s="114" t="s">
        <v>281</v>
      </c>
      <c r="C10" s="120"/>
      <c r="D10" s="120"/>
      <c r="E10" s="172">
        <v>3.9</v>
      </c>
      <c r="F10" s="114" t="s">
        <v>282</v>
      </c>
      <c r="G10" s="171"/>
    </row>
    <row r="11" spans="1:7" ht="78.75" customHeight="1" x14ac:dyDescent="0.25">
      <c r="A11" s="169" t="s">
        <v>283</v>
      </c>
      <c r="B11" s="114" t="s">
        <v>284</v>
      </c>
      <c r="C11" s="120" t="s">
        <v>285</v>
      </c>
      <c r="D11" s="120" t="s">
        <v>270</v>
      </c>
      <c r="E11" s="173">
        <v>1.3240000000000001</v>
      </c>
      <c r="F11" s="114" t="s">
        <v>286</v>
      </c>
      <c r="G11" s="111"/>
    </row>
    <row r="12" spans="1:7" ht="78.75" customHeight="1" x14ac:dyDescent="0.25">
      <c r="A12" s="169" t="s">
        <v>287</v>
      </c>
      <c r="B12" s="113" t="s">
        <v>288</v>
      </c>
      <c r="C12" s="120" t="s">
        <v>289</v>
      </c>
      <c r="D12" s="120" t="s">
        <v>270</v>
      </c>
      <c r="E12" s="174">
        <v>1.139</v>
      </c>
      <c r="F12" s="175" t="s">
        <v>290</v>
      </c>
      <c r="G12" s="171" t="s">
        <v>291</v>
      </c>
    </row>
    <row r="13" spans="1:7" ht="63" customHeight="1" x14ac:dyDescent="0.25">
      <c r="A13" s="169" t="s">
        <v>292</v>
      </c>
      <c r="B13" s="127" t="s">
        <v>293</v>
      </c>
      <c r="C13" s="120" t="s">
        <v>294</v>
      </c>
      <c r="D13" s="120" t="s">
        <v>295</v>
      </c>
      <c r="E13" s="176">
        <f>((E7*E9/E8)*E11)*E12</f>
        <v>439.09244974661942</v>
      </c>
      <c r="F13" s="114" t="s">
        <v>296</v>
      </c>
      <c r="G13" s="111"/>
    </row>
  </sheetData>
  <mergeCells count="1">
    <mergeCell ref="A2:F2"/>
  </mergeCells>
  <hyperlinks>
    <hyperlink ref="G12" r:id="rId1" xr:uid="{00000000-0004-0000-0C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57" t="s">
        <v>297</v>
      </c>
      <c r="B1" s="257"/>
      <c r="C1" s="257"/>
      <c r="D1" s="257"/>
      <c r="E1" s="257"/>
      <c r="F1" s="257"/>
      <c r="G1" s="257"/>
      <c r="H1" s="257"/>
      <c r="I1" s="257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07" t="e">
        <f>#REF!</f>
        <v>#REF!</v>
      </c>
      <c r="B3" s="207"/>
      <c r="C3" s="207"/>
      <c r="D3" s="207"/>
      <c r="E3" s="207"/>
      <c r="F3" s="207"/>
      <c r="G3" s="207"/>
      <c r="H3" s="207"/>
      <c r="I3" s="207"/>
    </row>
    <row r="4" spans="1:13" s="4" customFormat="1" ht="15.75" customHeight="1" x14ac:dyDescent="0.2">
      <c r="A4" s="258"/>
      <c r="B4" s="258"/>
      <c r="C4" s="258"/>
      <c r="D4" s="258"/>
      <c r="E4" s="258"/>
      <c r="F4" s="258"/>
      <c r="G4" s="258"/>
      <c r="H4" s="258"/>
      <c r="I4" s="258"/>
    </row>
    <row r="5" spans="1:13" s="30" customFormat="1" ht="36.6" customHeight="1" x14ac:dyDescent="0.35">
      <c r="A5" s="259" t="s">
        <v>13</v>
      </c>
      <c r="B5" s="259" t="s">
        <v>298</v>
      </c>
      <c r="C5" s="259" t="s">
        <v>299</v>
      </c>
      <c r="D5" s="259" t="s">
        <v>300</v>
      </c>
      <c r="E5" s="254" t="s">
        <v>301</v>
      </c>
      <c r="F5" s="254"/>
      <c r="G5" s="254"/>
      <c r="H5" s="254"/>
      <c r="I5" s="254"/>
    </row>
    <row r="6" spans="1:13" s="25" customFormat="1" ht="31.5" customHeight="1" x14ac:dyDescent="0.2">
      <c r="A6" s="259"/>
      <c r="B6" s="259"/>
      <c r="C6" s="259"/>
      <c r="D6" s="259"/>
      <c r="E6" s="31" t="s">
        <v>107</v>
      </c>
      <c r="F6" s="31" t="s">
        <v>108</v>
      </c>
      <c r="G6" s="31" t="s">
        <v>43</v>
      </c>
      <c r="H6" s="31" t="s">
        <v>302</v>
      </c>
      <c r="I6" s="31" t="s">
        <v>303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91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304</v>
      </c>
      <c r="C9" s="8" t="s">
        <v>305</v>
      </c>
      <c r="D9" s="105">
        <v>3.9E-2</v>
      </c>
      <c r="E9" s="27">
        <f>E8*D9</f>
        <v>0.15541851000000001</v>
      </c>
      <c r="F9" s="27">
        <f>F8*D9</f>
        <v>0.12299157000000001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306</v>
      </c>
      <c r="C11" s="8" t="s">
        <v>254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124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307</v>
      </c>
      <c r="C12" s="8" t="s">
        <v>308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309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256</v>
      </c>
      <c r="C14" s="8" t="s">
        <v>310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2.3006417510043939</v>
      </c>
      <c r="I14" s="27">
        <f>H14</f>
        <v>2.3006417510043939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311</v>
      </c>
      <c r="C16" s="8" t="s">
        <v>312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313</v>
      </c>
    </row>
    <row r="17" spans="1:10" s="25" customFormat="1" ht="81.75" customHeight="1" x14ac:dyDescent="0.2">
      <c r="A17" s="32">
        <v>7</v>
      </c>
      <c r="B17" s="8" t="s">
        <v>311</v>
      </c>
      <c r="C17" s="8" t="s">
        <v>314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315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7.7710448710043938</v>
      </c>
      <c r="I19" s="27">
        <f>SUM(I8:I18)</f>
        <v>109.80726562971439</v>
      </c>
    </row>
    <row r="20" spans="1:10" s="25" customFormat="1" ht="51" customHeight="1" x14ac:dyDescent="0.2">
      <c r="A20" s="32">
        <v>9</v>
      </c>
      <c r="B20" s="8" t="s">
        <v>316</v>
      </c>
      <c r="C20" s="8" t="s">
        <v>95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0.23313134613013181</v>
      </c>
      <c r="I20" s="27">
        <f>I19*3%</f>
        <v>3.2942179688914317</v>
      </c>
    </row>
    <row r="21" spans="1:10" s="28" customFormat="1" ht="13.15" customHeight="1" x14ac:dyDescent="0.2">
      <c r="A21" s="32">
        <v>10</v>
      </c>
      <c r="B21" s="8"/>
      <c r="C21" s="8" t="s">
        <v>317</v>
      </c>
      <c r="D21" s="41"/>
      <c r="E21" s="27"/>
      <c r="F21" s="27"/>
      <c r="G21" s="27"/>
      <c r="H21" s="27"/>
      <c r="I21" s="27">
        <f>I19+I20</f>
        <v>113.10148359860582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98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99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100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101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1" t="s">
        <v>318</v>
      </c>
      <c r="O2" s="261"/>
    </row>
    <row r="3" spans="1:16" x14ac:dyDescent="0.25">
      <c r="A3" s="262" t="s">
        <v>319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5" spans="1:16" ht="37.5" customHeight="1" x14ac:dyDescent="0.25">
      <c r="A5" s="263" t="s">
        <v>320</v>
      </c>
      <c r="B5" s="266" t="s">
        <v>321</v>
      </c>
      <c r="C5" s="269" t="s">
        <v>322</v>
      </c>
      <c r="D5" s="272" t="s">
        <v>323</v>
      </c>
      <c r="E5" s="273"/>
      <c r="F5" s="273"/>
      <c r="G5" s="273"/>
      <c r="H5" s="273"/>
      <c r="I5" s="272" t="s">
        <v>324</v>
      </c>
      <c r="J5" s="273"/>
      <c r="K5" s="273"/>
      <c r="L5" s="273"/>
      <c r="M5" s="273"/>
      <c r="N5" s="273"/>
      <c r="O5" s="48" t="s">
        <v>325</v>
      </c>
    </row>
    <row r="6" spans="1:16" s="51" customFormat="1" ht="150" customHeight="1" x14ac:dyDescent="0.25">
      <c r="A6" s="264"/>
      <c r="B6" s="267"/>
      <c r="C6" s="270"/>
      <c r="D6" s="269" t="s">
        <v>326</v>
      </c>
      <c r="E6" s="274" t="s">
        <v>327</v>
      </c>
      <c r="F6" s="275"/>
      <c r="G6" s="276"/>
      <c r="H6" s="49" t="s">
        <v>328</v>
      </c>
      <c r="I6" s="277" t="s">
        <v>329</v>
      </c>
      <c r="J6" s="277" t="s">
        <v>326</v>
      </c>
      <c r="K6" s="278" t="s">
        <v>327</v>
      </c>
      <c r="L6" s="278"/>
      <c r="M6" s="278"/>
      <c r="N6" s="49" t="s">
        <v>328</v>
      </c>
      <c r="O6" s="50" t="s">
        <v>330</v>
      </c>
    </row>
    <row r="7" spans="1:16" s="51" customFormat="1" ht="30.75" customHeight="1" x14ac:dyDescent="0.25">
      <c r="A7" s="265"/>
      <c r="B7" s="268"/>
      <c r="C7" s="271"/>
      <c r="D7" s="271"/>
      <c r="E7" s="48" t="s">
        <v>107</v>
      </c>
      <c r="F7" s="48" t="s">
        <v>108</v>
      </c>
      <c r="G7" s="48" t="s">
        <v>43</v>
      </c>
      <c r="H7" s="52" t="s">
        <v>331</v>
      </c>
      <c r="I7" s="277"/>
      <c r="J7" s="277"/>
      <c r="K7" s="48" t="s">
        <v>107</v>
      </c>
      <c r="L7" s="48" t="s">
        <v>108</v>
      </c>
      <c r="M7" s="48" t="s">
        <v>43</v>
      </c>
      <c r="N7" s="52" t="s">
        <v>331</v>
      </c>
      <c r="O7" s="48" t="s">
        <v>332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63" t="s">
        <v>333</v>
      </c>
      <c r="C9" s="54" t="s">
        <v>334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242.76170000000002</v>
      </c>
      <c r="G9" s="55">
        <v>0</v>
      </c>
      <c r="H9" s="55">
        <f>(713.49*0.8)/1000</f>
        <v>0.57079200000000008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1478.4187530000002</v>
      </c>
      <c r="M9" s="55">
        <f>G9*H24</f>
        <v>0</v>
      </c>
      <c r="N9" s="55">
        <f>H9*H25</f>
        <v>6.48990504</v>
      </c>
      <c r="O9" s="56">
        <f t="shared" ref="O9:O15" si="2">N9/(L9+M9)</f>
        <v>4.3897610381569609E-3</v>
      </c>
    </row>
    <row r="10" spans="1:16" s="51" customFormat="1" ht="54.75" customHeight="1" x14ac:dyDescent="0.25">
      <c r="A10" s="52">
        <v>2</v>
      </c>
      <c r="B10" s="265"/>
      <c r="C10" s="57" t="s">
        <v>335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1.225379872165199E-3</v>
      </c>
      <c r="P10" s="58"/>
    </row>
    <row r="11" spans="1:16" s="51" customFormat="1" ht="24.6" customHeight="1" x14ac:dyDescent="0.25">
      <c r="A11" s="53">
        <v>3</v>
      </c>
      <c r="B11" s="263" t="s">
        <v>336</v>
      </c>
      <c r="C11" s="57" t="s">
        <v>337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129121.52160000001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154.48610000000002</v>
      </c>
      <c r="O11" s="56">
        <f t="shared" si="2"/>
        <v>4.1066716562919176E-3</v>
      </c>
    </row>
    <row r="12" spans="1:16" s="51" customFormat="1" ht="31.9" customHeight="1" x14ac:dyDescent="0.25">
      <c r="A12" s="52">
        <v>4</v>
      </c>
      <c r="B12" s="265"/>
      <c r="C12" s="57" t="s">
        <v>338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2.3140164284093331E-3</v>
      </c>
    </row>
    <row r="13" spans="1:16" s="51" customFormat="1" ht="60" customHeight="1" x14ac:dyDescent="0.25">
      <c r="A13" s="53">
        <v>5</v>
      </c>
      <c r="B13" s="263" t="s">
        <v>339</v>
      </c>
      <c r="C13" s="54" t="s">
        <v>340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267889.86340000003</v>
      </c>
      <c r="K13" s="55">
        <f>E13*L22</f>
        <v>79488.050400000007</v>
      </c>
      <c r="L13" s="55">
        <f>F13*L22</f>
        <v>167241.27900000001</v>
      </c>
      <c r="M13" s="55">
        <f>G13*L24</f>
        <v>21160.534000000003</v>
      </c>
      <c r="N13" s="55">
        <f>H13*L25</f>
        <v>231.46549999999999</v>
      </c>
      <c r="O13" s="56">
        <f t="shared" si="2"/>
        <v>1.228573633736741E-3</v>
      </c>
    </row>
    <row r="14" spans="1:16" s="51" customFormat="1" ht="39.6" customHeight="1" x14ac:dyDescent="0.25">
      <c r="A14" s="52">
        <v>6</v>
      </c>
      <c r="B14" s="265"/>
      <c r="C14" s="57" t="s">
        <v>341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23240.095500000003</v>
      </c>
      <c r="N14" s="55">
        <f>H14*M25</f>
        <v>1423.7858999999999</v>
      </c>
      <c r="O14" s="56">
        <f t="shared" si="2"/>
        <v>5.6024083795152453E-3</v>
      </c>
    </row>
    <row r="15" spans="1:16" s="51" customFormat="1" ht="46.15" customHeight="1" x14ac:dyDescent="0.25">
      <c r="A15" s="53">
        <v>7</v>
      </c>
      <c r="B15" s="59" t="s">
        <v>342</v>
      </c>
      <c r="C15" s="57" t="s">
        <v>343</v>
      </c>
      <c r="D15" s="55">
        <f t="shared" si="0"/>
        <v>981651.63000000012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201852.46120000002</v>
      </c>
      <c r="N15" s="55">
        <f>H15*N25</f>
        <v>1185.7186999999999</v>
      </c>
      <c r="O15" s="56">
        <f t="shared" si="2"/>
        <v>3.5280316227560241E-4</v>
      </c>
    </row>
    <row r="16" spans="1:16" s="51" customFormat="1" ht="24" customHeight="1" x14ac:dyDescent="0.25">
      <c r="A16" s="60"/>
      <c r="B16" s="60"/>
      <c r="C16" s="61" t="s">
        <v>344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2.7456591672215713E-3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345</v>
      </c>
    </row>
    <row r="19" spans="1:15" ht="30.75" customHeight="1" x14ac:dyDescent="0.25">
      <c r="L19" s="69"/>
    </row>
    <row r="20" spans="1:15" ht="15" customHeight="1" outlineLevel="1" x14ac:dyDescent="0.25">
      <c r="G20" s="260" t="s">
        <v>346</v>
      </c>
      <c r="H20" s="260"/>
      <c r="I20" s="260"/>
      <c r="J20" s="260"/>
      <c r="K20" s="260"/>
      <c r="L20" s="260"/>
      <c r="M20" s="260"/>
      <c r="N20" s="260"/>
    </row>
    <row r="21" spans="1:15" ht="15.75" customHeight="1" outlineLevel="1" x14ac:dyDescent="0.25">
      <c r="G21" s="70"/>
      <c r="H21" s="70" t="s">
        <v>347</v>
      </c>
      <c r="I21" s="70" t="s">
        <v>348</v>
      </c>
      <c r="J21" s="70" t="s">
        <v>349</v>
      </c>
      <c r="K21" s="71" t="s">
        <v>350</v>
      </c>
      <c r="L21" s="70" t="s">
        <v>351</v>
      </c>
      <c r="M21" s="70" t="s">
        <v>352</v>
      </c>
      <c r="N21" s="70" t="s">
        <v>353</v>
      </c>
      <c r="O21" s="64"/>
    </row>
    <row r="22" spans="1:15" ht="15.75" customHeight="1" outlineLevel="1" x14ac:dyDescent="0.25">
      <c r="G22" s="280" t="s">
        <v>354</v>
      </c>
      <c r="H22" s="279">
        <v>6.09</v>
      </c>
      <c r="I22" s="281">
        <v>6.44</v>
      </c>
      <c r="J22" s="279">
        <v>5.77</v>
      </c>
      <c r="K22" s="281">
        <v>5.77</v>
      </c>
      <c r="L22" s="279">
        <v>5.23</v>
      </c>
      <c r="M22" s="279">
        <v>5.77</v>
      </c>
      <c r="N22" s="72">
        <v>6.29</v>
      </c>
      <c r="O22" t="s">
        <v>355</v>
      </c>
    </row>
    <row r="23" spans="1:15" ht="15.75" customHeight="1" outlineLevel="1" x14ac:dyDescent="0.25">
      <c r="G23" s="280"/>
      <c r="H23" s="279"/>
      <c r="I23" s="281"/>
      <c r="J23" s="279"/>
      <c r="K23" s="281"/>
      <c r="L23" s="279"/>
      <c r="M23" s="279"/>
      <c r="N23" s="72">
        <v>6.56</v>
      </c>
      <c r="O23" t="s">
        <v>356</v>
      </c>
    </row>
    <row r="24" spans="1:15" ht="15.75" customHeight="1" outlineLevel="1" x14ac:dyDescent="0.25">
      <c r="G24" s="73" t="s">
        <v>357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331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358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359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302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97" t="s">
        <v>360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</row>
    <row r="4" spans="1:18" ht="36.75" customHeight="1" x14ac:dyDescent="0.25">
      <c r="A4" s="263" t="s">
        <v>320</v>
      </c>
      <c r="B4" s="266" t="s">
        <v>321</v>
      </c>
      <c r="C4" s="269" t="s">
        <v>361</v>
      </c>
      <c r="D4" s="269" t="s">
        <v>362</v>
      </c>
      <c r="E4" s="272" t="s">
        <v>363</v>
      </c>
      <c r="F4" s="273"/>
      <c r="G4" s="273"/>
      <c r="H4" s="273"/>
      <c r="I4" s="273"/>
      <c r="J4" s="273"/>
      <c r="K4" s="273"/>
      <c r="L4" s="273"/>
      <c r="M4" s="273"/>
      <c r="N4" s="298" t="s">
        <v>364</v>
      </c>
      <c r="O4" s="299"/>
      <c r="P4" s="299"/>
      <c r="Q4" s="299"/>
      <c r="R4" s="300"/>
    </row>
    <row r="5" spans="1:18" ht="60" customHeight="1" x14ac:dyDescent="0.25">
      <c r="A5" s="264"/>
      <c r="B5" s="267"/>
      <c r="C5" s="270"/>
      <c r="D5" s="270"/>
      <c r="E5" s="277" t="s">
        <v>365</v>
      </c>
      <c r="F5" s="277" t="s">
        <v>366</v>
      </c>
      <c r="G5" s="274" t="s">
        <v>327</v>
      </c>
      <c r="H5" s="275"/>
      <c r="I5" s="275"/>
      <c r="J5" s="276"/>
      <c r="K5" s="277" t="s">
        <v>367</v>
      </c>
      <c r="L5" s="277"/>
      <c r="M5" s="277"/>
      <c r="N5" s="75" t="s">
        <v>368</v>
      </c>
      <c r="O5" s="75" t="s">
        <v>369</v>
      </c>
      <c r="P5" s="75" t="s">
        <v>370</v>
      </c>
      <c r="Q5" s="76" t="s">
        <v>371</v>
      </c>
      <c r="R5" s="75" t="s">
        <v>372</v>
      </c>
    </row>
    <row r="6" spans="1:18" ht="49.5" customHeight="1" x14ac:dyDescent="0.25">
      <c r="A6" s="265"/>
      <c r="B6" s="268"/>
      <c r="C6" s="271"/>
      <c r="D6" s="271"/>
      <c r="E6" s="277"/>
      <c r="F6" s="277"/>
      <c r="G6" s="48" t="s">
        <v>107</v>
      </c>
      <c r="H6" s="48" t="s">
        <v>108</v>
      </c>
      <c r="I6" s="48" t="s">
        <v>43</v>
      </c>
      <c r="J6" s="48" t="s">
        <v>302</v>
      </c>
      <c r="K6" s="48" t="s">
        <v>368</v>
      </c>
      <c r="L6" s="48" t="s">
        <v>369</v>
      </c>
      <c r="M6" s="48" t="s">
        <v>370</v>
      </c>
      <c r="N6" s="48" t="s">
        <v>373</v>
      </c>
      <c r="O6" s="48" t="s">
        <v>374</v>
      </c>
      <c r="P6" s="48" t="s">
        <v>375</v>
      </c>
      <c r="Q6" s="49" t="s">
        <v>376</v>
      </c>
      <c r="R6" s="48" t="s">
        <v>377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63">
        <v>1</v>
      </c>
      <c r="B9" s="263" t="s">
        <v>378</v>
      </c>
      <c r="C9" s="290" t="s">
        <v>334</v>
      </c>
      <c r="D9" s="54" t="s">
        <v>379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65"/>
      <c r="B10" s="264"/>
      <c r="C10" s="291"/>
      <c r="D10" s="54" t="s">
        <v>380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63">
        <v>2</v>
      </c>
      <c r="B11" s="264"/>
      <c r="C11" s="290" t="s">
        <v>381</v>
      </c>
      <c r="D11" s="54" t="s">
        <v>379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65"/>
      <c r="B12" s="265"/>
      <c r="C12" s="291"/>
      <c r="D12" s="54" t="s">
        <v>380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63">
        <v>3</v>
      </c>
      <c r="B13" s="263" t="s">
        <v>336</v>
      </c>
      <c r="C13" s="293" t="s">
        <v>337</v>
      </c>
      <c r="D13" s="54" t="s">
        <v>382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65"/>
      <c r="B14" s="264"/>
      <c r="C14" s="294"/>
      <c r="D14" s="54" t="s">
        <v>380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63">
        <v>4</v>
      </c>
      <c r="B15" s="264"/>
      <c r="C15" s="295" t="s">
        <v>338</v>
      </c>
      <c r="D15" s="57" t="s">
        <v>382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65"/>
      <c r="B16" s="265"/>
      <c r="C16" s="296"/>
      <c r="D16" s="57" t="s">
        <v>380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63">
        <v>5</v>
      </c>
      <c r="B17" s="278" t="s">
        <v>339</v>
      </c>
      <c r="C17" s="290" t="s">
        <v>383</v>
      </c>
      <c r="D17" s="54" t="s">
        <v>384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65"/>
      <c r="B18" s="278"/>
      <c r="C18" s="291"/>
      <c r="D18" s="54" t="s">
        <v>380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63">
        <v>6</v>
      </c>
      <c r="B19" s="278"/>
      <c r="C19" s="290" t="s">
        <v>341</v>
      </c>
      <c r="D19" s="57" t="s">
        <v>382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65"/>
      <c r="B20" s="278"/>
      <c r="C20" s="291"/>
      <c r="D20" s="57" t="s">
        <v>380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63">
        <v>7</v>
      </c>
      <c r="B21" s="263" t="s">
        <v>342</v>
      </c>
      <c r="C21" s="290" t="s">
        <v>343</v>
      </c>
      <c r="D21" s="57" t="s">
        <v>385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65"/>
      <c r="B22" s="265"/>
      <c r="C22" s="291"/>
      <c r="D22" s="80" t="s">
        <v>380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386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92" t="s">
        <v>387</v>
      </c>
      <c r="E26" s="292"/>
      <c r="F26" s="292"/>
      <c r="G26" s="292"/>
      <c r="H26" s="292"/>
      <c r="I26" s="292"/>
      <c r="J26" s="292"/>
      <c r="K26" s="292"/>
      <c r="L26" s="69"/>
      <c r="R26" s="87"/>
    </row>
    <row r="27" spans="1:18" outlineLevel="1" x14ac:dyDescent="0.25">
      <c r="D27" s="88"/>
      <c r="E27" s="88" t="s">
        <v>347</v>
      </c>
      <c r="F27" s="88" t="s">
        <v>348</v>
      </c>
      <c r="G27" s="88" t="s">
        <v>349</v>
      </c>
      <c r="H27" s="89" t="s">
        <v>350</v>
      </c>
      <c r="I27" s="89" t="s">
        <v>351</v>
      </c>
      <c r="J27" s="89" t="s">
        <v>352</v>
      </c>
      <c r="K27" s="60" t="s">
        <v>353</v>
      </c>
    </row>
    <row r="28" spans="1:18" outlineLevel="1" x14ac:dyDescent="0.25">
      <c r="D28" s="286" t="s">
        <v>354</v>
      </c>
      <c r="E28" s="284">
        <v>6.09</v>
      </c>
      <c r="F28" s="288">
        <v>6.63</v>
      </c>
      <c r="G28" s="284">
        <v>5.77</v>
      </c>
      <c r="H28" s="282">
        <v>5.77</v>
      </c>
      <c r="I28" s="282">
        <v>6.35</v>
      </c>
      <c r="J28" s="284">
        <v>5.77</v>
      </c>
      <c r="K28" s="90">
        <v>6.29</v>
      </c>
      <c r="L28" t="s">
        <v>355</v>
      </c>
    </row>
    <row r="29" spans="1:18" outlineLevel="1" x14ac:dyDescent="0.25">
      <c r="D29" s="287"/>
      <c r="E29" s="285"/>
      <c r="F29" s="289"/>
      <c r="G29" s="285"/>
      <c r="H29" s="283"/>
      <c r="I29" s="283"/>
      <c r="J29" s="285"/>
      <c r="K29" s="90">
        <v>6.56</v>
      </c>
      <c r="L29" t="s">
        <v>356</v>
      </c>
    </row>
    <row r="30" spans="1:18" outlineLevel="1" x14ac:dyDescent="0.25">
      <c r="D30" s="91" t="s">
        <v>357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86" t="s">
        <v>331</v>
      </c>
      <c r="E31" s="284">
        <v>11.37</v>
      </c>
      <c r="F31" s="288">
        <v>13.56</v>
      </c>
      <c r="G31" s="284">
        <v>15.91</v>
      </c>
      <c r="H31" s="282">
        <v>15.91</v>
      </c>
      <c r="I31" s="282">
        <v>14.03</v>
      </c>
      <c r="J31" s="284">
        <v>15.91</v>
      </c>
      <c r="K31" s="90">
        <v>8.2899999999999991</v>
      </c>
      <c r="L31" t="s">
        <v>355</v>
      </c>
    </row>
    <row r="32" spans="1:18" outlineLevel="1" x14ac:dyDescent="0.25">
      <c r="D32" s="287"/>
      <c r="E32" s="285"/>
      <c r="F32" s="289"/>
      <c r="G32" s="285"/>
      <c r="H32" s="283"/>
      <c r="I32" s="283"/>
      <c r="J32" s="285"/>
      <c r="K32" s="90">
        <v>11.84</v>
      </c>
      <c r="L32" t="s">
        <v>356</v>
      </c>
    </row>
    <row r="33" spans="4:12" ht="15" customHeight="1" outlineLevel="1" x14ac:dyDescent="0.25">
      <c r="D33" s="92" t="s">
        <v>358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388</v>
      </c>
    </row>
    <row r="34" spans="4:12" outlineLevel="1" x14ac:dyDescent="0.25">
      <c r="D34" s="92" t="s">
        <v>359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388</v>
      </c>
    </row>
    <row r="35" spans="4:12" outlineLevel="1" x14ac:dyDescent="0.25">
      <c r="D35" s="91" t="s">
        <v>302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4" t="s">
        <v>10</v>
      </c>
      <c r="B2" s="204"/>
      <c r="C2" s="204"/>
      <c r="D2" s="204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7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7"/>
    </row>
    <row r="5" spans="1:4" x14ac:dyDescent="0.25">
      <c r="A5" s="5"/>
      <c r="B5" s="1"/>
      <c r="C5" s="1"/>
    </row>
    <row r="6" spans="1:4" x14ac:dyDescent="0.25">
      <c r="A6" s="204" t="s">
        <v>12</v>
      </c>
      <c r="B6" s="204"/>
      <c r="C6" s="204"/>
      <c r="D6" s="204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8" t="s">
        <v>5</v>
      </c>
      <c r="B15" s="209" t="s">
        <v>15</v>
      </c>
      <c r="C15" s="209"/>
      <c r="D15" s="209"/>
    </row>
    <row r="16" spans="1:4" x14ac:dyDescent="0.25">
      <c r="A16" s="208"/>
      <c r="B16" s="208" t="s">
        <v>17</v>
      </c>
      <c r="C16" s="209" t="s">
        <v>28</v>
      </c>
      <c r="D16" s="209"/>
    </row>
    <row r="17" spans="1:4" ht="39" customHeight="1" x14ac:dyDescent="0.25">
      <c r="A17" s="208"/>
      <c r="B17" s="208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0" t="s">
        <v>29</v>
      </c>
      <c r="B2" s="210"/>
      <c r="C2" s="210"/>
      <c r="D2" s="210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view="pageBreakPreview" topLeftCell="A10" zoomScale="70" zoomScaleNormal="55" workbookViewId="0">
      <selection activeCell="D17" sqref="D17:D24"/>
    </sheetView>
  </sheetViews>
  <sheetFormatPr defaultColWidth="9.140625" defaultRowHeight="15.75" x14ac:dyDescent="0.25"/>
  <cols>
    <col min="1" max="2" width="9.140625" style="111"/>
    <col min="3" max="3" width="42.140625" style="111" customWidth="1"/>
    <col min="4" max="4" width="36.5703125" style="111" customWidth="1"/>
    <col min="5" max="5" width="17.5703125" style="111" customWidth="1"/>
    <col min="6" max="6" width="18.7109375" style="111" customWidth="1"/>
    <col min="7" max="7" width="9.140625" style="111"/>
  </cols>
  <sheetData>
    <row r="3" spans="2:6" x14ac:dyDescent="0.25">
      <c r="B3" s="211" t="s">
        <v>45</v>
      </c>
      <c r="C3" s="211"/>
      <c r="D3" s="211"/>
    </row>
    <row r="4" spans="2:6" x14ac:dyDescent="0.25">
      <c r="B4" s="212" t="s">
        <v>46</v>
      </c>
      <c r="C4" s="212"/>
      <c r="D4" s="212"/>
    </row>
    <row r="5" spans="2:6" x14ac:dyDescent="0.25">
      <c r="B5" s="112"/>
      <c r="C5" s="112"/>
      <c r="D5" s="112"/>
    </row>
    <row r="6" spans="2:6" x14ac:dyDescent="0.25">
      <c r="B6" s="112"/>
      <c r="C6" s="112"/>
      <c r="D6" s="112"/>
    </row>
    <row r="7" spans="2:6" ht="35.25" customHeight="1" x14ac:dyDescent="0.25">
      <c r="B7" s="213" t="s">
        <v>396</v>
      </c>
      <c r="C7" s="214"/>
      <c r="D7" s="214"/>
    </row>
    <row r="8" spans="2:6" ht="31.5" customHeight="1" x14ac:dyDescent="0.25">
      <c r="B8" s="214" t="s">
        <v>406</v>
      </c>
      <c r="C8" s="214"/>
      <c r="D8" s="214"/>
      <c r="E8" s="214"/>
      <c r="F8" s="214"/>
    </row>
    <row r="9" spans="2:6" x14ac:dyDescent="0.25">
      <c r="B9" s="214" t="s">
        <v>390</v>
      </c>
      <c r="C9" s="214"/>
      <c r="D9" s="214"/>
    </row>
    <row r="10" spans="2:6" x14ac:dyDescent="0.25">
      <c r="B10" s="177"/>
    </row>
    <row r="11" spans="2:6" x14ac:dyDescent="0.25">
      <c r="B11" s="120" t="s">
        <v>33</v>
      </c>
      <c r="C11" s="120" t="s">
        <v>47</v>
      </c>
      <c r="D11" s="113" t="s">
        <v>48</v>
      </c>
    </row>
    <row r="12" spans="2:6" ht="157.5" customHeight="1" x14ac:dyDescent="0.25">
      <c r="B12" s="120">
        <v>1</v>
      </c>
      <c r="C12" s="113" t="s">
        <v>49</v>
      </c>
      <c r="D12" s="203" t="s">
        <v>393</v>
      </c>
    </row>
    <row r="13" spans="2:6" ht="31.5" customHeight="1" x14ac:dyDescent="0.25">
      <c r="B13" s="120">
        <v>2</v>
      </c>
      <c r="C13" s="113" t="s">
        <v>50</v>
      </c>
      <c r="D13" s="203" t="s">
        <v>394</v>
      </c>
    </row>
    <row r="14" spans="2:6" x14ac:dyDescent="0.25">
      <c r="B14" s="120">
        <v>3</v>
      </c>
      <c r="C14" s="113" t="s">
        <v>51</v>
      </c>
      <c r="D14" s="203" t="s">
        <v>395</v>
      </c>
    </row>
    <row r="15" spans="2:6" x14ac:dyDescent="0.25">
      <c r="B15" s="120">
        <v>4</v>
      </c>
      <c r="C15" s="113" t="s">
        <v>52</v>
      </c>
      <c r="D15" s="120">
        <v>1</v>
      </c>
    </row>
    <row r="16" spans="2:6" ht="94.5" customHeight="1" x14ac:dyDescent="0.25">
      <c r="B16" s="120">
        <v>5</v>
      </c>
      <c r="C16" s="115" t="s">
        <v>53</v>
      </c>
      <c r="D16" s="120" t="s">
        <v>54</v>
      </c>
    </row>
    <row r="17" spans="2:6" ht="78.75" customHeight="1" x14ac:dyDescent="0.25">
      <c r="B17" s="120">
        <v>6</v>
      </c>
      <c r="C17" s="115" t="s">
        <v>55</v>
      </c>
      <c r="D17" s="116">
        <v>409.19059320000002</v>
      </c>
    </row>
    <row r="18" spans="2:6" x14ac:dyDescent="0.25">
      <c r="B18" s="117" t="s">
        <v>56</v>
      </c>
      <c r="C18" s="113" t="s">
        <v>57</v>
      </c>
      <c r="D18" s="116">
        <v>12.940076799999998</v>
      </c>
    </row>
    <row r="19" spans="2:6" ht="15.75" customHeight="1" x14ac:dyDescent="0.25">
      <c r="B19" s="117" t="s">
        <v>58</v>
      </c>
      <c r="C19" s="113" t="s">
        <v>59</v>
      </c>
      <c r="D19" s="116">
        <v>396.25051640000004</v>
      </c>
    </row>
    <row r="20" spans="2:6" ht="16.5" customHeight="1" x14ac:dyDescent="0.25">
      <c r="B20" s="117" t="s">
        <v>60</v>
      </c>
      <c r="C20" s="113" t="s">
        <v>61</v>
      </c>
      <c r="D20" s="116"/>
      <c r="F20" s="118"/>
    </row>
    <row r="21" spans="2:6" ht="35.25" customHeight="1" x14ac:dyDescent="0.25">
      <c r="B21" s="117" t="s">
        <v>62</v>
      </c>
      <c r="C21" s="119" t="s">
        <v>63</v>
      </c>
      <c r="D21" s="116"/>
    </row>
    <row r="22" spans="2:6" x14ac:dyDescent="0.25">
      <c r="B22" s="120">
        <v>7</v>
      </c>
      <c r="C22" s="119" t="s">
        <v>64</v>
      </c>
      <c r="D22" s="120" t="s">
        <v>407</v>
      </c>
    </row>
    <row r="23" spans="2:6" ht="123" customHeight="1" x14ac:dyDescent="0.25">
      <c r="B23" s="120">
        <v>8</v>
      </c>
      <c r="C23" s="121" t="s">
        <v>65</v>
      </c>
      <c r="D23" s="116">
        <v>409.19059320000002</v>
      </c>
    </row>
    <row r="24" spans="2:6" ht="60.75" customHeight="1" x14ac:dyDescent="0.25">
      <c r="B24" s="120">
        <v>9</v>
      </c>
      <c r="C24" s="115" t="s">
        <v>66</v>
      </c>
      <c r="D24" s="116">
        <v>409.19059320000002</v>
      </c>
    </row>
    <row r="25" spans="2:6" ht="118.5" customHeight="1" x14ac:dyDescent="0.25">
      <c r="B25" s="120">
        <v>10</v>
      </c>
      <c r="C25" s="113" t="s">
        <v>67</v>
      </c>
      <c r="D25" s="113"/>
    </row>
    <row r="26" spans="2:6" x14ac:dyDescent="0.25">
      <c r="B26" s="122"/>
      <c r="C26" s="123"/>
      <c r="D26" s="123"/>
    </row>
    <row r="27" spans="2:6" ht="37.5" customHeight="1" x14ac:dyDescent="0.25">
      <c r="B27" s="124"/>
    </row>
    <row r="28" spans="2:6" x14ac:dyDescent="0.25">
      <c r="B28" s="111" t="s">
        <v>68</v>
      </c>
    </row>
    <row r="29" spans="2:6" x14ac:dyDescent="0.25">
      <c r="B29" s="124" t="s">
        <v>69</v>
      </c>
    </row>
    <row r="31" spans="2:6" x14ac:dyDescent="0.25">
      <c r="B31" s="111" t="s">
        <v>70</v>
      </c>
    </row>
    <row r="32" spans="2:6" x14ac:dyDescent="0.25">
      <c r="B32" s="124" t="s">
        <v>71</v>
      </c>
    </row>
  </sheetData>
  <mergeCells count="5">
    <mergeCell ref="B3:D3"/>
    <mergeCell ref="B4:D4"/>
    <mergeCell ref="B7:D7"/>
    <mergeCell ref="B9:D9"/>
    <mergeCell ref="B8:F8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23"/>
  <sheetViews>
    <sheetView tabSelected="1" view="pageBreakPreview" zoomScale="70" zoomScaleNormal="70" workbookViewId="0">
      <selection activeCell="H19" sqref="H19"/>
    </sheetView>
  </sheetViews>
  <sheetFormatPr defaultColWidth="9.140625" defaultRowHeight="15.75" x14ac:dyDescent="0.25"/>
  <cols>
    <col min="1" max="1" width="5.5703125" style="111" customWidth="1"/>
    <col min="2" max="2" width="9.140625" style="111"/>
    <col min="3" max="3" width="35.28515625" style="111" customWidth="1"/>
    <col min="4" max="4" width="13.85546875" style="111" customWidth="1"/>
    <col min="5" max="5" width="24.85546875" style="111" customWidth="1"/>
    <col min="6" max="6" width="15.5703125" style="111" customWidth="1"/>
    <col min="7" max="7" width="14.85546875" style="111" customWidth="1"/>
    <col min="8" max="8" width="16.7109375" style="111" customWidth="1"/>
    <col min="9" max="10" width="13" style="111" customWidth="1"/>
    <col min="11" max="11" width="18" style="111" customWidth="1"/>
    <col min="12" max="12" width="9.140625" style="111"/>
  </cols>
  <sheetData>
    <row r="3" spans="2:12" x14ac:dyDescent="0.25">
      <c r="B3" s="211" t="s">
        <v>102</v>
      </c>
      <c r="C3" s="211"/>
      <c r="D3" s="211"/>
      <c r="E3" s="211"/>
      <c r="F3" s="211"/>
      <c r="G3" s="211"/>
      <c r="H3" s="211"/>
      <c r="I3" s="211"/>
      <c r="J3" s="211"/>
      <c r="K3" s="124"/>
    </row>
    <row r="4" spans="2:12" x14ac:dyDescent="0.25">
      <c r="B4" s="212" t="s">
        <v>103</v>
      </c>
      <c r="C4" s="212"/>
      <c r="D4" s="212"/>
      <c r="E4" s="212"/>
      <c r="F4" s="212"/>
      <c r="G4" s="212"/>
      <c r="H4" s="212"/>
      <c r="I4" s="212"/>
      <c r="J4" s="212"/>
      <c r="K4" s="212"/>
    </row>
    <row r="5" spans="2:12" x14ac:dyDescent="0.25">
      <c r="B5" s="112"/>
      <c r="C5" s="112"/>
      <c r="D5" s="112"/>
      <c r="E5" s="112"/>
      <c r="F5" s="112"/>
      <c r="G5" s="112"/>
      <c r="H5" s="112"/>
      <c r="I5" s="112"/>
      <c r="J5" s="112"/>
      <c r="K5" s="112"/>
    </row>
    <row r="6" spans="2:12" ht="15.75" customHeight="1" x14ac:dyDescent="0.25">
      <c r="B6" s="216" t="s">
        <v>397</v>
      </c>
      <c r="C6" s="216"/>
      <c r="D6" s="216"/>
      <c r="E6" s="216"/>
      <c r="F6" s="216"/>
      <c r="G6" s="216"/>
      <c r="H6" s="216"/>
      <c r="I6" s="216"/>
      <c r="J6" s="216"/>
      <c r="K6" s="124"/>
      <c r="L6" s="125"/>
    </row>
    <row r="7" spans="2:12" x14ac:dyDescent="0.25">
      <c r="B7" s="214" t="s">
        <v>390</v>
      </c>
      <c r="C7" s="214"/>
      <c r="D7" s="214"/>
      <c r="E7" s="214"/>
      <c r="F7" s="214"/>
      <c r="G7" s="214"/>
      <c r="H7" s="214"/>
      <c r="I7" s="214"/>
      <c r="J7" s="214"/>
      <c r="K7" s="214"/>
      <c r="L7" s="125"/>
    </row>
    <row r="8" spans="2:12" x14ac:dyDescent="0.25">
      <c r="B8" s="177"/>
    </row>
    <row r="9" spans="2:12" ht="15.75" customHeight="1" x14ac:dyDescent="0.25">
      <c r="B9" s="217" t="s">
        <v>33</v>
      </c>
      <c r="C9" s="217" t="s">
        <v>104</v>
      </c>
      <c r="D9" s="217" t="s">
        <v>402</v>
      </c>
      <c r="E9" s="217"/>
      <c r="F9" s="217"/>
      <c r="G9" s="217"/>
      <c r="H9" s="217"/>
      <c r="I9" s="217"/>
      <c r="J9" s="217"/>
    </row>
    <row r="10" spans="2:12" ht="15.75" customHeight="1" x14ac:dyDescent="0.25">
      <c r="B10" s="217"/>
      <c r="C10" s="217"/>
      <c r="D10" s="217" t="s">
        <v>105</v>
      </c>
      <c r="E10" s="217" t="s">
        <v>106</v>
      </c>
      <c r="F10" s="217" t="s">
        <v>403</v>
      </c>
      <c r="G10" s="217"/>
      <c r="H10" s="217"/>
      <c r="I10" s="217"/>
      <c r="J10" s="217"/>
    </row>
    <row r="11" spans="2:12" ht="83.25" customHeight="1" x14ac:dyDescent="0.25">
      <c r="B11" s="217"/>
      <c r="C11" s="217"/>
      <c r="D11" s="217"/>
      <c r="E11" s="217"/>
      <c r="F11" s="120" t="s">
        <v>107</v>
      </c>
      <c r="G11" s="120" t="s">
        <v>108</v>
      </c>
      <c r="H11" s="120" t="s">
        <v>43</v>
      </c>
      <c r="I11" s="120" t="s">
        <v>109</v>
      </c>
      <c r="J11" s="120" t="s">
        <v>110</v>
      </c>
    </row>
    <row r="12" spans="2:12" ht="49.5" customHeight="1" x14ac:dyDescent="0.25">
      <c r="B12" s="178">
        <v>1</v>
      </c>
      <c r="C12" s="130" t="s">
        <v>405</v>
      </c>
      <c r="D12" s="126"/>
      <c r="E12" s="113"/>
      <c r="F12" s="301">
        <v>12.940076799999998</v>
      </c>
      <c r="G12" s="302"/>
      <c r="H12" s="303">
        <v>396.25051640000004</v>
      </c>
      <c r="I12" s="303"/>
      <c r="J12" s="304">
        <v>409.19059320000002</v>
      </c>
    </row>
    <row r="13" spans="2:12" ht="15.75" customHeight="1" x14ac:dyDescent="0.25">
      <c r="B13" s="215" t="s">
        <v>111</v>
      </c>
      <c r="C13" s="215"/>
      <c r="D13" s="215"/>
      <c r="E13" s="215"/>
      <c r="F13" s="305">
        <v>12.940076799999998</v>
      </c>
      <c r="G13" s="306"/>
      <c r="H13" s="307">
        <v>396.25051640000004</v>
      </c>
      <c r="I13" s="307"/>
      <c r="J13" s="307">
        <v>409.19059320000002</v>
      </c>
    </row>
    <row r="14" spans="2:12" ht="28.5" customHeight="1" x14ac:dyDescent="0.25">
      <c r="B14" s="215" t="s">
        <v>404</v>
      </c>
      <c r="C14" s="215"/>
      <c r="D14" s="215"/>
      <c r="E14" s="215"/>
      <c r="F14" s="305">
        <v>12.940076799999998</v>
      </c>
      <c r="G14" s="306"/>
      <c r="H14" s="307">
        <v>396.25051640000004</v>
      </c>
      <c r="I14" s="307"/>
      <c r="J14" s="307">
        <v>409.19059320000002</v>
      </c>
    </row>
    <row r="15" spans="2:12" x14ac:dyDescent="0.25">
      <c r="B15" s="177"/>
    </row>
    <row r="19" spans="2:2" x14ac:dyDescent="0.25">
      <c r="B19" s="111" t="s">
        <v>68</v>
      </c>
    </row>
    <row r="20" spans="2:2" x14ac:dyDescent="0.25">
      <c r="B20" s="124" t="s">
        <v>69</v>
      </c>
    </row>
    <row r="22" spans="2:2" x14ac:dyDescent="0.25">
      <c r="B22" s="111" t="s">
        <v>70</v>
      </c>
    </row>
    <row r="23" spans="2:2" x14ac:dyDescent="0.25">
      <c r="B23" s="124" t="s">
        <v>71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43"/>
  <sheetViews>
    <sheetView view="pageBreakPreview" zoomScale="85" zoomScaleSheetLayoutView="85" workbookViewId="0">
      <selection activeCell="E19" sqref="E19"/>
    </sheetView>
  </sheetViews>
  <sheetFormatPr defaultColWidth="9.140625" defaultRowHeight="15.75" x14ac:dyDescent="0.25"/>
  <cols>
    <col min="1" max="1" width="9.140625" style="111"/>
    <col min="2" max="2" width="12.5703125" style="111" customWidth="1"/>
    <col min="3" max="3" width="22.42578125" style="111" customWidth="1"/>
    <col min="4" max="4" width="49.7109375" style="111" customWidth="1"/>
    <col min="5" max="5" width="10.140625" style="128" customWidth="1"/>
    <col min="6" max="6" width="20.7109375" style="111" customWidth="1"/>
    <col min="7" max="7" width="16.140625" style="111" customWidth="1"/>
    <col min="8" max="8" width="16.7109375" style="111" customWidth="1"/>
    <col min="9" max="9" width="9.140625" style="111"/>
    <col min="10" max="10" width="10.28515625" style="111" customWidth="1"/>
    <col min="11" max="11" width="9.140625" style="111"/>
  </cols>
  <sheetData>
    <row r="2" spans="1:13" x14ac:dyDescent="0.25">
      <c r="A2" s="211" t="s">
        <v>112</v>
      </c>
      <c r="B2" s="211"/>
      <c r="C2" s="211"/>
      <c r="D2" s="211"/>
      <c r="E2" s="211"/>
      <c r="F2" s="211"/>
      <c r="G2" s="211"/>
      <c r="H2" s="211"/>
    </row>
    <row r="3" spans="1:13" x14ac:dyDescent="0.25">
      <c r="A3" s="212" t="s">
        <v>113</v>
      </c>
      <c r="B3" s="212"/>
      <c r="C3" s="212"/>
      <c r="D3" s="212"/>
      <c r="E3" s="212"/>
      <c r="F3" s="212"/>
      <c r="G3" s="212"/>
      <c r="H3" s="212"/>
    </row>
    <row r="4" spans="1:13" x14ac:dyDescent="0.25">
      <c r="A4" s="177"/>
    </row>
    <row r="5" spans="1:13" x14ac:dyDescent="0.25">
      <c r="A5" s="216" t="s">
        <v>398</v>
      </c>
      <c r="B5" s="216"/>
      <c r="C5" s="216"/>
      <c r="D5" s="216"/>
      <c r="E5" s="216"/>
      <c r="F5" s="216"/>
      <c r="G5" s="216"/>
      <c r="H5" s="216"/>
    </row>
    <row r="6" spans="1:13" x14ac:dyDescent="0.25">
      <c r="A6" s="129"/>
      <c r="B6" s="129"/>
      <c r="C6" s="129"/>
      <c r="D6" s="129"/>
      <c r="E6" s="112"/>
      <c r="F6" s="129"/>
      <c r="G6" s="129"/>
      <c r="H6" s="129"/>
    </row>
    <row r="7" spans="1:13" ht="38.25" customHeight="1" x14ac:dyDescent="0.25">
      <c r="A7" s="217" t="s">
        <v>114</v>
      </c>
      <c r="B7" s="217" t="s">
        <v>115</v>
      </c>
      <c r="C7" s="217" t="s">
        <v>116</v>
      </c>
      <c r="D7" s="217" t="s">
        <v>117</v>
      </c>
      <c r="E7" s="217" t="s">
        <v>118</v>
      </c>
      <c r="F7" s="217" t="s">
        <v>119</v>
      </c>
      <c r="G7" s="217" t="s">
        <v>74</v>
      </c>
      <c r="H7" s="217"/>
    </row>
    <row r="8" spans="1:13" ht="40.5" customHeight="1" x14ac:dyDescent="0.25">
      <c r="A8" s="217"/>
      <c r="B8" s="217"/>
      <c r="C8" s="217"/>
      <c r="D8" s="217"/>
      <c r="E8" s="217"/>
      <c r="F8" s="217"/>
      <c r="G8" s="120" t="s">
        <v>120</v>
      </c>
      <c r="H8" s="120" t="s">
        <v>121</v>
      </c>
    </row>
    <row r="9" spans="1:13" x14ac:dyDescent="0.25">
      <c r="A9" s="130">
        <v>1</v>
      </c>
      <c r="B9" s="130"/>
      <c r="C9" s="130">
        <v>2</v>
      </c>
      <c r="D9" s="130" t="s">
        <v>122</v>
      </c>
      <c r="E9" s="130">
        <v>4</v>
      </c>
      <c r="F9" s="130">
        <v>5</v>
      </c>
      <c r="G9" s="130">
        <v>6</v>
      </c>
      <c r="H9" s="130">
        <v>7</v>
      </c>
    </row>
    <row r="10" spans="1:13" s="132" customFormat="1" x14ac:dyDescent="0.25">
      <c r="A10" s="218" t="s">
        <v>123</v>
      </c>
      <c r="B10" s="219"/>
      <c r="C10" s="220"/>
      <c r="D10" s="220"/>
      <c r="E10" s="219"/>
      <c r="F10" s="131">
        <f>SUM(F11:F12)</f>
        <v>112.36</v>
      </c>
      <c r="G10" s="131"/>
      <c r="H10" s="131">
        <f>SUM(H11:H12)</f>
        <v>1067.43</v>
      </c>
      <c r="I10" s="111"/>
      <c r="J10" s="111"/>
      <c r="K10" s="111"/>
      <c r="L10" s="111"/>
      <c r="M10" s="111"/>
    </row>
    <row r="11" spans="1:13" x14ac:dyDescent="0.25">
      <c r="A11" s="133">
        <v>1</v>
      </c>
      <c r="B11" s="134" t="s">
        <v>124</v>
      </c>
      <c r="C11" s="135" t="s">
        <v>125</v>
      </c>
      <c r="D11" s="136" t="s">
        <v>126</v>
      </c>
      <c r="E11" s="137" t="s">
        <v>127</v>
      </c>
      <c r="F11" s="133">
        <v>100</v>
      </c>
      <c r="G11" s="138">
        <v>9.6199999999999992</v>
      </c>
      <c r="H11" s="138">
        <f>ROUND(F11*G11,2)</f>
        <v>962</v>
      </c>
    </row>
    <row r="12" spans="1:13" x14ac:dyDescent="0.25">
      <c r="A12" s="133">
        <v>2</v>
      </c>
      <c r="B12" s="134" t="s">
        <v>124</v>
      </c>
      <c r="C12" s="135" t="s">
        <v>128</v>
      </c>
      <c r="D12" s="136" t="s">
        <v>129</v>
      </c>
      <c r="E12" s="137" t="s">
        <v>127</v>
      </c>
      <c r="F12" s="133">
        <v>12.36</v>
      </c>
      <c r="G12" s="138">
        <v>8.5299999999999994</v>
      </c>
      <c r="H12" s="138">
        <f>ROUND(F12*G12,2)</f>
        <v>105.43</v>
      </c>
    </row>
    <row r="13" spans="1:13" x14ac:dyDescent="0.25">
      <c r="A13" s="218" t="s">
        <v>130</v>
      </c>
      <c r="B13" s="219"/>
      <c r="C13" s="220"/>
      <c r="D13" s="220"/>
      <c r="E13" s="219"/>
      <c r="F13" s="179">
        <f>F14</f>
        <v>2.02</v>
      </c>
      <c r="G13" s="131"/>
      <c r="H13" s="131">
        <f>H14</f>
        <v>23.28</v>
      </c>
    </row>
    <row r="14" spans="1:13" x14ac:dyDescent="0.25">
      <c r="A14" s="133">
        <v>3</v>
      </c>
      <c r="B14" s="133" t="s">
        <v>124</v>
      </c>
      <c r="C14" s="136">
        <v>2</v>
      </c>
      <c r="D14" s="136" t="s">
        <v>130</v>
      </c>
      <c r="E14" s="137" t="s">
        <v>127</v>
      </c>
      <c r="F14" s="133">
        <v>2.02</v>
      </c>
      <c r="G14" s="138"/>
      <c r="H14" s="138">
        <v>23.28</v>
      </c>
    </row>
    <row r="15" spans="1:13" s="132" customFormat="1" x14ac:dyDescent="0.25">
      <c r="A15" s="218" t="s">
        <v>131</v>
      </c>
      <c r="B15" s="219"/>
      <c r="C15" s="220"/>
      <c r="D15" s="220"/>
      <c r="E15" s="219"/>
      <c r="F15" s="179"/>
      <c r="G15" s="131"/>
      <c r="H15" s="131">
        <f>SUM(H16:H17)</f>
        <v>135.16</v>
      </c>
      <c r="I15" s="111"/>
      <c r="J15" s="111"/>
      <c r="K15" s="111"/>
      <c r="L15" s="111"/>
      <c r="M15" s="111"/>
    </row>
    <row r="16" spans="1:13" x14ac:dyDescent="0.25">
      <c r="A16" s="133">
        <v>4</v>
      </c>
      <c r="B16" s="133" t="s">
        <v>124</v>
      </c>
      <c r="C16" s="136" t="s">
        <v>132</v>
      </c>
      <c r="D16" s="136" t="s">
        <v>133</v>
      </c>
      <c r="E16" s="137" t="s">
        <v>134</v>
      </c>
      <c r="F16" s="133">
        <v>1.92</v>
      </c>
      <c r="G16" s="138">
        <v>65.709999999999994</v>
      </c>
      <c r="H16" s="138">
        <f>ROUND(F16*G16,2)</f>
        <v>126.16</v>
      </c>
    </row>
    <row r="17" spans="1:13" s="132" customFormat="1" x14ac:dyDescent="0.25">
      <c r="A17" s="133">
        <v>5</v>
      </c>
      <c r="B17" s="133" t="s">
        <v>124</v>
      </c>
      <c r="C17" s="136" t="s">
        <v>135</v>
      </c>
      <c r="D17" s="136" t="s">
        <v>136</v>
      </c>
      <c r="E17" s="137" t="s">
        <v>134</v>
      </c>
      <c r="F17" s="133">
        <v>0.1</v>
      </c>
      <c r="G17" s="138">
        <v>89.99</v>
      </c>
      <c r="H17" s="138">
        <f>ROUND(F17*G17,2)</f>
        <v>9</v>
      </c>
      <c r="I17" s="111"/>
      <c r="J17" s="111"/>
      <c r="K17" s="111"/>
      <c r="L17" s="111"/>
      <c r="M17" s="111"/>
    </row>
    <row r="18" spans="1:13" x14ac:dyDescent="0.25">
      <c r="A18" s="218" t="s">
        <v>43</v>
      </c>
      <c r="B18" s="219"/>
      <c r="C18" s="220"/>
      <c r="D18" s="220"/>
      <c r="E18" s="219"/>
      <c r="F18" s="179"/>
      <c r="G18" s="131"/>
      <c r="H18" s="131">
        <f>SUM(H19:H19)</f>
        <v>86517.58</v>
      </c>
    </row>
    <row r="19" spans="1:13" s="132" customFormat="1" ht="94.5" customHeight="1" x14ac:dyDescent="0.25">
      <c r="A19" s="133">
        <v>6</v>
      </c>
      <c r="B19" s="133" t="s">
        <v>124</v>
      </c>
      <c r="C19" s="136" t="s">
        <v>392</v>
      </c>
      <c r="D19" s="136" t="s">
        <v>137</v>
      </c>
      <c r="E19" s="137" t="s">
        <v>138</v>
      </c>
      <c r="F19" s="133">
        <v>2</v>
      </c>
      <c r="G19" s="138">
        <v>43258.79</v>
      </c>
      <c r="H19" s="138">
        <f>ROUND(F19*G19,2)</f>
        <v>86517.58</v>
      </c>
      <c r="I19" s="111"/>
      <c r="J19" s="111"/>
      <c r="K19" s="111"/>
      <c r="L19" s="111"/>
      <c r="M19" s="111"/>
    </row>
    <row r="20" spans="1:13" x14ac:dyDescent="0.25">
      <c r="A20" s="218" t="s">
        <v>139</v>
      </c>
      <c r="B20" s="219"/>
      <c r="C20" s="220"/>
      <c r="D20" s="220"/>
      <c r="E20" s="219"/>
      <c r="F20" s="179"/>
      <c r="G20" s="131"/>
      <c r="H20" s="131">
        <f>SUM(H21:H36)</f>
        <v>447.92999999999984</v>
      </c>
    </row>
    <row r="21" spans="1:13" ht="31.5" customHeight="1" x14ac:dyDescent="0.25">
      <c r="A21" s="133">
        <v>7</v>
      </c>
      <c r="B21" s="133" t="s">
        <v>124</v>
      </c>
      <c r="C21" s="136" t="s">
        <v>140</v>
      </c>
      <c r="D21" s="136" t="s">
        <v>141</v>
      </c>
      <c r="E21" s="137" t="s">
        <v>142</v>
      </c>
      <c r="F21" s="133">
        <v>1.2E-2</v>
      </c>
      <c r="G21" s="138">
        <v>15481</v>
      </c>
      <c r="H21" s="138">
        <f t="shared" ref="H21:H36" si="0">ROUND(F21*G21,2)</f>
        <v>185.77</v>
      </c>
    </row>
    <row r="22" spans="1:13" ht="47.25" customHeight="1" x14ac:dyDescent="0.25">
      <c r="A22" s="133">
        <v>8</v>
      </c>
      <c r="B22" s="133" t="s">
        <v>124</v>
      </c>
      <c r="C22" s="136" t="s">
        <v>143</v>
      </c>
      <c r="D22" s="136" t="s">
        <v>144</v>
      </c>
      <c r="E22" s="137" t="s">
        <v>142</v>
      </c>
      <c r="F22" s="133">
        <v>8.0000000000000004E-4</v>
      </c>
      <c r="G22" s="138">
        <v>75162.289999999994</v>
      </c>
      <c r="H22" s="138">
        <f t="shared" si="0"/>
        <v>60.13</v>
      </c>
    </row>
    <row r="23" spans="1:13" x14ac:dyDescent="0.25">
      <c r="A23" s="133">
        <v>9</v>
      </c>
      <c r="B23" s="133" t="s">
        <v>124</v>
      </c>
      <c r="C23" s="136" t="s">
        <v>145</v>
      </c>
      <c r="D23" s="136" t="s">
        <v>146</v>
      </c>
      <c r="E23" s="137" t="s">
        <v>147</v>
      </c>
      <c r="F23" s="133">
        <v>0.3</v>
      </c>
      <c r="G23" s="138">
        <v>155</v>
      </c>
      <c r="H23" s="138">
        <f t="shared" si="0"/>
        <v>46.5</v>
      </c>
    </row>
    <row r="24" spans="1:13" x14ac:dyDescent="0.25">
      <c r="A24" s="133">
        <v>10</v>
      </c>
      <c r="B24" s="133" t="s">
        <v>124</v>
      </c>
      <c r="C24" s="136" t="s">
        <v>148</v>
      </c>
      <c r="D24" s="136" t="s">
        <v>149</v>
      </c>
      <c r="E24" s="137" t="s">
        <v>150</v>
      </c>
      <c r="F24" s="133">
        <v>0.2</v>
      </c>
      <c r="G24" s="138">
        <v>203</v>
      </c>
      <c r="H24" s="138">
        <f t="shared" si="0"/>
        <v>40.6</v>
      </c>
    </row>
    <row r="25" spans="1:13" ht="31.5" customHeight="1" x14ac:dyDescent="0.25">
      <c r="A25" s="133">
        <v>11</v>
      </c>
      <c r="B25" s="133" t="s">
        <v>124</v>
      </c>
      <c r="C25" s="136" t="s">
        <v>151</v>
      </c>
      <c r="D25" s="136" t="s">
        <v>152</v>
      </c>
      <c r="E25" s="137" t="s">
        <v>142</v>
      </c>
      <c r="F25" s="133">
        <v>1.9400000000000001E-3</v>
      </c>
      <c r="G25" s="138">
        <v>12606</v>
      </c>
      <c r="H25" s="138">
        <f t="shared" si="0"/>
        <v>24.46</v>
      </c>
    </row>
    <row r="26" spans="1:13" ht="31.5" customHeight="1" x14ac:dyDescent="0.25">
      <c r="A26" s="133">
        <v>12</v>
      </c>
      <c r="B26" s="133" t="s">
        <v>124</v>
      </c>
      <c r="C26" s="136" t="s">
        <v>153</v>
      </c>
      <c r="D26" s="136" t="s">
        <v>154</v>
      </c>
      <c r="E26" s="137" t="s">
        <v>155</v>
      </c>
      <c r="F26" s="133">
        <v>21.4</v>
      </c>
      <c r="G26" s="138">
        <v>1</v>
      </c>
      <c r="H26" s="138">
        <f t="shared" si="0"/>
        <v>21.4</v>
      </c>
    </row>
    <row r="27" spans="1:13" ht="31.5" customHeight="1" x14ac:dyDescent="0.25">
      <c r="A27" s="133">
        <v>13</v>
      </c>
      <c r="B27" s="133" t="s">
        <v>124</v>
      </c>
      <c r="C27" s="136" t="s">
        <v>156</v>
      </c>
      <c r="D27" s="136" t="s">
        <v>157</v>
      </c>
      <c r="E27" s="137" t="s">
        <v>142</v>
      </c>
      <c r="F27" s="133">
        <v>5.5999999999999995E-4</v>
      </c>
      <c r="G27" s="138">
        <v>37517</v>
      </c>
      <c r="H27" s="138">
        <f t="shared" si="0"/>
        <v>21.01</v>
      </c>
    </row>
    <row r="28" spans="1:13" x14ac:dyDescent="0.25">
      <c r="A28" s="133">
        <v>14</v>
      </c>
      <c r="B28" s="133" t="s">
        <v>124</v>
      </c>
      <c r="C28" s="136" t="s">
        <v>158</v>
      </c>
      <c r="D28" s="136" t="s">
        <v>159</v>
      </c>
      <c r="E28" s="137" t="s">
        <v>142</v>
      </c>
      <c r="F28" s="133">
        <v>3.6000000000000002E-4</v>
      </c>
      <c r="G28" s="138">
        <v>42700.01</v>
      </c>
      <c r="H28" s="138">
        <f t="shared" si="0"/>
        <v>15.37</v>
      </c>
    </row>
    <row r="29" spans="1:13" ht="31.5" customHeight="1" x14ac:dyDescent="0.25">
      <c r="A29" s="133">
        <v>15</v>
      </c>
      <c r="B29" s="133" t="s">
        <v>124</v>
      </c>
      <c r="C29" s="136" t="s">
        <v>160</v>
      </c>
      <c r="D29" s="136" t="s">
        <v>161</v>
      </c>
      <c r="E29" s="137" t="s">
        <v>142</v>
      </c>
      <c r="F29" s="133">
        <v>1.2E-4</v>
      </c>
      <c r="G29" s="138">
        <v>114220</v>
      </c>
      <c r="H29" s="138">
        <f t="shared" si="0"/>
        <v>13.71</v>
      </c>
    </row>
    <row r="30" spans="1:13" x14ac:dyDescent="0.25">
      <c r="A30" s="133">
        <v>16</v>
      </c>
      <c r="B30" s="133" t="s">
        <v>124</v>
      </c>
      <c r="C30" s="136" t="s">
        <v>162</v>
      </c>
      <c r="D30" s="136" t="s">
        <v>163</v>
      </c>
      <c r="E30" s="137" t="s">
        <v>147</v>
      </c>
      <c r="F30" s="133">
        <v>0.24</v>
      </c>
      <c r="G30" s="138">
        <v>28.26</v>
      </c>
      <c r="H30" s="138">
        <f t="shared" si="0"/>
        <v>6.78</v>
      </c>
    </row>
    <row r="31" spans="1:13" x14ac:dyDescent="0.25">
      <c r="A31" s="133">
        <v>17</v>
      </c>
      <c r="B31" s="133" t="s">
        <v>124</v>
      </c>
      <c r="C31" s="136" t="s">
        <v>164</v>
      </c>
      <c r="D31" s="136" t="s">
        <v>165</v>
      </c>
      <c r="E31" s="137" t="s">
        <v>147</v>
      </c>
      <c r="F31" s="133">
        <v>3.6999999999999998E-2</v>
      </c>
      <c r="G31" s="138">
        <v>138.76</v>
      </c>
      <c r="H31" s="138">
        <f t="shared" si="0"/>
        <v>5.13</v>
      </c>
    </row>
    <row r="32" spans="1:13" ht="47.25" customHeight="1" x14ac:dyDescent="0.25">
      <c r="A32" s="133">
        <v>18</v>
      </c>
      <c r="B32" s="133" t="s">
        <v>124</v>
      </c>
      <c r="C32" s="136" t="s">
        <v>166</v>
      </c>
      <c r="D32" s="136" t="s">
        <v>167</v>
      </c>
      <c r="E32" s="137" t="s">
        <v>168</v>
      </c>
      <c r="F32" s="133">
        <v>6.0000000000000001E-3</v>
      </c>
      <c r="G32" s="138">
        <v>405.22</v>
      </c>
      <c r="H32" s="138">
        <f t="shared" si="0"/>
        <v>2.4300000000000002</v>
      </c>
    </row>
    <row r="33" spans="1:10" x14ac:dyDescent="0.25">
      <c r="A33" s="133">
        <v>19</v>
      </c>
      <c r="B33" s="133" t="s">
        <v>124</v>
      </c>
      <c r="C33" s="136" t="s">
        <v>169</v>
      </c>
      <c r="D33" s="136" t="s">
        <v>170</v>
      </c>
      <c r="E33" s="137" t="s">
        <v>147</v>
      </c>
      <c r="F33" s="133">
        <v>5.1999999999999998E-2</v>
      </c>
      <c r="G33" s="138">
        <v>39.020000000000003</v>
      </c>
      <c r="H33" s="138">
        <f t="shared" si="0"/>
        <v>2.0299999999999998</v>
      </c>
    </row>
    <row r="34" spans="1:10" ht="31.5" customHeight="1" x14ac:dyDescent="0.25">
      <c r="A34" s="133">
        <v>20</v>
      </c>
      <c r="B34" s="133" t="s">
        <v>124</v>
      </c>
      <c r="C34" s="136" t="s">
        <v>171</v>
      </c>
      <c r="D34" s="136" t="s">
        <v>172</v>
      </c>
      <c r="E34" s="137" t="s">
        <v>147</v>
      </c>
      <c r="F34" s="133">
        <v>0.04</v>
      </c>
      <c r="G34" s="138">
        <v>38.340000000000003</v>
      </c>
      <c r="H34" s="138">
        <f t="shared" si="0"/>
        <v>1.53</v>
      </c>
    </row>
    <row r="35" spans="1:10" ht="31.5" customHeight="1" x14ac:dyDescent="0.25">
      <c r="A35" s="133">
        <v>21</v>
      </c>
      <c r="B35" s="133" t="s">
        <v>124</v>
      </c>
      <c r="C35" s="136" t="s">
        <v>173</v>
      </c>
      <c r="D35" s="136" t="s">
        <v>174</v>
      </c>
      <c r="E35" s="137" t="s">
        <v>142</v>
      </c>
      <c r="F35" s="133">
        <v>4.8000000000000001E-5</v>
      </c>
      <c r="G35" s="138">
        <v>22419</v>
      </c>
      <c r="H35" s="138">
        <f t="shared" si="0"/>
        <v>1.08</v>
      </c>
      <c r="J35" s="110"/>
    </row>
    <row r="36" spans="1:10" x14ac:dyDescent="0.25">
      <c r="A36" s="133">
        <v>22</v>
      </c>
      <c r="B36" s="133" t="s">
        <v>124</v>
      </c>
      <c r="C36" s="136" t="s">
        <v>175</v>
      </c>
      <c r="D36" s="136" t="s">
        <v>176</v>
      </c>
      <c r="E36" s="137" t="s">
        <v>142</v>
      </c>
      <c r="F36" s="133">
        <v>0.35</v>
      </c>
      <c r="G36" s="138"/>
      <c r="H36" s="138">
        <f t="shared" si="0"/>
        <v>0</v>
      </c>
      <c r="J36" s="110"/>
    </row>
    <row r="39" spans="1:10" x14ac:dyDescent="0.25">
      <c r="B39" s="111" t="s">
        <v>68</v>
      </c>
    </row>
    <row r="40" spans="1:10" x14ac:dyDescent="0.25">
      <c r="B40" s="124" t="s">
        <v>69</v>
      </c>
    </row>
    <row r="42" spans="1:10" x14ac:dyDescent="0.25">
      <c r="B42" s="111" t="s">
        <v>70</v>
      </c>
    </row>
    <row r="43" spans="1:10" x14ac:dyDescent="0.25">
      <c r="B43" s="124" t="s">
        <v>71</v>
      </c>
    </row>
  </sheetData>
  <mergeCells count="15">
    <mergeCell ref="A13:E13"/>
    <mergeCell ref="A20:E20"/>
    <mergeCell ref="A10:E10"/>
    <mergeCell ref="A15:E15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18:E18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50"/>
  <sheetViews>
    <sheetView view="pageBreakPreview" topLeftCell="A25" workbookViewId="0">
      <selection activeCell="F41" sqref="F4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177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4" t="s">
        <v>72</v>
      </c>
      <c r="C5" s="204"/>
      <c r="D5" s="204"/>
      <c r="E5" s="204"/>
    </row>
    <row r="6" spans="2:5" x14ac:dyDescent="0.25">
      <c r="B6" s="108"/>
      <c r="C6" s="4"/>
      <c r="D6" s="4"/>
      <c r="E6" s="4"/>
    </row>
    <row r="7" spans="2:5" ht="25.5" customHeight="1" x14ac:dyDescent="0.25">
      <c r="B7" s="221" t="s">
        <v>396</v>
      </c>
      <c r="C7" s="221"/>
      <c r="D7" s="221"/>
      <c r="E7" s="221"/>
    </row>
    <row r="8" spans="2:5" x14ac:dyDescent="0.25">
      <c r="B8" s="222" t="s">
        <v>390</v>
      </c>
      <c r="C8" s="222"/>
      <c r="D8" s="222"/>
      <c r="E8" s="222"/>
    </row>
    <row r="9" spans="2:5" x14ac:dyDescent="0.25">
      <c r="B9" s="108"/>
      <c r="C9" s="4"/>
      <c r="D9" s="4"/>
      <c r="E9" s="4"/>
    </row>
    <row r="10" spans="2:5" ht="51" customHeight="1" x14ac:dyDescent="0.25">
      <c r="B10" s="2" t="s">
        <v>73</v>
      </c>
      <c r="C10" s="2" t="s">
        <v>178</v>
      </c>
      <c r="D10" s="2" t="s">
        <v>179</v>
      </c>
      <c r="E10" s="2" t="s">
        <v>180</v>
      </c>
    </row>
    <row r="11" spans="2:5" x14ac:dyDescent="0.25">
      <c r="B11" s="106" t="s">
        <v>75</v>
      </c>
      <c r="C11" s="186">
        <f>'Прил.5 Расчет СМР и ОБ'!J15</f>
        <v>3618.12</v>
      </c>
      <c r="D11" s="107">
        <f t="shared" ref="D11:D18" si="0">C11/$C$24</f>
        <v>0.22859070731882988</v>
      </c>
      <c r="E11" s="107">
        <f t="shared" ref="E11:E18" si="1">C11/$C$40</f>
        <v>5.8365827486498998E-3</v>
      </c>
    </row>
    <row r="12" spans="2:5" x14ac:dyDescent="0.25">
      <c r="B12" s="106" t="s">
        <v>76</v>
      </c>
      <c r="C12" s="186">
        <f>'Прил.5 Расчет СМР и ОБ'!J21</f>
        <v>1699.41</v>
      </c>
      <c r="D12" s="107">
        <f t="shared" si="0"/>
        <v>0.10736773073438491</v>
      </c>
      <c r="E12" s="107">
        <f t="shared" si="1"/>
        <v>2.7414090988920011E-3</v>
      </c>
    </row>
    <row r="13" spans="2:5" x14ac:dyDescent="0.25">
      <c r="B13" s="106" t="s">
        <v>77</v>
      </c>
      <c r="C13" s="186">
        <f>'Прил.5 Расчет СМР и ОБ'!J23</f>
        <v>121.22</v>
      </c>
      <c r="D13" s="107">
        <f t="shared" si="0"/>
        <v>7.6586087639958205E-3</v>
      </c>
      <c r="E13" s="107">
        <f t="shared" si="1"/>
        <v>1.9554646081151007E-4</v>
      </c>
    </row>
    <row r="14" spans="2:5" x14ac:dyDescent="0.25">
      <c r="B14" s="106" t="s">
        <v>78</v>
      </c>
      <c r="C14" s="186">
        <f>C13+C12</f>
        <v>1820.63</v>
      </c>
      <c r="D14" s="107">
        <f t="shared" si="0"/>
        <v>0.11502633949838073</v>
      </c>
      <c r="E14" s="107">
        <f t="shared" si="1"/>
        <v>2.9369555597035112E-3</v>
      </c>
    </row>
    <row r="15" spans="2:5" x14ac:dyDescent="0.25">
      <c r="B15" s="106" t="s">
        <v>79</v>
      </c>
      <c r="C15" s="186">
        <f>'Прил.5 Расчет СМР и ОБ'!J17</f>
        <v>1031.07</v>
      </c>
      <c r="D15" s="107">
        <f t="shared" si="0"/>
        <v>6.5142400084913135E-2</v>
      </c>
      <c r="E15" s="107">
        <f t="shared" si="1"/>
        <v>1.6632741243105403E-3</v>
      </c>
    </row>
    <row r="16" spans="2:5" x14ac:dyDescent="0.25">
      <c r="B16" s="106" t="s">
        <v>80</v>
      </c>
      <c r="C16" s="186">
        <f>'Прил.5 Расчет СМР и ОБ'!J41</f>
        <v>3214.93</v>
      </c>
      <c r="D16" s="107">
        <f t="shared" si="0"/>
        <v>0.20311739872655571</v>
      </c>
      <c r="E16" s="107">
        <f t="shared" si="1"/>
        <v>5.186175410466491E-3</v>
      </c>
    </row>
    <row r="17" spans="2:6" x14ac:dyDescent="0.25">
      <c r="B17" s="106" t="s">
        <v>81</v>
      </c>
      <c r="C17" s="186">
        <f>'Прил.5 Расчет СМР и ОБ'!J51</f>
        <v>386.44</v>
      </c>
      <c r="D17" s="107">
        <f t="shared" si="0"/>
        <v>2.4415053380288276E-2</v>
      </c>
      <c r="E17" s="107">
        <f t="shared" si="1"/>
        <v>6.2338701795083286E-4</v>
      </c>
    </row>
    <row r="18" spans="2:6" x14ac:dyDescent="0.25">
      <c r="B18" s="106" t="s">
        <v>82</v>
      </c>
      <c r="C18" s="186">
        <f>C17+C16</f>
        <v>3601.37</v>
      </c>
      <c r="D18" s="107">
        <f t="shared" si="0"/>
        <v>0.22753245210684397</v>
      </c>
      <c r="E18" s="107">
        <f t="shared" si="1"/>
        <v>5.8095624284173241E-3</v>
      </c>
    </row>
    <row r="19" spans="2:6" x14ac:dyDescent="0.25">
      <c r="B19" s="106" t="s">
        <v>83</v>
      </c>
      <c r="C19" s="186">
        <f>C18+C14+C11</f>
        <v>9040.119999999999</v>
      </c>
      <c r="D19" s="107"/>
      <c r="E19" s="106"/>
    </row>
    <row r="20" spans="2:6" x14ac:dyDescent="0.25">
      <c r="B20" s="106" t="s">
        <v>84</v>
      </c>
      <c r="C20" s="186">
        <f>ROUND(C21*(C11+C15),2)</f>
        <v>2417.58</v>
      </c>
      <c r="D20" s="107">
        <f>C20/$C$24</f>
        <v>0.15274129166524514</v>
      </c>
      <c r="E20" s="107">
        <f>C20/$C$40</f>
        <v>3.8999275097235647E-3</v>
      </c>
    </row>
    <row r="21" spans="2:6" x14ac:dyDescent="0.25">
      <c r="B21" s="106" t="s">
        <v>85</v>
      </c>
      <c r="C21" s="187">
        <f>'Прил.5 Расчет СМР и ОБ'!D55</f>
        <v>0.52</v>
      </c>
      <c r="D21" s="107"/>
      <c r="E21" s="106"/>
    </row>
    <row r="22" spans="2:6" x14ac:dyDescent="0.25">
      <c r="B22" s="106" t="s">
        <v>86</v>
      </c>
      <c r="C22" s="186">
        <f>ROUND(C23*(C11+C15),2)</f>
        <v>4370.24</v>
      </c>
      <c r="D22" s="107">
        <f>C22/$C$24</f>
        <v>0.27610920941070033</v>
      </c>
      <c r="E22" s="107">
        <f>C22/$C$40</f>
        <v>7.0498677189976388E-3</v>
      </c>
    </row>
    <row r="23" spans="2:6" x14ac:dyDescent="0.25">
      <c r="B23" s="106" t="s">
        <v>87</v>
      </c>
      <c r="C23" s="187">
        <f>'Прил.5 Расчет СМР и ОБ'!D54</f>
        <v>0.94</v>
      </c>
      <c r="D23" s="107"/>
      <c r="E23" s="106"/>
    </row>
    <row r="24" spans="2:6" x14ac:dyDescent="0.25">
      <c r="B24" s="106" t="s">
        <v>88</v>
      </c>
      <c r="C24" s="186">
        <f>C19+C20+C22</f>
        <v>15827.939999999999</v>
      </c>
      <c r="D24" s="107">
        <f>C24/$C$24</f>
        <v>1</v>
      </c>
      <c r="E24" s="107">
        <f>C24/$C$40</f>
        <v>2.5532895965491936E-2</v>
      </c>
    </row>
    <row r="25" spans="2:6" ht="25.5" customHeight="1" x14ac:dyDescent="0.25">
      <c r="B25" s="106" t="s">
        <v>89</v>
      </c>
      <c r="C25" s="186">
        <f>'Прил.5 Расчет СМР и ОБ'!J30</f>
        <v>541600</v>
      </c>
      <c r="D25" s="107"/>
      <c r="E25" s="107">
        <f>C25/$C$40</f>
        <v>0.87368390674405094</v>
      </c>
    </row>
    <row r="26" spans="2:6" ht="25.5" customHeight="1" x14ac:dyDescent="0.25">
      <c r="B26" s="106" t="s">
        <v>90</v>
      </c>
      <c r="C26" s="186">
        <f>'Прил.5 Расчет СМР и ОБ'!J31</f>
        <v>541600.05000000005</v>
      </c>
      <c r="D26" s="107"/>
      <c r="E26" s="107">
        <f>C26/$C$40</f>
        <v>0.87368398740172337</v>
      </c>
    </row>
    <row r="27" spans="2:6" x14ac:dyDescent="0.25">
      <c r="B27" s="106" t="s">
        <v>91</v>
      </c>
      <c r="C27" s="139">
        <f>C24+C25</f>
        <v>557427.93999999994</v>
      </c>
      <c r="D27" s="107"/>
      <c r="E27" s="107">
        <f>C27/$C$40</f>
        <v>0.89921680270954285</v>
      </c>
    </row>
    <row r="28" spans="2:6" ht="33" customHeight="1" x14ac:dyDescent="0.25">
      <c r="B28" s="106" t="s">
        <v>92</v>
      </c>
      <c r="C28" s="106"/>
      <c r="D28" s="106"/>
      <c r="E28" s="106"/>
      <c r="F28" s="140"/>
    </row>
    <row r="29" spans="2:6" ht="25.5" customHeight="1" x14ac:dyDescent="0.25">
      <c r="B29" s="106" t="s">
        <v>181</v>
      </c>
      <c r="C29" s="139">
        <f>ROUND(C24*3.9%,2)</f>
        <v>617.29</v>
      </c>
      <c r="D29" s="106"/>
      <c r="E29" s="107">
        <f t="shared" ref="E29:E38" si="2">C29/$C$40</f>
        <v>9.9578349112635755E-4</v>
      </c>
    </row>
    <row r="30" spans="2:6" ht="38.25" customHeight="1" x14ac:dyDescent="0.25">
      <c r="B30" s="106" t="s">
        <v>182</v>
      </c>
      <c r="C30" s="198">
        <f>ROUND((C24+C29)*2.1%,2)</f>
        <v>345.35</v>
      </c>
      <c r="D30" s="199"/>
      <c r="E30" s="200">
        <f t="shared" si="2"/>
        <v>5.5710254282507023E-4</v>
      </c>
      <c r="F30" s="140"/>
    </row>
    <row r="31" spans="2:6" x14ac:dyDescent="0.25">
      <c r="B31" s="106" t="s">
        <v>183</v>
      </c>
      <c r="C31" s="198">
        <v>32120</v>
      </c>
      <c r="D31" s="199"/>
      <c r="E31" s="200">
        <f t="shared" si="2"/>
        <v>5.1814488708675992E-2</v>
      </c>
    </row>
    <row r="32" spans="2:6" ht="25.5" customHeight="1" x14ac:dyDescent="0.25">
      <c r="B32" s="106" t="s">
        <v>184</v>
      </c>
      <c r="C32" s="198">
        <v>0</v>
      </c>
      <c r="D32" s="199"/>
      <c r="E32" s="200">
        <f t="shared" si="2"/>
        <v>0</v>
      </c>
    </row>
    <row r="33" spans="2:11" ht="25.5" customHeight="1" x14ac:dyDescent="0.25">
      <c r="B33" s="106" t="s">
        <v>185</v>
      </c>
      <c r="C33" s="139">
        <v>0</v>
      </c>
      <c r="D33" s="199"/>
      <c r="E33" s="200">
        <f t="shared" si="2"/>
        <v>0</v>
      </c>
    </row>
    <row r="34" spans="2:11" ht="51" customHeight="1" x14ac:dyDescent="0.25">
      <c r="B34" s="106" t="s">
        <v>186</v>
      </c>
      <c r="C34" s="139">
        <v>0</v>
      </c>
      <c r="D34" s="106"/>
      <c r="E34" s="107">
        <f t="shared" si="2"/>
        <v>0</v>
      </c>
      <c r="G34" s="141"/>
    </row>
    <row r="35" spans="2:11" ht="76.5" customHeight="1" x14ac:dyDescent="0.25">
      <c r="B35" s="106" t="s">
        <v>187</v>
      </c>
      <c r="C35" s="139">
        <v>0</v>
      </c>
      <c r="D35" s="106"/>
      <c r="E35" s="107">
        <f t="shared" si="2"/>
        <v>0</v>
      </c>
    </row>
    <row r="36" spans="2:11" ht="25.5" customHeight="1" x14ac:dyDescent="0.25">
      <c r="B36" s="106" t="s">
        <v>188</v>
      </c>
      <c r="C36" s="139">
        <f>ROUND((C27+C32+C33+C34+C35+C29+C31+C30)*1.72%,2)</f>
        <v>10156.780000000001</v>
      </c>
      <c r="D36" s="106"/>
      <c r="E36" s="107">
        <f t="shared" si="2"/>
        <v>1.638444466458612E-2</v>
      </c>
      <c r="K36" s="140"/>
    </row>
    <row r="37" spans="2:11" x14ac:dyDescent="0.25">
      <c r="B37" s="106" t="s">
        <v>189</v>
      </c>
      <c r="C37" s="139">
        <f>ROUND((C27+C32+C33+C34+C35+C29+C31+C30)*0.2%,2)</f>
        <v>1181.02</v>
      </c>
      <c r="D37" s="106"/>
      <c r="E37" s="107">
        <f t="shared" si="2"/>
        <v>1.9051664836463424E-3</v>
      </c>
      <c r="K37" s="140"/>
    </row>
    <row r="38" spans="2:11" ht="38.25" customHeight="1" x14ac:dyDescent="0.25">
      <c r="B38" s="106" t="s">
        <v>94</v>
      </c>
      <c r="C38" s="186">
        <f>C27+C32+C33+C34+C35+C29+C31+C30+C36+C37</f>
        <v>601848.38</v>
      </c>
      <c r="D38" s="106"/>
      <c r="E38" s="107">
        <f t="shared" si="2"/>
        <v>0.97087378860040285</v>
      </c>
    </row>
    <row r="39" spans="2:11" ht="13.5" customHeight="1" x14ac:dyDescent="0.25">
      <c r="B39" s="106" t="s">
        <v>95</v>
      </c>
      <c r="C39" s="186">
        <f>ROUND(C38*3%,2)</f>
        <v>18055.45</v>
      </c>
      <c r="D39" s="106"/>
      <c r="E39" s="107">
        <f>C39/$C$38</f>
        <v>2.9999997673832737E-2</v>
      </c>
    </row>
    <row r="40" spans="2:11" x14ac:dyDescent="0.25">
      <c r="B40" s="106" t="s">
        <v>96</v>
      </c>
      <c r="C40" s="186">
        <f>C39+C38</f>
        <v>619903.82999999996</v>
      </c>
      <c r="D40" s="106"/>
      <c r="E40" s="107">
        <f>C40/$C$40</f>
        <v>1</v>
      </c>
    </row>
    <row r="41" spans="2:11" x14ac:dyDescent="0.25">
      <c r="B41" s="106" t="s">
        <v>97</v>
      </c>
      <c r="C41" s="186">
        <f>C40/'Прил.5 Расчет СМР и ОБ'!E58</f>
        <v>619903.82999999996</v>
      </c>
      <c r="D41" s="106"/>
      <c r="E41" s="106"/>
    </row>
    <row r="42" spans="2:11" x14ac:dyDescent="0.25">
      <c r="B42" s="109"/>
      <c r="C42" s="4"/>
      <c r="D42" s="4"/>
      <c r="E42" s="4"/>
    </row>
    <row r="43" spans="2:11" x14ac:dyDescent="0.25">
      <c r="B43" s="109" t="s">
        <v>190</v>
      </c>
      <c r="C43" s="4"/>
      <c r="D43" s="4"/>
      <c r="E43" s="4"/>
    </row>
    <row r="44" spans="2:11" x14ac:dyDescent="0.25">
      <c r="B44" s="109" t="s">
        <v>191</v>
      </c>
      <c r="C44" s="4"/>
      <c r="D44" s="4"/>
      <c r="E44" s="4"/>
    </row>
    <row r="45" spans="2:11" x14ac:dyDescent="0.25">
      <c r="B45" s="109"/>
      <c r="C45" s="4"/>
      <c r="D45" s="4"/>
      <c r="E45" s="4"/>
    </row>
    <row r="46" spans="2:11" x14ac:dyDescent="0.25">
      <c r="B46" s="109" t="s">
        <v>192</v>
      </c>
      <c r="C46" s="4"/>
      <c r="D46" s="4"/>
      <c r="E46" s="4"/>
    </row>
    <row r="47" spans="2:11" x14ac:dyDescent="0.25">
      <c r="B47" s="222" t="s">
        <v>193</v>
      </c>
      <c r="C47" s="222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64"/>
  <sheetViews>
    <sheetView view="pageBreakPreview" zoomScaleSheetLayoutView="100" workbookViewId="0">
      <selection activeCell="I27" sqref="I27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43" t="s">
        <v>194</v>
      </c>
      <c r="I2" s="243"/>
      <c r="J2" s="243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4" t="s">
        <v>195</v>
      </c>
      <c r="B4" s="204"/>
      <c r="C4" s="204"/>
      <c r="D4" s="204"/>
      <c r="E4" s="204"/>
      <c r="F4" s="204"/>
      <c r="G4" s="204"/>
      <c r="H4" s="204"/>
      <c r="I4" s="204"/>
      <c r="J4" s="204"/>
    </row>
    <row r="5" spans="1:14" s="4" customFormat="1" ht="12.75" customHeight="1" x14ac:dyDescent="0.2">
      <c r="A5" s="181"/>
      <c r="B5" s="181"/>
      <c r="C5" s="29"/>
      <c r="D5" s="181"/>
      <c r="E5" s="181"/>
      <c r="F5" s="181"/>
      <c r="G5" s="181"/>
      <c r="H5" s="181"/>
      <c r="I5" s="181"/>
      <c r="J5" s="181"/>
    </row>
    <row r="6" spans="1:14" s="4" customFormat="1" ht="12.75" customHeight="1" x14ac:dyDescent="0.2">
      <c r="A6" s="142" t="s">
        <v>196</v>
      </c>
      <c r="B6" s="143"/>
      <c r="C6" s="143"/>
      <c r="D6" s="248" t="s">
        <v>399</v>
      </c>
      <c r="E6" s="248"/>
      <c r="F6" s="248"/>
      <c r="G6" s="248"/>
      <c r="H6" s="248"/>
      <c r="I6" s="248"/>
      <c r="J6" s="248"/>
    </row>
    <row r="7" spans="1:14" s="4" customFormat="1" ht="12.75" customHeight="1" x14ac:dyDescent="0.2">
      <c r="A7" s="207" t="s">
        <v>390</v>
      </c>
      <c r="B7" s="221"/>
      <c r="C7" s="221"/>
      <c r="D7" s="221"/>
      <c r="E7" s="221"/>
      <c r="F7" s="221"/>
      <c r="G7" s="221"/>
      <c r="H7" s="221"/>
      <c r="I7" s="43"/>
      <c r="J7" s="43"/>
    </row>
    <row r="8" spans="1:14" s="4" customFormat="1" ht="13.5" customHeight="1" x14ac:dyDescent="0.2">
      <c r="A8" s="207"/>
      <c r="B8" s="221"/>
      <c r="C8" s="221"/>
      <c r="D8" s="221"/>
      <c r="E8" s="221"/>
      <c r="F8" s="221"/>
      <c r="G8" s="221"/>
      <c r="H8" s="221"/>
    </row>
    <row r="9" spans="1:14" s="4" customFormat="1" ht="13.15" customHeight="1" x14ac:dyDescent="0.2"/>
    <row r="10" spans="1:14" ht="27" customHeight="1" x14ac:dyDescent="0.25">
      <c r="A10" s="230" t="s">
        <v>13</v>
      </c>
      <c r="B10" s="230" t="s">
        <v>116</v>
      </c>
      <c r="C10" s="230" t="s">
        <v>73</v>
      </c>
      <c r="D10" s="230" t="s">
        <v>118</v>
      </c>
      <c r="E10" s="246" t="s">
        <v>197</v>
      </c>
      <c r="F10" s="244" t="s">
        <v>74</v>
      </c>
      <c r="G10" s="245"/>
      <c r="H10" s="246" t="s">
        <v>198</v>
      </c>
      <c r="I10" s="244" t="s">
        <v>199</v>
      </c>
      <c r="J10" s="245"/>
      <c r="M10" s="12"/>
      <c r="N10" s="12"/>
    </row>
    <row r="11" spans="1:14" ht="28.5" customHeight="1" x14ac:dyDescent="0.25">
      <c r="A11" s="230"/>
      <c r="B11" s="230"/>
      <c r="C11" s="230"/>
      <c r="D11" s="230"/>
      <c r="E11" s="247"/>
      <c r="F11" s="2" t="s">
        <v>200</v>
      </c>
      <c r="G11" s="2" t="s">
        <v>121</v>
      </c>
      <c r="H11" s="247"/>
      <c r="I11" s="2" t="s">
        <v>200</v>
      </c>
      <c r="J11" s="2" t="s">
        <v>121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0">
        <v>9</v>
      </c>
      <c r="J12" s="180">
        <v>10</v>
      </c>
      <c r="M12" s="12"/>
      <c r="N12" s="12"/>
    </row>
    <row r="13" spans="1:14" x14ac:dyDescent="0.25">
      <c r="A13" s="2"/>
      <c r="B13" s="228" t="s">
        <v>201</v>
      </c>
      <c r="C13" s="229"/>
      <c r="D13" s="230"/>
      <c r="E13" s="231"/>
      <c r="F13" s="232"/>
      <c r="G13" s="232"/>
      <c r="H13" s="233"/>
      <c r="I13" s="144"/>
      <c r="J13" s="144"/>
    </row>
    <row r="14" spans="1:14" ht="25.5" customHeight="1" x14ac:dyDescent="0.25">
      <c r="A14" s="2">
        <v>1</v>
      </c>
      <c r="B14" s="145" t="s">
        <v>202</v>
      </c>
      <c r="C14" s="8" t="s">
        <v>203</v>
      </c>
      <c r="D14" s="2" t="s">
        <v>204</v>
      </c>
      <c r="E14" s="146">
        <v>8.24</v>
      </c>
      <c r="F14" s="27">
        <v>9.51</v>
      </c>
      <c r="G14" s="27">
        <f>'Прил. 3'!H10</f>
        <v>1067.43</v>
      </c>
      <c r="H14" s="147">
        <f>G14/$G$15</f>
        <v>1</v>
      </c>
      <c r="I14" s="27">
        <f>ФОТр.тек.!E13</f>
        <v>439.09244974661942</v>
      </c>
      <c r="J14" s="27">
        <f>ROUND(I14*E14,2)</f>
        <v>3618.12</v>
      </c>
    </row>
    <row r="15" spans="1:14" s="12" customFormat="1" ht="25.5" customHeight="1" x14ac:dyDescent="0.2">
      <c r="A15" s="2"/>
      <c r="B15" s="2"/>
      <c r="C15" s="154" t="s">
        <v>205</v>
      </c>
      <c r="D15" s="2" t="s">
        <v>204</v>
      </c>
      <c r="E15" s="146">
        <f>SUM(E14:E14)</f>
        <v>8.24</v>
      </c>
      <c r="F15" s="27"/>
      <c r="G15" s="27">
        <f>SUM(G14:G14)</f>
        <v>1067.43</v>
      </c>
      <c r="H15" s="183">
        <v>1</v>
      </c>
      <c r="I15" s="144"/>
      <c r="J15" s="27">
        <f>SUM(J14:J14)</f>
        <v>3618.12</v>
      </c>
    </row>
    <row r="16" spans="1:14" s="12" customFormat="1" ht="14.25" customHeight="1" x14ac:dyDescent="0.2">
      <c r="A16" s="2"/>
      <c r="B16" s="229" t="s">
        <v>130</v>
      </c>
      <c r="C16" s="229"/>
      <c r="D16" s="230"/>
      <c r="E16" s="231"/>
      <c r="F16" s="232"/>
      <c r="G16" s="232"/>
      <c r="H16" s="233"/>
      <c r="I16" s="144"/>
      <c r="J16" s="144"/>
    </row>
    <row r="17" spans="1:10" s="12" customFormat="1" ht="14.25" customHeight="1" x14ac:dyDescent="0.2">
      <c r="A17" s="2">
        <v>2</v>
      </c>
      <c r="B17" s="2">
        <v>2</v>
      </c>
      <c r="C17" s="8" t="s">
        <v>130</v>
      </c>
      <c r="D17" s="2" t="s">
        <v>204</v>
      </c>
      <c r="E17" s="146">
        <f>'Прил. 3'!F14</f>
        <v>2.02</v>
      </c>
      <c r="F17" s="27">
        <f>G17/E17</f>
        <v>11.524752475247524</v>
      </c>
      <c r="G17" s="27">
        <f>'Прил. 3'!H13</f>
        <v>23.28</v>
      </c>
      <c r="H17" s="183">
        <v>1</v>
      </c>
      <c r="I17" s="27">
        <f>ROUND(F17*'Прил. 10'!D11,2)</f>
        <v>510.43</v>
      </c>
      <c r="J17" s="27">
        <f>ROUND(I17*E17,2)</f>
        <v>1031.07</v>
      </c>
    </row>
    <row r="18" spans="1:10" s="12" customFormat="1" ht="14.25" customHeight="1" x14ac:dyDescent="0.2">
      <c r="A18" s="2"/>
      <c r="B18" s="228" t="s">
        <v>131</v>
      </c>
      <c r="C18" s="229"/>
      <c r="D18" s="230"/>
      <c r="E18" s="231"/>
      <c r="F18" s="232"/>
      <c r="G18" s="232"/>
      <c r="H18" s="233"/>
      <c r="I18" s="144"/>
      <c r="J18" s="144"/>
    </row>
    <row r="19" spans="1:10" s="12" customFormat="1" ht="14.25" customHeight="1" x14ac:dyDescent="0.2">
      <c r="A19" s="2"/>
      <c r="B19" s="229" t="s">
        <v>206</v>
      </c>
      <c r="C19" s="229"/>
      <c r="D19" s="230"/>
      <c r="E19" s="231"/>
      <c r="F19" s="232"/>
      <c r="G19" s="232"/>
      <c r="H19" s="233"/>
      <c r="I19" s="144"/>
      <c r="J19" s="144"/>
    </row>
    <row r="20" spans="1:10" s="12" customFormat="1" ht="25.5" customHeight="1" x14ac:dyDescent="0.2">
      <c r="A20" s="2">
        <v>3</v>
      </c>
      <c r="B20" s="145" t="s">
        <v>132</v>
      </c>
      <c r="C20" s="8" t="s">
        <v>133</v>
      </c>
      <c r="D20" s="2" t="s">
        <v>134</v>
      </c>
      <c r="E20" s="146">
        <v>1.92</v>
      </c>
      <c r="F20" s="148">
        <v>65.709999999999994</v>
      </c>
      <c r="G20" s="27">
        <f>ROUND(E20*F20,2)</f>
        <v>126.16</v>
      </c>
      <c r="H20" s="147">
        <f>G20/$G$24</f>
        <v>0.93341225214560519</v>
      </c>
      <c r="I20" s="27">
        <f>ROUND(F20*'Прил. 10'!$D$12,2)</f>
        <v>885.11</v>
      </c>
      <c r="J20" s="27">
        <f>ROUND(I20*E20,2)</f>
        <v>1699.41</v>
      </c>
    </row>
    <row r="21" spans="1:10" s="12" customFormat="1" ht="14.25" customHeight="1" x14ac:dyDescent="0.2">
      <c r="A21" s="2"/>
      <c r="B21" s="2"/>
      <c r="C21" s="8" t="s">
        <v>207</v>
      </c>
      <c r="D21" s="2"/>
      <c r="E21" s="146"/>
      <c r="F21" s="27"/>
      <c r="G21" s="27">
        <f>SUM(G20:G20)</f>
        <v>126.16</v>
      </c>
      <c r="H21" s="183">
        <f>G21/G24</f>
        <v>0.93341225214560519</v>
      </c>
      <c r="I21" s="149"/>
      <c r="J21" s="27">
        <f>SUM(J20:J20)</f>
        <v>1699.41</v>
      </c>
    </row>
    <row r="22" spans="1:10" s="12" customFormat="1" ht="14.25" customHeight="1" outlineLevel="1" x14ac:dyDescent="0.2">
      <c r="A22" s="2">
        <v>4</v>
      </c>
      <c r="B22" s="145" t="s">
        <v>135</v>
      </c>
      <c r="C22" s="8" t="s">
        <v>136</v>
      </c>
      <c r="D22" s="2" t="s">
        <v>134</v>
      </c>
      <c r="E22" s="146">
        <v>0.1</v>
      </c>
      <c r="F22" s="148">
        <v>89.99</v>
      </c>
      <c r="G22" s="27">
        <f>ROUND(E22*F22,2)</f>
        <v>9</v>
      </c>
      <c r="H22" s="147">
        <f>G22/$G$24</f>
        <v>6.6587747854394794E-2</v>
      </c>
      <c r="I22" s="27">
        <f>ROUND(F22*'Прил. 10'!$D$12,2)</f>
        <v>1212.17</v>
      </c>
      <c r="J22" s="27">
        <f>ROUND(I22*E22,2)</f>
        <v>121.22</v>
      </c>
    </row>
    <row r="23" spans="1:10" s="12" customFormat="1" ht="14.25" customHeight="1" x14ac:dyDescent="0.2">
      <c r="A23" s="2"/>
      <c r="B23" s="2"/>
      <c r="C23" s="8" t="s">
        <v>208</v>
      </c>
      <c r="D23" s="2"/>
      <c r="E23" s="182"/>
      <c r="F23" s="27"/>
      <c r="G23" s="149">
        <f>SUM(G22:G22)</f>
        <v>9</v>
      </c>
      <c r="H23" s="147">
        <f>G23/G24</f>
        <v>6.6587747854394794E-2</v>
      </c>
      <c r="I23" s="27"/>
      <c r="J23" s="27">
        <f>SUM(J22:J22)</f>
        <v>121.22</v>
      </c>
    </row>
    <row r="24" spans="1:10" s="12" customFormat="1" ht="25.5" customHeight="1" x14ac:dyDescent="0.2">
      <c r="A24" s="2"/>
      <c r="B24" s="2"/>
      <c r="C24" s="154" t="s">
        <v>209</v>
      </c>
      <c r="D24" s="2"/>
      <c r="E24" s="182"/>
      <c r="F24" s="27"/>
      <c r="G24" s="27">
        <f>G23+G21</f>
        <v>135.16</v>
      </c>
      <c r="H24" s="150">
        <v>1</v>
      </c>
      <c r="I24" s="151"/>
      <c r="J24" s="152">
        <f>J23+J21</f>
        <v>1820.63</v>
      </c>
    </row>
    <row r="25" spans="1:10" s="12" customFormat="1" ht="14.25" customHeight="1" x14ac:dyDescent="0.2">
      <c r="A25" s="2"/>
      <c r="B25" s="228" t="s">
        <v>43</v>
      </c>
      <c r="C25" s="228"/>
      <c r="D25" s="234"/>
      <c r="E25" s="235"/>
      <c r="F25" s="236"/>
      <c r="G25" s="236"/>
      <c r="H25" s="237"/>
      <c r="I25" s="144"/>
      <c r="J25" s="144"/>
    </row>
    <row r="26" spans="1:10" x14ac:dyDescent="0.25">
      <c r="A26" s="2"/>
      <c r="B26" s="229" t="s">
        <v>210</v>
      </c>
      <c r="C26" s="229"/>
      <c r="D26" s="230"/>
      <c r="E26" s="231"/>
      <c r="F26" s="232"/>
      <c r="G26" s="232"/>
      <c r="H26" s="233"/>
      <c r="I26" s="144"/>
      <c r="J26" s="144"/>
    </row>
    <row r="27" spans="1:10" s="12" customFormat="1" ht="127.5" customHeight="1" x14ac:dyDescent="0.2">
      <c r="A27" s="2">
        <v>5</v>
      </c>
      <c r="B27" s="188" t="s">
        <v>211</v>
      </c>
      <c r="C27" s="189" t="s">
        <v>212</v>
      </c>
      <c r="D27" s="188" t="s">
        <v>138</v>
      </c>
      <c r="E27" s="190">
        <v>2</v>
      </c>
      <c r="F27" s="191">
        <f>ROUND(I27/'Прил. 10'!$D$14,2)</f>
        <v>43258.79</v>
      </c>
      <c r="G27" s="192">
        <f>ROUND(E27*F27,2)</f>
        <v>86517.58</v>
      </c>
      <c r="H27" s="193">
        <f>G27/$G$30</f>
        <v>1</v>
      </c>
      <c r="I27" s="27">
        <v>270800</v>
      </c>
      <c r="J27" s="27">
        <f>ROUND(I27*E27,2)</f>
        <v>541600</v>
      </c>
    </row>
    <row r="28" spans="1:10" x14ac:dyDescent="0.25">
      <c r="A28" s="2"/>
      <c r="B28" s="188"/>
      <c r="C28" s="189" t="s">
        <v>213</v>
      </c>
      <c r="D28" s="188"/>
      <c r="E28" s="194"/>
      <c r="F28" s="191"/>
      <c r="G28" s="192">
        <f>SUM(G27:G27)</f>
        <v>86517.58</v>
      </c>
      <c r="H28" s="193">
        <f>G28/$G$30</f>
        <v>1</v>
      </c>
      <c r="I28" s="149"/>
      <c r="J28" s="27">
        <f>SUM(J27:J27)</f>
        <v>541600</v>
      </c>
    </row>
    <row r="29" spans="1:10" x14ac:dyDescent="0.25">
      <c r="A29" s="2"/>
      <c r="B29" s="188"/>
      <c r="C29" s="189" t="s">
        <v>214</v>
      </c>
      <c r="D29" s="188"/>
      <c r="E29" s="194"/>
      <c r="F29" s="191"/>
      <c r="G29" s="192">
        <v>0</v>
      </c>
      <c r="H29" s="193">
        <f>G29/$G$30</f>
        <v>0</v>
      </c>
      <c r="I29" s="149"/>
      <c r="J29" s="27">
        <v>0</v>
      </c>
    </row>
    <row r="30" spans="1:10" x14ac:dyDescent="0.25">
      <c r="A30" s="2"/>
      <c r="B30" s="188"/>
      <c r="C30" s="195" t="s">
        <v>215</v>
      </c>
      <c r="D30" s="188"/>
      <c r="E30" s="196"/>
      <c r="F30" s="191"/>
      <c r="G30" s="192">
        <f>G28+G29</f>
        <v>86517.58</v>
      </c>
      <c r="H30" s="193">
        <f>H28+H29</f>
        <v>1</v>
      </c>
      <c r="I30" s="149"/>
      <c r="J30" s="27">
        <f>J29+J28</f>
        <v>541600</v>
      </c>
    </row>
    <row r="31" spans="1:10" ht="25.5" customHeight="1" x14ac:dyDescent="0.25">
      <c r="A31" s="2"/>
      <c r="B31" s="188"/>
      <c r="C31" s="189" t="s">
        <v>216</v>
      </c>
      <c r="D31" s="188"/>
      <c r="E31" s="190"/>
      <c r="F31" s="191"/>
      <c r="G31" s="192">
        <f>'Прил.6 Расчет ОБ'!G13</f>
        <v>86517.58</v>
      </c>
      <c r="H31" s="197"/>
      <c r="I31" s="149"/>
      <c r="J31" s="27">
        <f>ROUND(G31*'Прил. 10'!D14,2)</f>
        <v>541600.05000000005</v>
      </c>
    </row>
    <row r="32" spans="1:10" s="12" customFormat="1" ht="14.25" customHeight="1" x14ac:dyDescent="0.2">
      <c r="A32" s="2"/>
      <c r="B32" s="238" t="s">
        <v>139</v>
      </c>
      <c r="C32" s="238"/>
      <c r="D32" s="239"/>
      <c r="E32" s="240"/>
      <c r="F32" s="241"/>
      <c r="G32" s="241"/>
      <c r="H32" s="242"/>
      <c r="I32" s="144"/>
      <c r="J32" s="144"/>
    </row>
    <row r="33" spans="1:12" s="12" customFormat="1" ht="14.25" customHeight="1" x14ac:dyDescent="0.2">
      <c r="A33" s="180"/>
      <c r="B33" s="223" t="s">
        <v>217</v>
      </c>
      <c r="C33" s="223"/>
      <c r="D33" s="224"/>
      <c r="E33" s="225"/>
      <c r="F33" s="226"/>
      <c r="G33" s="226"/>
      <c r="H33" s="227"/>
      <c r="I33" s="155"/>
      <c r="J33" s="155"/>
    </row>
    <row r="34" spans="1:12" s="12" customFormat="1" ht="25.5" customHeight="1" x14ac:dyDescent="0.2">
      <c r="A34" s="2">
        <v>9</v>
      </c>
      <c r="B34" s="188" t="s">
        <v>140</v>
      </c>
      <c r="C34" s="189" t="s">
        <v>141</v>
      </c>
      <c r="D34" s="188" t="s">
        <v>142</v>
      </c>
      <c r="E34" s="190">
        <v>1.2E-2</v>
      </c>
      <c r="F34" s="191">
        <v>15481</v>
      </c>
      <c r="G34" s="192">
        <f t="shared" ref="G34:G40" si="0">ROUND(E34*F34,2)</f>
        <v>185.77</v>
      </c>
      <c r="H34" s="193">
        <f t="shared" ref="H34:H52" si="1">G34/$G$52</f>
        <v>0.41472998013082407</v>
      </c>
      <c r="I34" s="27">
        <f>ROUND(F34*'Прил. 10'!$D$13,2)</f>
        <v>124467.24</v>
      </c>
      <c r="J34" s="27">
        <f t="shared" ref="J34:J40" si="2">ROUND(I34*E34,2)</f>
        <v>1493.61</v>
      </c>
    </row>
    <row r="35" spans="1:12" s="12" customFormat="1" ht="38.25" customHeight="1" x14ac:dyDescent="0.2">
      <c r="A35" s="2">
        <v>10</v>
      </c>
      <c r="B35" s="188" t="s">
        <v>143</v>
      </c>
      <c r="C35" s="189" t="s">
        <v>144</v>
      </c>
      <c r="D35" s="188" t="s">
        <v>142</v>
      </c>
      <c r="E35" s="190">
        <v>8.0000000000000004E-4</v>
      </c>
      <c r="F35" s="191">
        <v>75162.289999999994</v>
      </c>
      <c r="G35" s="192">
        <f t="shared" si="0"/>
        <v>60.13</v>
      </c>
      <c r="H35" s="193">
        <f t="shared" si="1"/>
        <v>0.13423972495702455</v>
      </c>
      <c r="I35" s="27">
        <f>ROUND(F35*'Прил. 10'!$D$13,2)</f>
        <v>604304.81000000006</v>
      </c>
      <c r="J35" s="27">
        <f t="shared" si="2"/>
        <v>483.44</v>
      </c>
    </row>
    <row r="36" spans="1:12" s="12" customFormat="1" ht="14.25" customHeight="1" x14ac:dyDescent="0.2">
      <c r="A36" s="2">
        <v>11</v>
      </c>
      <c r="B36" s="2" t="s">
        <v>145</v>
      </c>
      <c r="C36" s="8" t="s">
        <v>146</v>
      </c>
      <c r="D36" s="2" t="s">
        <v>147</v>
      </c>
      <c r="E36" s="153">
        <v>0.3</v>
      </c>
      <c r="F36" s="148">
        <v>155</v>
      </c>
      <c r="G36" s="27">
        <f t="shared" si="0"/>
        <v>46.5</v>
      </c>
      <c r="H36" s="147">
        <f t="shared" si="1"/>
        <v>0.10381086330453421</v>
      </c>
      <c r="I36" s="27">
        <f>ROUND(F36*'Прил. 10'!$D$13,2)</f>
        <v>1246.2</v>
      </c>
      <c r="J36" s="27">
        <f t="shared" si="2"/>
        <v>373.86</v>
      </c>
    </row>
    <row r="37" spans="1:12" s="12" customFormat="1" ht="14.25" customHeight="1" x14ac:dyDescent="0.2">
      <c r="A37" s="2">
        <v>12</v>
      </c>
      <c r="B37" s="2" t="s">
        <v>148</v>
      </c>
      <c r="C37" s="8" t="s">
        <v>149</v>
      </c>
      <c r="D37" s="2" t="s">
        <v>150</v>
      </c>
      <c r="E37" s="153">
        <v>0.2</v>
      </c>
      <c r="F37" s="148">
        <v>203</v>
      </c>
      <c r="G37" s="27">
        <f t="shared" si="0"/>
        <v>40.6</v>
      </c>
      <c r="H37" s="147">
        <f t="shared" si="1"/>
        <v>9.0639162369120188E-2</v>
      </c>
      <c r="I37" s="27">
        <f>ROUND(F37*'Прил. 10'!$D$13,2)</f>
        <v>1632.12</v>
      </c>
      <c r="J37" s="27">
        <f t="shared" si="2"/>
        <v>326.42</v>
      </c>
    </row>
    <row r="38" spans="1:12" s="12" customFormat="1" ht="25.5" customHeight="1" x14ac:dyDescent="0.2">
      <c r="A38" s="2">
        <v>13</v>
      </c>
      <c r="B38" s="2" t="s">
        <v>151</v>
      </c>
      <c r="C38" s="8" t="s">
        <v>152</v>
      </c>
      <c r="D38" s="2" t="s">
        <v>142</v>
      </c>
      <c r="E38" s="153">
        <v>1.9400000000000001E-3</v>
      </c>
      <c r="F38" s="148">
        <v>12606</v>
      </c>
      <c r="G38" s="27">
        <f t="shared" si="0"/>
        <v>24.46</v>
      </c>
      <c r="H38" s="147">
        <f t="shared" si="1"/>
        <v>5.4606746589868964E-2</v>
      </c>
      <c r="I38" s="27">
        <f>ROUND(F38*'Прил. 10'!$D$13,2)</f>
        <v>101352.24</v>
      </c>
      <c r="J38" s="27">
        <f t="shared" si="2"/>
        <v>196.62</v>
      </c>
    </row>
    <row r="39" spans="1:12" s="12" customFormat="1" ht="25.5" customHeight="1" x14ac:dyDescent="0.2">
      <c r="A39" s="2">
        <v>14</v>
      </c>
      <c r="B39" s="2" t="s">
        <v>153</v>
      </c>
      <c r="C39" s="8" t="s">
        <v>154</v>
      </c>
      <c r="D39" s="2" t="s">
        <v>155</v>
      </c>
      <c r="E39" s="153">
        <v>21.4</v>
      </c>
      <c r="F39" s="148">
        <v>1</v>
      </c>
      <c r="G39" s="27">
        <f t="shared" si="0"/>
        <v>21.4</v>
      </c>
      <c r="H39" s="147">
        <f t="shared" si="1"/>
        <v>4.7775322036925416E-2</v>
      </c>
      <c r="I39" s="27">
        <f>ROUND(F39*'Прил. 10'!$D$13,2)</f>
        <v>8.0399999999999991</v>
      </c>
      <c r="J39" s="27">
        <f t="shared" si="2"/>
        <v>172.06</v>
      </c>
    </row>
    <row r="40" spans="1:12" s="12" customFormat="1" ht="38.25" customHeight="1" x14ac:dyDescent="0.2">
      <c r="A40" s="2">
        <v>15</v>
      </c>
      <c r="B40" s="2" t="s">
        <v>156</v>
      </c>
      <c r="C40" s="8" t="s">
        <v>157</v>
      </c>
      <c r="D40" s="2" t="s">
        <v>142</v>
      </c>
      <c r="E40" s="153">
        <v>5.5999999999999995E-4</v>
      </c>
      <c r="F40" s="148">
        <v>37517</v>
      </c>
      <c r="G40" s="27">
        <f t="shared" si="0"/>
        <v>21.01</v>
      </c>
      <c r="H40" s="147">
        <f t="shared" si="1"/>
        <v>4.6904650280177713E-2</v>
      </c>
      <c r="I40" s="27">
        <f>ROUND(F40*'Прил. 10'!$D$13,2)</f>
        <v>301636.68</v>
      </c>
      <c r="J40" s="27">
        <f t="shared" si="2"/>
        <v>168.92</v>
      </c>
    </row>
    <row r="41" spans="1:12" s="12" customFormat="1" ht="14.25" customHeight="1" x14ac:dyDescent="0.2">
      <c r="A41" s="156"/>
      <c r="B41" s="157"/>
      <c r="C41" s="158" t="s">
        <v>218</v>
      </c>
      <c r="D41" s="156"/>
      <c r="E41" s="159"/>
      <c r="F41" s="152"/>
      <c r="G41" s="152">
        <f>SUM(G34:G40)</f>
        <v>399.86999999999995</v>
      </c>
      <c r="H41" s="147">
        <f t="shared" si="1"/>
        <v>0.89270644966847501</v>
      </c>
      <c r="I41" s="27"/>
      <c r="J41" s="152">
        <f>SUM(J34:J40)</f>
        <v>3214.93</v>
      </c>
      <c r="K41" s="24"/>
      <c r="L41" s="24"/>
    </row>
    <row r="42" spans="1:12" s="12" customFormat="1" ht="14.25" customHeight="1" outlineLevel="1" x14ac:dyDescent="0.2">
      <c r="A42" s="2">
        <v>16</v>
      </c>
      <c r="B42" s="2" t="s">
        <v>158</v>
      </c>
      <c r="C42" s="8" t="s">
        <v>159</v>
      </c>
      <c r="D42" s="2" t="s">
        <v>142</v>
      </c>
      <c r="E42" s="153">
        <v>3.6000000000000002E-4</v>
      </c>
      <c r="F42" s="148">
        <v>42700.01</v>
      </c>
      <c r="G42" s="27">
        <f t="shared" ref="G42:G50" si="3">ROUND(E42*F42,2)</f>
        <v>15.37</v>
      </c>
      <c r="H42" s="147">
        <f t="shared" si="1"/>
        <v>3.4313397182595497E-2</v>
      </c>
      <c r="I42" s="27">
        <f>ROUND(F42*'Прил. 10'!$D$13,2)</f>
        <v>343308.08</v>
      </c>
      <c r="J42" s="27">
        <f t="shared" ref="J42:J50" si="4">ROUND(I42*E42,2)</f>
        <v>123.59</v>
      </c>
    </row>
    <row r="43" spans="1:12" s="12" customFormat="1" ht="25.5" customHeight="1" outlineLevel="1" x14ac:dyDescent="0.2">
      <c r="A43" s="2">
        <v>17</v>
      </c>
      <c r="B43" s="2" t="s">
        <v>160</v>
      </c>
      <c r="C43" s="8" t="s">
        <v>161</v>
      </c>
      <c r="D43" s="2" t="s">
        <v>142</v>
      </c>
      <c r="E43" s="153">
        <v>1.2E-4</v>
      </c>
      <c r="F43" s="148">
        <v>114220</v>
      </c>
      <c r="G43" s="27">
        <f t="shared" si="3"/>
        <v>13.71</v>
      </c>
      <c r="H43" s="147">
        <f t="shared" si="1"/>
        <v>3.0607460987207829E-2</v>
      </c>
      <c r="I43" s="27">
        <f>ROUND(F43*'Прил. 10'!$D$13,2)</f>
        <v>918328.8</v>
      </c>
      <c r="J43" s="27">
        <f t="shared" si="4"/>
        <v>110.2</v>
      </c>
    </row>
    <row r="44" spans="1:12" s="12" customFormat="1" ht="14.25" customHeight="1" outlineLevel="1" x14ac:dyDescent="0.2">
      <c r="A44" s="2">
        <v>18</v>
      </c>
      <c r="B44" s="2" t="s">
        <v>162</v>
      </c>
      <c r="C44" s="8" t="s">
        <v>163</v>
      </c>
      <c r="D44" s="2" t="s">
        <v>147</v>
      </c>
      <c r="E44" s="153">
        <v>0.24</v>
      </c>
      <c r="F44" s="148">
        <v>28.26</v>
      </c>
      <c r="G44" s="27">
        <f t="shared" si="3"/>
        <v>6.78</v>
      </c>
      <c r="H44" s="147">
        <f t="shared" si="1"/>
        <v>1.5136293617306278E-2</v>
      </c>
      <c r="I44" s="27">
        <f>ROUND(F44*'Прил. 10'!$D$13,2)</f>
        <v>227.21</v>
      </c>
      <c r="J44" s="27">
        <f t="shared" si="4"/>
        <v>54.53</v>
      </c>
    </row>
    <row r="45" spans="1:12" s="12" customFormat="1" ht="14.25" customHeight="1" outlineLevel="1" x14ac:dyDescent="0.2">
      <c r="A45" s="2">
        <v>19</v>
      </c>
      <c r="B45" s="2" t="s">
        <v>164</v>
      </c>
      <c r="C45" s="8" t="s">
        <v>165</v>
      </c>
      <c r="D45" s="2" t="s">
        <v>147</v>
      </c>
      <c r="E45" s="153">
        <v>3.6999999999999998E-2</v>
      </c>
      <c r="F45" s="148">
        <v>138.76</v>
      </c>
      <c r="G45" s="27">
        <f t="shared" si="3"/>
        <v>5.13</v>
      </c>
      <c r="H45" s="147">
        <f t="shared" si="1"/>
        <v>1.1452682338758289E-2</v>
      </c>
      <c r="I45" s="27">
        <f>ROUND(F45*'Прил. 10'!$D$13,2)</f>
        <v>1115.6300000000001</v>
      </c>
      <c r="J45" s="27">
        <f t="shared" si="4"/>
        <v>41.28</v>
      </c>
    </row>
    <row r="46" spans="1:12" s="12" customFormat="1" ht="38.25" customHeight="1" outlineLevel="1" x14ac:dyDescent="0.2">
      <c r="A46" s="2">
        <v>20</v>
      </c>
      <c r="B46" s="2" t="s">
        <v>166</v>
      </c>
      <c r="C46" s="8" t="s">
        <v>167</v>
      </c>
      <c r="D46" s="2" t="s">
        <v>168</v>
      </c>
      <c r="E46" s="153">
        <v>6.0000000000000001E-3</v>
      </c>
      <c r="F46" s="148">
        <v>405.22</v>
      </c>
      <c r="G46" s="27">
        <f t="shared" si="3"/>
        <v>2.4300000000000002</v>
      </c>
      <c r="H46" s="147">
        <f t="shared" si="1"/>
        <v>5.4249547920434005E-3</v>
      </c>
      <c r="I46" s="27">
        <f>ROUND(F46*'Прил. 10'!$D$13,2)</f>
        <v>3257.97</v>
      </c>
      <c r="J46" s="27">
        <f t="shared" si="4"/>
        <v>19.55</v>
      </c>
    </row>
    <row r="47" spans="1:12" s="12" customFormat="1" ht="25.5" customHeight="1" outlineLevel="1" x14ac:dyDescent="0.2">
      <c r="A47" s="2">
        <v>21</v>
      </c>
      <c r="B47" s="2" t="s">
        <v>169</v>
      </c>
      <c r="C47" s="8" t="s">
        <v>170</v>
      </c>
      <c r="D47" s="2" t="s">
        <v>147</v>
      </c>
      <c r="E47" s="153">
        <v>5.1999999999999998E-2</v>
      </c>
      <c r="F47" s="148">
        <v>39.020000000000003</v>
      </c>
      <c r="G47" s="27">
        <f t="shared" si="3"/>
        <v>2.0299999999999998</v>
      </c>
      <c r="H47" s="147">
        <f t="shared" si="1"/>
        <v>4.5319581184560089E-3</v>
      </c>
      <c r="I47" s="27">
        <f>ROUND(F47*'Прил. 10'!$D$13,2)</f>
        <v>313.72000000000003</v>
      </c>
      <c r="J47" s="27">
        <f t="shared" si="4"/>
        <v>16.309999999999999</v>
      </c>
    </row>
    <row r="48" spans="1:12" s="12" customFormat="1" ht="25.5" customHeight="1" outlineLevel="1" x14ac:dyDescent="0.2">
      <c r="A48" s="2">
        <v>22</v>
      </c>
      <c r="B48" s="2" t="s">
        <v>171</v>
      </c>
      <c r="C48" s="8" t="s">
        <v>172</v>
      </c>
      <c r="D48" s="2" t="s">
        <v>147</v>
      </c>
      <c r="E48" s="153">
        <v>0.04</v>
      </c>
      <c r="F48" s="148">
        <v>38.340000000000003</v>
      </c>
      <c r="G48" s="27">
        <f t="shared" si="3"/>
        <v>1.53</v>
      </c>
      <c r="H48" s="147">
        <f t="shared" si="1"/>
        <v>3.4157122764717704E-3</v>
      </c>
      <c r="I48" s="27">
        <f>ROUND(F48*'Прил. 10'!$D$13,2)</f>
        <v>308.25</v>
      </c>
      <c r="J48" s="27">
        <f t="shared" si="4"/>
        <v>12.33</v>
      </c>
    </row>
    <row r="49" spans="1:10" s="12" customFormat="1" ht="25.5" customHeight="1" outlineLevel="1" x14ac:dyDescent="0.2">
      <c r="A49" s="2">
        <v>23</v>
      </c>
      <c r="B49" s="2" t="s">
        <v>173</v>
      </c>
      <c r="C49" s="8" t="s">
        <v>174</v>
      </c>
      <c r="D49" s="2" t="s">
        <v>142</v>
      </c>
      <c r="E49" s="153">
        <v>4.8000000000000001E-5</v>
      </c>
      <c r="F49" s="148">
        <v>22419</v>
      </c>
      <c r="G49" s="27">
        <f t="shared" si="3"/>
        <v>1.08</v>
      </c>
      <c r="H49" s="147">
        <f t="shared" si="1"/>
        <v>2.4110910186859557E-3</v>
      </c>
      <c r="I49" s="27">
        <f>ROUND(F49*'Прил. 10'!$D$13,2)</f>
        <v>180248.76</v>
      </c>
      <c r="J49" s="27">
        <f t="shared" si="4"/>
        <v>8.65</v>
      </c>
    </row>
    <row r="50" spans="1:10" s="12" customFormat="1" ht="14.25" customHeight="1" outlineLevel="1" x14ac:dyDescent="0.2">
      <c r="A50" s="2">
        <v>24</v>
      </c>
      <c r="B50" s="2" t="s">
        <v>175</v>
      </c>
      <c r="C50" s="8" t="s">
        <v>176</v>
      </c>
      <c r="D50" s="2" t="s">
        <v>142</v>
      </c>
      <c r="E50" s="153">
        <v>0.35</v>
      </c>
      <c r="F50" s="148"/>
      <c r="G50" s="27">
        <f t="shared" si="3"/>
        <v>0</v>
      </c>
      <c r="H50" s="147">
        <f t="shared" si="1"/>
        <v>0</v>
      </c>
      <c r="I50" s="27">
        <f>ROUND(F50*'Прил. 10'!$D$13,2)</f>
        <v>0</v>
      </c>
      <c r="J50" s="27">
        <f t="shared" si="4"/>
        <v>0</v>
      </c>
    </row>
    <row r="51" spans="1:10" s="12" customFormat="1" ht="14.25" customHeight="1" x14ac:dyDescent="0.2">
      <c r="A51" s="2"/>
      <c r="B51" s="2"/>
      <c r="C51" s="8" t="s">
        <v>219</v>
      </c>
      <c r="D51" s="2"/>
      <c r="E51" s="182"/>
      <c r="F51" s="148"/>
      <c r="G51" s="27">
        <f>SUM(G42:G50)</f>
        <v>48.06</v>
      </c>
      <c r="H51" s="147">
        <f t="shared" si="1"/>
        <v>0.10729355033152503</v>
      </c>
      <c r="I51" s="27"/>
      <c r="J51" s="27">
        <f>SUM(J42:J50)</f>
        <v>386.44</v>
      </c>
    </row>
    <row r="52" spans="1:10" s="12" customFormat="1" ht="14.25" customHeight="1" x14ac:dyDescent="0.2">
      <c r="A52" s="2"/>
      <c r="B52" s="2"/>
      <c r="C52" s="154" t="s">
        <v>220</v>
      </c>
      <c r="D52" s="2"/>
      <c r="E52" s="182"/>
      <c r="F52" s="148"/>
      <c r="G52" s="27">
        <f>G41+G51</f>
        <v>447.92999999999995</v>
      </c>
      <c r="H52" s="183">
        <f t="shared" si="1"/>
        <v>1</v>
      </c>
      <c r="I52" s="27"/>
      <c r="J52" s="27">
        <f>J41+J51</f>
        <v>3601.37</v>
      </c>
    </row>
    <row r="53" spans="1:10" s="12" customFormat="1" ht="14.25" customHeight="1" x14ac:dyDescent="0.2">
      <c r="A53" s="2"/>
      <c r="B53" s="2"/>
      <c r="C53" s="8" t="s">
        <v>221</v>
      </c>
      <c r="D53" s="2"/>
      <c r="E53" s="182"/>
      <c r="F53" s="148"/>
      <c r="G53" s="27">
        <f>G15+G24+G52</f>
        <v>1650.52</v>
      </c>
      <c r="H53" s="183"/>
      <c r="I53" s="27"/>
      <c r="J53" s="27">
        <f>J15+J24+J52</f>
        <v>9040.119999999999</v>
      </c>
    </row>
    <row r="54" spans="1:10" s="12" customFormat="1" ht="14.25" customHeight="1" x14ac:dyDescent="0.2">
      <c r="A54" s="2"/>
      <c r="B54" s="2"/>
      <c r="C54" s="8" t="s">
        <v>222</v>
      </c>
      <c r="D54" s="160">
        <f>ROUND(G54/(G$17+$G$15),2)</f>
        <v>0.94</v>
      </c>
      <c r="E54" s="182"/>
      <c r="F54" s="148"/>
      <c r="G54" s="27">
        <v>1029.8699999999999</v>
      </c>
      <c r="H54" s="183"/>
      <c r="I54" s="27"/>
      <c r="J54" s="27">
        <f>ROUND(D54*(J15+J17),2)</f>
        <v>4370.24</v>
      </c>
    </row>
    <row r="55" spans="1:10" s="12" customFormat="1" ht="14.25" customHeight="1" x14ac:dyDescent="0.2">
      <c r="A55" s="2"/>
      <c r="B55" s="2"/>
      <c r="C55" s="8" t="s">
        <v>223</v>
      </c>
      <c r="D55" s="160">
        <f>ROUND(G55/(G$15+G$17),2)</f>
        <v>0.52</v>
      </c>
      <c r="E55" s="182"/>
      <c r="F55" s="148"/>
      <c r="G55" s="27">
        <v>569.17999999999995</v>
      </c>
      <c r="H55" s="183"/>
      <c r="I55" s="27"/>
      <c r="J55" s="27">
        <f>ROUND(D55*(J15+J17),2)</f>
        <v>2417.58</v>
      </c>
    </row>
    <row r="56" spans="1:10" s="12" customFormat="1" ht="14.25" customHeight="1" x14ac:dyDescent="0.2">
      <c r="A56" s="2"/>
      <c r="B56" s="2"/>
      <c r="C56" s="8" t="s">
        <v>224</v>
      </c>
      <c r="D56" s="2"/>
      <c r="E56" s="182"/>
      <c r="F56" s="148"/>
      <c r="G56" s="27">
        <f>G15+G24+G52+G54+G55</f>
        <v>3249.5699999999997</v>
      </c>
      <c r="H56" s="183"/>
      <c r="I56" s="27"/>
      <c r="J56" s="27">
        <f>J15+J24+J52+J54+J55</f>
        <v>15827.939999999999</v>
      </c>
    </row>
    <row r="57" spans="1:10" s="12" customFormat="1" ht="14.25" customHeight="1" x14ac:dyDescent="0.2">
      <c r="A57" s="2"/>
      <c r="B57" s="2"/>
      <c r="C57" s="8" t="s">
        <v>225</v>
      </c>
      <c r="D57" s="2"/>
      <c r="E57" s="182"/>
      <c r="F57" s="148"/>
      <c r="G57" s="27">
        <f>G56+G30</f>
        <v>89767.15</v>
      </c>
      <c r="H57" s="183"/>
      <c r="I57" s="27"/>
      <c r="J57" s="27">
        <f>J56+J30</f>
        <v>557427.93999999994</v>
      </c>
    </row>
    <row r="58" spans="1:10" s="12" customFormat="1" ht="34.5" customHeight="1" x14ac:dyDescent="0.2">
      <c r="A58" s="2"/>
      <c r="B58" s="2"/>
      <c r="C58" s="8" t="s">
        <v>97</v>
      </c>
      <c r="D58" s="2" t="s">
        <v>389</v>
      </c>
      <c r="E58" s="185">
        <v>1</v>
      </c>
      <c r="F58" s="148"/>
      <c r="G58" s="27">
        <f>G57/E58</f>
        <v>89767.15</v>
      </c>
      <c r="H58" s="183"/>
      <c r="I58" s="27"/>
      <c r="J58" s="27">
        <f>J57/E58</f>
        <v>557427.93999999994</v>
      </c>
    </row>
    <row r="60" spans="1:10" s="12" customFormat="1" ht="14.25" customHeight="1" x14ac:dyDescent="0.2">
      <c r="A60" s="4" t="s">
        <v>226</v>
      </c>
    </row>
    <row r="61" spans="1:10" s="12" customFormat="1" ht="14.25" customHeight="1" x14ac:dyDescent="0.2">
      <c r="A61" s="161" t="s">
        <v>69</v>
      </c>
    </row>
    <row r="62" spans="1:10" s="12" customFormat="1" ht="14.25" customHeight="1" x14ac:dyDescent="0.2">
      <c r="A62" s="4"/>
    </row>
    <row r="63" spans="1:10" s="12" customFormat="1" ht="14.25" customHeight="1" x14ac:dyDescent="0.2">
      <c r="A63" s="4" t="s">
        <v>227</v>
      </c>
    </row>
    <row r="64" spans="1:10" s="12" customFormat="1" ht="14.25" customHeight="1" x14ac:dyDescent="0.2">
      <c r="A64" s="161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33:H33"/>
    <mergeCell ref="B13:H13"/>
    <mergeCell ref="B16:H16"/>
    <mergeCell ref="B18:H18"/>
    <mergeCell ref="B19:H19"/>
    <mergeCell ref="B26:H26"/>
    <mergeCell ref="B25:H25"/>
    <mergeCell ref="B32:H32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0"/>
  <sheetViews>
    <sheetView view="pageBreakPreview" workbookViewId="0">
      <selection activeCell="M21" sqref="M20:M21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9" t="s">
        <v>228</v>
      </c>
      <c r="B1" s="249"/>
      <c r="C1" s="249"/>
      <c r="D1" s="249"/>
      <c r="E1" s="249"/>
      <c r="F1" s="249"/>
      <c r="G1" s="249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04" t="s">
        <v>229</v>
      </c>
      <c r="B3" s="204"/>
      <c r="C3" s="204"/>
      <c r="D3" s="204"/>
      <c r="E3" s="204"/>
      <c r="F3" s="204"/>
      <c r="G3" s="204"/>
    </row>
    <row r="4" spans="1:7" ht="25.5" customHeight="1" x14ac:dyDescent="0.25">
      <c r="A4" s="207" t="s">
        <v>396</v>
      </c>
      <c r="B4" s="207"/>
      <c r="C4" s="207"/>
      <c r="D4" s="207"/>
      <c r="E4" s="207"/>
      <c r="F4" s="207"/>
      <c r="G4" s="207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4" t="s">
        <v>13</v>
      </c>
      <c r="B6" s="254" t="s">
        <v>116</v>
      </c>
      <c r="C6" s="254" t="s">
        <v>73</v>
      </c>
      <c r="D6" s="254" t="s">
        <v>118</v>
      </c>
      <c r="E6" s="246" t="s">
        <v>197</v>
      </c>
      <c r="F6" s="254" t="s">
        <v>74</v>
      </c>
      <c r="G6" s="254"/>
    </row>
    <row r="7" spans="1:7" x14ac:dyDescent="0.25">
      <c r="A7" s="254"/>
      <c r="B7" s="254"/>
      <c r="C7" s="254"/>
      <c r="D7" s="254"/>
      <c r="E7" s="247"/>
      <c r="F7" s="2" t="s">
        <v>200</v>
      </c>
      <c r="G7" s="2" t="s">
        <v>121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50" t="s">
        <v>230</v>
      </c>
      <c r="C9" s="251"/>
      <c r="D9" s="251"/>
      <c r="E9" s="251"/>
      <c r="F9" s="251"/>
      <c r="G9" s="252"/>
    </row>
    <row r="10" spans="1:7" ht="27" customHeight="1" x14ac:dyDescent="0.25">
      <c r="A10" s="2"/>
      <c r="B10" s="154"/>
      <c r="C10" s="8" t="s">
        <v>231</v>
      </c>
      <c r="D10" s="154"/>
      <c r="E10" s="162"/>
      <c r="F10" s="148"/>
      <c r="G10" s="27">
        <v>0</v>
      </c>
    </row>
    <row r="11" spans="1:7" x14ac:dyDescent="0.25">
      <c r="A11" s="2"/>
      <c r="B11" s="229" t="s">
        <v>232</v>
      </c>
      <c r="C11" s="229"/>
      <c r="D11" s="229"/>
      <c r="E11" s="253"/>
      <c r="F11" s="232"/>
      <c r="G11" s="232"/>
    </row>
    <row r="12" spans="1:7" s="111" customFormat="1" ht="89.25" customHeight="1" x14ac:dyDescent="0.25">
      <c r="A12" s="2">
        <v>1</v>
      </c>
      <c r="B12" s="8" t="str">
        <f>'Прил.5 Расчет СМР и ОБ'!B27</f>
        <v>БЦ.54.24</v>
      </c>
      <c r="C12" s="8" t="str">
        <f>'Прил.5 Расчет СМР и ОБ'!C27</f>
        <v>Рабочая станция HP T4K63EA Z840 / Win10p64DowngradeWin764 / 16GB DDR4-2400 (2x8GB) / 1TB 7200 / E5-2620v4 2.1 2133 / 3yw / SuperMultiODD / USBBusinessSlimkbd / USBmouse / MCR / T7T60AA NVIDIA Quadro M2000 4GB Graphics   HP Z840
ЖК Монитор
ИБП
Пульт управления</v>
      </c>
      <c r="D12" s="2" t="str">
        <f>'Прил.5 Расчет СМР и ОБ'!D27</f>
        <v>шт</v>
      </c>
      <c r="E12" s="153">
        <f>'Прил.5 Расчет СМР и ОБ'!E27</f>
        <v>2</v>
      </c>
      <c r="F12" s="148">
        <f>'Прил.5 Расчет СМР и ОБ'!F27</f>
        <v>43258.79</v>
      </c>
      <c r="G12" s="27">
        <f>ROUND(E12*F12,2)</f>
        <v>86517.58</v>
      </c>
    </row>
    <row r="13" spans="1:7" ht="25.5" customHeight="1" x14ac:dyDescent="0.25">
      <c r="A13" s="2"/>
      <c r="B13" s="8"/>
      <c r="C13" s="8" t="s">
        <v>233</v>
      </c>
      <c r="D13" s="8"/>
      <c r="E13" s="41"/>
      <c r="F13" s="148"/>
      <c r="G13" s="27">
        <f>SUM(G12:G12)</f>
        <v>86517.58</v>
      </c>
    </row>
    <row r="14" spans="1:7" ht="19.5" customHeight="1" x14ac:dyDescent="0.25">
      <c r="A14" s="2"/>
      <c r="B14" s="8"/>
      <c r="C14" s="8" t="s">
        <v>234</v>
      </c>
      <c r="D14" s="8"/>
      <c r="E14" s="41"/>
      <c r="F14" s="148"/>
      <c r="G14" s="27">
        <f>G10+G13</f>
        <v>86517.58</v>
      </c>
    </row>
    <row r="15" spans="1:7" x14ac:dyDescent="0.25">
      <c r="A15" s="25"/>
      <c r="B15" s="163"/>
      <c r="C15" s="25"/>
      <c r="D15" s="25"/>
      <c r="E15" s="25"/>
      <c r="F15" s="25"/>
      <c r="G15" s="25"/>
    </row>
    <row r="16" spans="1:7" x14ac:dyDescent="0.25">
      <c r="A16" s="4" t="s">
        <v>226</v>
      </c>
      <c r="B16" s="12"/>
      <c r="C16" s="12"/>
      <c r="D16" s="25"/>
      <c r="E16" s="25"/>
      <c r="F16" s="25"/>
      <c r="G16" s="25"/>
    </row>
    <row r="17" spans="1:7" x14ac:dyDescent="0.25">
      <c r="A17" s="161" t="s">
        <v>69</v>
      </c>
      <c r="B17" s="12"/>
      <c r="C17" s="12"/>
      <c r="D17" s="25"/>
      <c r="E17" s="25"/>
      <c r="F17" s="25"/>
      <c r="G17" s="25"/>
    </row>
    <row r="18" spans="1:7" x14ac:dyDescent="0.25">
      <c r="A18" s="4"/>
      <c r="B18" s="12"/>
      <c r="C18" s="12"/>
      <c r="D18" s="25"/>
      <c r="E18" s="25"/>
      <c r="F18" s="25"/>
      <c r="G18" s="25"/>
    </row>
    <row r="19" spans="1:7" x14ac:dyDescent="0.25">
      <c r="A19" s="4" t="s">
        <v>227</v>
      </c>
      <c r="B19" s="12"/>
      <c r="C19" s="12"/>
      <c r="D19" s="25"/>
      <c r="E19" s="25"/>
      <c r="F19" s="25"/>
      <c r="G19" s="25"/>
    </row>
    <row r="20" spans="1:7" x14ac:dyDescent="0.25">
      <c r="A20" s="161" t="s">
        <v>71</v>
      </c>
      <c r="B20" s="12"/>
      <c r="C20" s="12"/>
      <c r="D20" s="25"/>
      <c r="E20" s="25"/>
      <c r="F20" s="25"/>
      <c r="G20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2023-10-07T13:22:58Z</dcterms:modified>
  <cp:category/>
</cp:coreProperties>
</file>