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октябрь\ПЧЗ\З1\110 кВ\"/>
    </mc:Choice>
  </mc:AlternateContent>
  <xr:revisionPtr revIDLastSave="0" documentId="13_ncr:1_{FA0DBB95-5673-48EC-90D8-6CF7F48F6BB5}" xr6:coauthVersionLast="40" xr6:coauthVersionMax="40" xr10:uidLastSave="{00000000-0000-0000-0000-000000000000}"/>
  <bookViews>
    <workbookView xWindow="0" yWindow="0" windowWidth="28800" windowHeight="11625" activeTab="1" xr2:uid="{00000000-000D-0000-FFFF-FFFF00000000}"/>
  </bookViews>
  <sheets>
    <sheet name="Прил.1 Сравнит табл" sheetId="1" r:id="rId1"/>
    <sheet name="Прил.2 Расч стоим" sheetId="2" r:id="rId2"/>
    <sheet name="Прил. 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8" r:id="rId7"/>
    <sheet name="Прил. 10" sheetId="7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 localSheetId="6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табл'!$A$1:$C$32</definedName>
    <definedName name="_xlnm.Print_Area" localSheetId="1">'Прил.2 Расч стоим'!$A$1:$J$22</definedName>
    <definedName name="_xlnm.Print_Area" localSheetId="6">#REF!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C24" i="1"/>
  <c r="C23" i="1"/>
  <c r="C17" i="1"/>
  <c r="C19" i="1"/>
  <c r="C18" i="1"/>
  <c r="J14" i="2"/>
  <c r="H14" i="2"/>
  <c r="F14" i="2"/>
  <c r="D11" i="8" l="1"/>
  <c r="D5" i="8"/>
  <c r="C11" i="8" s="1"/>
  <c r="J92" i="5"/>
  <c r="G92" i="5"/>
  <c r="J91" i="5"/>
  <c r="G91" i="5"/>
  <c r="J90" i="5"/>
  <c r="G90" i="5"/>
  <c r="J89" i="5"/>
  <c r="G89" i="5"/>
  <c r="J88" i="5"/>
  <c r="G88" i="5"/>
  <c r="J87" i="5"/>
  <c r="G87" i="5"/>
  <c r="J86" i="5"/>
  <c r="H86" i="5"/>
  <c r="G86" i="5"/>
  <c r="J85" i="5"/>
  <c r="H85" i="5"/>
  <c r="G85" i="5"/>
  <c r="J84" i="5"/>
  <c r="I84" i="5"/>
  <c r="H84" i="5"/>
  <c r="G84" i="5"/>
  <c r="J83" i="5"/>
  <c r="I83" i="5"/>
  <c r="H83" i="5"/>
  <c r="G83" i="5"/>
  <c r="J82" i="5"/>
  <c r="I82" i="5"/>
  <c r="H82" i="5"/>
  <c r="G82" i="5"/>
  <c r="J81" i="5"/>
  <c r="I81" i="5"/>
  <c r="H81" i="5"/>
  <c r="G81" i="5"/>
  <c r="J80" i="5"/>
  <c r="I80" i="5"/>
  <c r="H80" i="5"/>
  <c r="G80" i="5"/>
  <c r="J79" i="5"/>
  <c r="I79" i="5"/>
  <c r="H79" i="5"/>
  <c r="G79" i="5"/>
  <c r="J78" i="5"/>
  <c r="I78" i="5"/>
  <c r="H78" i="5"/>
  <c r="G78" i="5"/>
  <c r="J77" i="5"/>
  <c r="I77" i="5"/>
  <c r="H77" i="5"/>
  <c r="G77" i="5"/>
  <c r="J76" i="5"/>
  <c r="I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43" i="5"/>
  <c r="H43" i="5"/>
  <c r="G43" i="5"/>
  <c r="J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6" i="5"/>
  <c r="I16" i="5"/>
  <c r="G16" i="5"/>
  <c r="J14" i="5"/>
  <c r="G14" i="5"/>
  <c r="E14" i="5"/>
  <c r="J13" i="5"/>
  <c r="I13" i="5"/>
  <c r="H13" i="5"/>
  <c r="G13" i="5"/>
  <c r="C41" i="4"/>
  <c r="E40" i="4"/>
  <c r="C40" i="4"/>
  <c r="E39" i="4"/>
  <c r="C39" i="4"/>
  <c r="E38" i="4"/>
  <c r="C38" i="4"/>
  <c r="E37" i="4"/>
  <c r="C37" i="4"/>
  <c r="E36" i="4"/>
  <c r="C36" i="4"/>
  <c r="E35" i="4"/>
  <c r="E34" i="4"/>
  <c r="E33" i="4"/>
  <c r="E32" i="4"/>
  <c r="E31" i="4"/>
  <c r="C31" i="4"/>
  <c r="E30" i="4"/>
  <c r="C30" i="4"/>
  <c r="E29" i="4"/>
  <c r="C29" i="4"/>
  <c r="E27" i="4"/>
  <c r="C27" i="4"/>
  <c r="E26" i="4"/>
  <c r="C26" i="4"/>
  <c r="E25" i="4"/>
  <c r="C25" i="4"/>
  <c r="E24" i="4"/>
  <c r="D24" i="4"/>
  <c r="C24" i="4"/>
  <c r="C23" i="4"/>
  <c r="E22" i="4"/>
  <c r="D22" i="4"/>
  <c r="C21" i="4"/>
  <c r="E20" i="4"/>
  <c r="D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B7" i="2"/>
  <c r="B6" i="2"/>
</calcChain>
</file>

<file path=xl/sharedStrings.xml><?xml version="1.0" encoding="utf-8"?>
<sst xmlns="http://schemas.openxmlformats.org/spreadsheetml/2006/main" count="620" uniqueCount="357">
  <si>
    <t>Приложение № 1</t>
  </si>
  <si>
    <t>Сравнительная таблица отбора объекта-представителя</t>
  </si>
  <si>
    <t>№ п/п</t>
  </si>
  <si>
    <t>Параметр</t>
  </si>
  <si>
    <t>Объект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</si>
  <si>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</si>
  <si>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</si>
  <si>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</si>
  <si>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 м3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</si>
  <si>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</si>
  <si>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</si>
  <si>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</si>
  <si>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</si>
  <si>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</si>
  <si>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</si>
  <si>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</si>
  <si>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</si>
  <si>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</si>
  <si>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</si>
  <si>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</si>
  <si>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</si>
  <si>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</si>
  <si>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</si>
  <si>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 М.С. Колотиевская</t>
  </si>
  <si>
    <t xml:space="preserve">                         (подпись, инициалы, фамилия)</t>
  </si>
  <si>
    <t>Проверил ______________________         М.С. Колотиевская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</si>
  <si>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</si>
  <si>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</si>
  <si>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</si>
  <si>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</si>
  <si>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</si>
  <si>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</si>
  <si>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</si>
  <si>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</si>
  <si>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</si>
  <si>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</si>
  <si>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</si>
  <si>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</si>
  <si>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</si>
  <si>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</si>
  <si>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</si>
  <si>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</si>
  <si>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</si>
  <si>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</si>
  <si>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</si>
  <si>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</si>
  <si>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</si>
  <si>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</si>
  <si>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</si>
  <si>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</si>
  <si>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</si>
  <si>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</si>
  <si>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1-100-36</t>
  </si>
  <si>
    <t>Затраты труда рабочих (ср 3,6)</t>
  </si>
  <si>
    <t>чел.-ч</t>
  </si>
  <si>
    <t>1-100-30</t>
  </si>
  <si>
    <t>Затраты труда рабочих (ср 3)</t>
  </si>
  <si>
    <t>1-100-22</t>
  </si>
  <si>
    <t>Затраты труда рабочих (ср 2,2)</t>
  </si>
  <si>
    <t>1-100-32</t>
  </si>
  <si>
    <t>Затраты труда рабочих (ср 3,2)</t>
  </si>
  <si>
    <t>1-100-50</t>
  </si>
  <si>
    <t>Затраты труда рабочих (ср 5)</t>
  </si>
  <si>
    <t>1-100-35</t>
  </si>
  <si>
    <t>Затраты труда рабочих (ср 3,5)</t>
  </si>
  <si>
    <t>1-100-20</t>
  </si>
  <si>
    <t>Затраты труда рабочих (ср 2)</t>
  </si>
  <si>
    <t>1-100-49</t>
  </si>
  <si>
    <t>Затраты труда рабочих (ср 4,9)</t>
  </si>
  <si>
    <t>1-100-33</t>
  </si>
  <si>
    <t>Затраты труда рабочих (ср 3,3)</t>
  </si>
  <si>
    <t>1-100-38</t>
  </si>
  <si>
    <t>Затраты труда рабочих (ср 3,8)</t>
  </si>
  <si>
    <t>Затраты труда машинистов</t>
  </si>
  <si>
    <t>Машины и механизмы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</si>
  <si>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</si>
  <si>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</si>
  <si>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маш.час</t>
  </si>
  <si>
    <t>91.01.05-085</t>
  </si>
  <si>
    <t>Экскаваторы одноковшовые дизельные на гусеничном ходу, емкость ковша 0,5 м3</t>
  </si>
  <si>
    <t>91.21.03-011</t>
  </si>
  <si>
    <t>Аппараты дробеструйные</t>
  </si>
  <si>
    <t>91.05.08-006</t>
  </si>
  <si>
    <t>Краны на пневмоколесном ходу, грузоподъемность 16 т</t>
  </si>
  <si>
    <t>91.14.02-001</t>
  </si>
  <si>
    <t>Автомобили бортовые, грузоподъемность до 5 т</t>
  </si>
  <si>
    <t>91.06.05-057</t>
  </si>
  <si>
    <t>Погрузчики одноковшовые универсальные фронтальные пневмоколесные, грузоподъемность 3 т</t>
  </si>
  <si>
    <t>91.01.01-035</t>
  </si>
  <si>
    <t>Бульдозеры, мощность 79 кВт (108 л.с.)</t>
  </si>
  <si>
    <t>91.05.06-012</t>
  </si>
  <si>
    <t>Краны на гусеничном ходу, грузоподъемность до 16 т</t>
  </si>
  <si>
    <t>91.17.04-033</t>
  </si>
  <si>
    <t>Агрегаты сварочные двухпостовые для ручной сварки на тракторе, мощность 79 кВт (108 л.с.)</t>
  </si>
  <si>
    <t>91.06.05-011</t>
  </si>
  <si>
    <t>Погрузчики, грузоподъемность 5 т</t>
  </si>
  <si>
    <t>91.08.09-024</t>
  </si>
  <si>
    <t>Трамбовки пневматические при работе от стационарного компрессора</t>
  </si>
  <si>
    <t>91.01.01-036</t>
  </si>
  <si>
    <t>Бульдозеры, мощность 96 кВт (130 л.с.)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</si>
  <si>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</si>
  <si>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</si>
  <si>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</si>
  <si>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</si>
  <si>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91.21.22-638</t>
  </si>
  <si>
    <t>Пылесосы промышленные, мощность до 2000 Вт</t>
  </si>
  <si>
    <t>91.21.01-012</t>
  </si>
  <si>
    <t>Агрегаты окрасочные высокого давления для окраски поверхностей конструкций, мощность 1 кВт</t>
  </si>
  <si>
    <t>91.14.03-001</t>
  </si>
  <si>
    <t>Автомобили-самосвалы, грузоподъемность до 7 т</t>
  </si>
  <si>
    <t>91.06.03-060</t>
  </si>
  <si>
    <t>Лебедки электрические тяговым усилием до 5,79 кН (0,59 т)</t>
  </si>
  <si>
    <t>91.06.06-048</t>
  </si>
  <si>
    <t>Подъемники одномачтовые, грузоподъемность до 500 кг, высота подъема 45 м</t>
  </si>
  <si>
    <t>91.17.04-042</t>
  </si>
  <si>
    <t>Аппараты для газовой сварки и резки</t>
  </si>
  <si>
    <t>91.08.09-023</t>
  </si>
  <si>
    <t>Трамбовки пневматические при работе от передвижных компрессорных станций</t>
  </si>
  <si>
    <t>91.07.04-002</t>
  </si>
  <si>
    <t>Вибраторы поверхностные</t>
  </si>
  <si>
    <t>Материалы</t>
  </si>
  <si>
    <t>02.2.05.01-0010</t>
  </si>
  <si>
    <t>Керамзит щебневидный М 250, фракция 10-20 мм</t>
  </si>
  <si>
    <t>м3</t>
  </si>
  <si>
    <t>01.2.03.02-0004</t>
  </si>
  <si>
    <t>Грунтовка битумно-полимерная, марка "Мадикор"</t>
  </si>
  <si>
    <t>т</t>
  </si>
  <si>
    <t>02.3.01.02-0033</t>
  </si>
  <si>
    <t>Песок природный обогащенный для строительных работ средний</t>
  </si>
  <si>
    <t>14.4.01.21-0409</t>
  </si>
  <si>
    <t>Состав (грунт-эмаль) однокомпонентный полиуретановый карбонизированный антикоррозионный для металлических изделий и конструкций, гидрофобный, температура эксплуатации от -50 до +150°С, прочность сцепления с металлом более 2,5 МПа, условная вязкость не менее 90 с, сухой остаток 52%, характеристики при температуре 20°С: плотность 1,0 г/см3</t>
  </si>
  <si>
    <t>кг</t>
  </si>
  <si>
    <t>11.2.13.04-0002</t>
  </si>
  <si>
    <t>Щиты деревянные для фундаментов, колонн, балок, перекрытий, стен, перегородок и других конструкций из досок, толщина 40 мм</t>
  </si>
  <si>
    <t>м2</t>
  </si>
  <si>
    <t>01.7.07.29-0131</t>
  </si>
  <si>
    <t>Песок металлический</t>
  </si>
  <si>
    <t>25.1.01.04-0031</t>
  </si>
  <si>
    <t>Шпалы непропитанные для железных дорог, тип I</t>
  </si>
  <si>
    <t>шт</t>
  </si>
  <si>
    <t>07.2.07.13-0171</t>
  </si>
  <si>
    <t>Подкладки металлические</t>
  </si>
  <si>
    <t>01.3.01.01-0001</t>
  </si>
  <si>
    <t>Бензин авиационный Б-70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</si>
  <si>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</si>
  <si>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</si>
  <si>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14.5.09.07-0030</t>
  </si>
  <si>
    <t>Растворитель Р-4</t>
  </si>
  <si>
    <t>01.7.11.07-0040</t>
  </si>
  <si>
    <t>Электроды сварочные Э50А, диаметр 4 мм</t>
  </si>
  <si>
    <t>23.8.03.12-0011</t>
  </si>
  <si>
    <t>Фасонные части стальные сварные, номинальный диаметр до 800 мм</t>
  </si>
  <si>
    <t>04.1.02.05-0003</t>
  </si>
  <si>
    <t>Смеси бетонные тяжелого бетона (БСТ), класс В7,5 (М100)</t>
  </si>
  <si>
    <t>02.2.05.04-1812</t>
  </si>
  <si>
    <t>Щебень М 600, фракция 40-80(70) мм, группа 2</t>
  </si>
  <si>
    <t>08.1.02.11-0023</t>
  </si>
  <si>
    <t>Поковки простые строительные (скобы, закрепы, хомуты), масса до 1,6 кг</t>
  </si>
  <si>
    <t>01.7.03.01-0001</t>
  </si>
  <si>
    <t>Вода</t>
  </si>
  <si>
    <t>01.3.02.08-0001</t>
  </si>
  <si>
    <t>Кислород газообразный технический</t>
  </si>
  <si>
    <t>999-9950</t>
  </si>
  <si>
    <t>Вспомогательные ненормируемые ресурсы (2% от Оплаты труда рабочих)</t>
  </si>
  <si>
    <t>руб</t>
  </si>
  <si>
    <t>14.4.02.09-0301</t>
  </si>
  <si>
    <t>Композиция антикоррозионная цинкнаполненная</t>
  </si>
  <si>
    <t>01.7.11.07-0054</t>
  </si>
  <si>
    <t>Электроды сварочные Э42, диаметр 6 мм</t>
  </si>
  <si>
    <t>14.5.09.02-0002</t>
  </si>
  <si>
    <t>Ксилол нефтяной, марка А</t>
  </si>
  <si>
    <t>02.2.05.04-1572</t>
  </si>
  <si>
    <t>Щебень М 600, фракция 5(3)-10 мм, группа 2</t>
  </si>
  <si>
    <t>01.7.20.08-0051</t>
  </si>
  <si>
    <t>Ветошь</t>
  </si>
  <si>
    <t>23.8.03.12-0036</t>
  </si>
  <si>
    <t>Фланцы стальные приварные в комплекте с прокладками, болтами и гайками, номинальное давление 1,0 МПа, номинальный диаметр 250 мм</t>
  </si>
  <si>
    <t>компл</t>
  </si>
  <si>
    <t>02.2.05.04-1692</t>
  </si>
  <si>
    <t>Щебень М 600, фракция 10-20 мм, группа 2</t>
  </si>
  <si>
    <t>02.2.04.03-0001</t>
  </si>
  <si>
    <t>Смесь песчано-гравийно-щебеночная обогащенная с содержанием гравия и щебня из гравия-не менее 8%</t>
  </si>
  <si>
    <t>02.2.05.04-1777</t>
  </si>
  <si>
    <t>Щебень М 800, фракция 20-40 мм, группа 2</t>
  </si>
  <si>
    <t>01.3.02.09-0022</t>
  </si>
  <si>
    <t>Пропан-бутан смесь техническая</t>
  </si>
  <si>
    <t>08.3.05.02-0101</t>
  </si>
  <si>
    <t>Прокат толстолистовой горячекатаный в листах, марка стали ВСт3пс5, толщина 4-6 мм</t>
  </si>
  <si>
    <t>01.7.11.07-0034</t>
  </si>
  <si>
    <t>Электроды сварочные Э42А, диаметр 4 мм</t>
  </si>
  <si>
    <t>Составил ______________________        М.С. Колотиевская</t>
  </si>
  <si>
    <t>Проверил ______________________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</si>
  <si>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</si>
  <si>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</si>
  <si>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</si>
  <si>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</si>
  <si>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</si>
  <si>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</si>
  <si>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</si>
  <si>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</si>
  <si>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</si>
  <si>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</si>
  <si>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</si>
  <si>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</si>
  <si>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</si>
  <si>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</si>
  <si>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</si>
  <si>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</si>
  <si>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</si>
  <si>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</si>
  <si>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</si>
  <si>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</si>
  <si>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</si>
  <si>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</si>
  <si>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</si>
  <si>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</si>
  <si>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</si>
  <si>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</si>
  <si>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</si>
  <si>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</si>
  <si>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</si>
  <si>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</si>
  <si>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</si>
  <si>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</si>
  <si>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</si>
  <si>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</si>
  <si>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</si>
  <si>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</si>
  <si>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</si>
  <si>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М.С. Колотиевская</t>
  </si>
  <si>
    <t xml:space="preserve">(должность, подпись, инициалы, фамилия) </t>
  </si>
  <si>
    <t>Проверил ____________________________ М.С. Колотиевская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</si>
  <si>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</si>
  <si>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</si>
  <si>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</si>
  <si>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</si>
  <si>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</si>
  <si>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</si>
  <si>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</si>
  <si>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</si>
  <si>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</si>
  <si>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</si>
  <si>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1-100-31</t>
  </si>
  <si>
    <t>Затраты труда рабочих (Средний разряд работы 3,1)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</si>
  <si>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</si>
  <si>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</si>
  <si>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</si>
  <si>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</si>
  <si>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</si>
  <si>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</si>
  <si>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</si>
  <si>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</si>
  <si>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</si>
  <si>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</si>
  <si>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</si>
  <si>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</si>
  <si>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</si>
  <si>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</si>
  <si>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</si>
  <si>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</si>
  <si>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</si>
  <si>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</si>
  <si>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</si>
  <si>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</si>
  <si>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</si>
  <si>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</si>
  <si>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</si>
  <si>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</si>
  <si>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</si>
  <si>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</si>
  <si>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</si>
  <si>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</si>
  <si>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</si>
  <si>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</si>
  <si>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</si>
  <si>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</si>
  <si>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</si>
  <si>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</si>
  <si>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</si>
  <si>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</si>
  <si>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</si>
  <si>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</si>
  <si>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</si>
  <si>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</si>
  <si>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</si>
  <si>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</si>
  <si>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</si>
  <si>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</si>
  <si>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</si>
  <si>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</si>
  <si>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</si>
  <si>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t>Проверил ______________________        М.С. Колотиевская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</si>
  <si>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</si>
  <si>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</si>
  <si>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</si>
  <si>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</si>
  <si>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</si>
  <si>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</si>
  <si>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</si>
  <si>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Проверил ______________________        А.В. Костянецкая</t>
  </si>
  <si>
    <t>УНЦ прочих здания и сооружений ПС</t>
  </si>
  <si>
    <t>Составил ______________________      М.С. Колотиевская</t>
  </si>
  <si>
    <t>Маслосборник  50 м3</t>
  </si>
  <si>
    <t>Единица измерения  — 1 ПС</t>
  </si>
  <si>
    <t xml:space="preserve">Наименование разрабатываемого показателя УНЦ — Постоянная часть ПС маслосборник ПС 110 кВ </t>
  </si>
  <si>
    <t>ПС 110 кВ Джуракская</t>
  </si>
  <si>
    <t>Республика Калмыкия</t>
  </si>
  <si>
    <t>IIВ</t>
  </si>
  <si>
    <t xml:space="preserve">Наименование разрабатываемого показателя УНЦ -  Постоянная часть ПС маслосборник ПС 110 кВ </t>
  </si>
  <si>
    <t xml:space="preserve">Наименование разрабатываемой расценки УНЦ —  Постоянная часть ПС маслосборник ПС 110 кВ </t>
  </si>
  <si>
    <t xml:space="preserve">Постоянная часть ПС маслосборник ПС 110 кВ </t>
  </si>
  <si>
    <t xml:space="preserve">Наименование разрабатываемого показателя УНЦ —  Постоянная часть ПС маслосборник ПС 110 кВ </t>
  </si>
  <si>
    <t>З1 ПС Маслосборник 110 кВ</t>
  </si>
  <si>
    <t>1 ПС</t>
  </si>
  <si>
    <t>Расчёт</t>
  </si>
  <si>
    <t>Сметная стоимость в уровне цен 2 квартал 2020 г., тыс. руб.</t>
  </si>
  <si>
    <t>Всего по объекту в сопоставимом уровне цен 2 кв. 2020г:</t>
  </si>
  <si>
    <t>Маслосборник ПС 110 кВ</t>
  </si>
  <si>
    <t>Сопоставимый уровень цен: 2 квартал 2020г</t>
  </si>
  <si>
    <t>2 квартал 2020г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</si>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</sst>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,##0.00;[Red]\-\ #,##0.00"/>
    <numFmt numFmtId="166" formatCode="_-* #,##0.00_-;\-* #,##0.00_-;_-* &quot;-&quot;??_-;_-@_-"/>
    <numFmt numFmtId="168" formatCode="#,##0.0"/>
    <numFmt numFmtId="169" formatCode="#,##0.000"/>
    <numFmt numFmtId="170" formatCode="0.0000"/>
  </numFmts>
  <fonts count="1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FF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u/>
      <sz val="12"/>
      <color rgb="FF0563C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justify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/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top"/>
    </xf>
    <xf numFmtId="4" fontId="6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4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7" fillId="0" borderId="0" xfId="0" applyFont="1"/>
    <xf numFmtId="0" fontId="8" fillId="0" borderId="0" xfId="0" applyFont="1"/>
    <xf numFmtId="0" fontId="2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4" fontId="2" fillId="0" borderId="1" xfId="0" applyNumberFormat="1" applyFont="1" applyBorder="1" applyAlignment="1">
      <alignment vertical="top"/>
    </xf>
    <xf numFmtId="164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/>
    </xf>
    <xf numFmtId="0" fontId="2" fillId="0" borderId="1" xfId="0" applyFont="1" applyBorder="1"/>
    <xf numFmtId="0" fontId="2" fillId="0" borderId="1" xfId="0" applyFont="1" applyBorder="1"/>
    <xf numFmtId="0" fontId="2" fillId="0" borderId="1" xfId="0" applyFont="1" applyBorder="1"/>
    <xf numFmtId="4" fontId="2" fillId="0" borderId="1" xfId="0" applyNumberFormat="1" applyFont="1" applyBorder="1"/>
    <xf numFmtId="0" fontId="6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right" vertical="top" wrapText="1"/>
    </xf>
    <xf numFmtId="10" fontId="2" fillId="0" borderId="1" xfId="0" applyNumberFormat="1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vertical="top"/>
    </xf>
    <xf numFmtId="9" fontId="2" fillId="0" borderId="1" xfId="0" applyNumberFormat="1" applyFont="1" applyBorder="1" applyAlignment="1">
      <alignment horizontal="center" vertical="top" wrapText="1"/>
    </xf>
    <xf numFmtId="0" fontId="2" fillId="0" borderId="0" xfId="0" applyFont="1"/>
    <xf numFmtId="4" fontId="2" fillId="0" borderId="0" xfId="0" applyNumberFormat="1" applyFont="1"/>
    <xf numFmtId="0" fontId="2" fillId="0" borderId="0" xfId="0" applyFont="1" applyAlignment="1">
      <alignment vertical="center"/>
    </xf>
    <xf numFmtId="0" fontId="0" fillId="0" borderId="0" xfId="0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7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 wrapText="1"/>
    </xf>
    <xf numFmtId="4" fontId="2" fillId="0" borderId="2" xfId="0" applyNumberFormat="1" applyFont="1" applyBorder="1" applyAlignment="1">
      <alignment horizontal="right" vertical="center"/>
    </xf>
    <xf numFmtId="10" fontId="2" fillId="0" borderId="2" xfId="0" applyNumberFormat="1" applyFont="1" applyBorder="1" applyAlignment="1">
      <alignment vertical="center" wrapText="1"/>
    </xf>
    <xf numFmtId="10" fontId="2" fillId="0" borderId="2" xfId="0" applyNumberFormat="1" applyFont="1" applyBorder="1" applyAlignment="1">
      <alignment vertical="center"/>
    </xf>
    <xf numFmtId="4" fontId="2" fillId="0" borderId="0" xfId="0" applyNumberFormat="1" applyFont="1"/>
    <xf numFmtId="0" fontId="2" fillId="0" borderId="1" xfId="0" applyFont="1" applyBorder="1"/>
    <xf numFmtId="10" fontId="2" fillId="0" borderId="1" xfId="0" applyNumberFormat="1" applyFont="1" applyBorder="1"/>
    <xf numFmtId="0" fontId="2" fillId="0" borderId="3" xfId="0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9" fillId="0" borderId="0" xfId="0" applyFont="1"/>
    <xf numFmtId="0" fontId="4" fillId="0" borderId="0" xfId="0" applyFont="1" applyAlignment="1">
      <alignment horizontal="justify" vertical="center"/>
    </xf>
    <xf numFmtId="0" fontId="0" fillId="2" borderId="0" xfId="0" applyFill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/>
    <xf numFmtId="0" fontId="2" fillId="0" borderId="1" xfId="0" applyFont="1" applyBorder="1" applyAlignment="1">
      <alignment wrapText="1"/>
    </xf>
    <xf numFmtId="165" fontId="8" fillId="0" borderId="1" xfId="0" applyNumberFormat="1" applyFont="1" applyBorder="1"/>
    <xf numFmtId="165" fontId="2" fillId="0" borderId="1" xfId="0" applyNumberFormat="1" applyFont="1" applyBorder="1"/>
    <xf numFmtId="166" fontId="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justify" vertical="center"/>
    </xf>
    <xf numFmtId="0" fontId="10" fillId="0" borderId="0" xfId="0" applyFont="1" applyAlignment="1">
      <alignment vertical="center"/>
    </xf>
    <xf numFmtId="0" fontId="0" fillId="0" borderId="0" xfId="0" applyFill="1"/>
    <xf numFmtId="0" fontId="10" fillId="0" borderId="0" xfId="0" applyFont="1" applyFill="1" applyAlignment="1"/>
    <xf numFmtId="0" fontId="10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left" vertical="center" wrapText="1"/>
    </xf>
    <xf numFmtId="0" fontId="10" fillId="0" borderId="0" xfId="0" applyFont="1" applyFill="1"/>
    <xf numFmtId="0" fontId="10" fillId="0" borderId="6" xfId="0" applyFont="1" applyFill="1" applyBorder="1" applyAlignment="1">
      <alignment horizontal="center" vertical="center" wrapText="1"/>
    </xf>
    <xf numFmtId="4" fontId="10" fillId="0" borderId="6" xfId="0" applyNumberFormat="1" applyFont="1" applyFill="1" applyBorder="1" applyAlignment="1">
      <alignment vertical="center" wrapText="1"/>
    </xf>
    <xf numFmtId="4" fontId="10" fillId="0" borderId="6" xfId="0" applyNumberFormat="1" applyFont="1" applyFill="1" applyBorder="1" applyAlignment="1">
      <alignment horizontal="center" vertical="center"/>
    </xf>
    <xf numFmtId="0" fontId="13" fillId="0" borderId="0" xfId="0" applyFont="1" applyFill="1"/>
    <xf numFmtId="0" fontId="13" fillId="0" borderId="0" xfId="0" applyFont="1" applyFill="1" applyAlignment="1">
      <alignment horizontal="right"/>
    </xf>
    <xf numFmtId="0" fontId="14" fillId="0" borderId="0" xfId="0" applyFont="1" applyFill="1"/>
    <xf numFmtId="0" fontId="15" fillId="0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" fontId="2" fillId="0" borderId="1" xfId="0" applyNumberFormat="1" applyFont="1" applyBorder="1" applyAlignment="1">
      <alignment vertical="top"/>
    </xf>
    <xf numFmtId="0" fontId="2" fillId="0" borderId="0" xfId="0" applyFont="1" applyAlignment="1">
      <alignment horizontal="right"/>
    </xf>
    <xf numFmtId="4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49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11" fillId="0" borderId="0" xfId="0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left" vertical="center" wrapText="1"/>
    </xf>
    <xf numFmtId="4" fontId="7" fillId="0" borderId="0" xfId="0" applyNumberFormat="1" applyFont="1" applyFill="1" applyAlignment="1">
      <alignment horizontal="left" vertical="center" wrapText="1"/>
    </xf>
    <xf numFmtId="0" fontId="12" fillId="0" borderId="6" xfId="0" applyFont="1" applyFill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top" wrapText="1"/>
    </xf>
    <xf numFmtId="4" fontId="2" fillId="0" borderId="5" xfId="0" applyNumberFormat="1" applyFont="1" applyBorder="1" applyAlignment="1">
      <alignment horizontal="center" vertical="top" wrapText="1"/>
    </xf>
    <xf numFmtId="166" fontId="6" fillId="0" borderId="4" xfId="0" applyNumberFormat="1" applyFont="1" applyBorder="1" applyAlignment="1">
      <alignment horizontal="center" vertical="center" wrapText="1"/>
    </xf>
    <xf numFmtId="166" fontId="6" fillId="0" borderId="5" xfId="0" applyNumberFormat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" fillId="0" borderId="0" xfId="1"/>
    <xf numFmtId="49" fontId="2" fillId="0" borderId="0" xfId="1" applyNumberFormat="1" applyFont="1" applyAlignment="1">
      <alignment horizontal="left" vertical="center"/>
    </xf>
    <xf numFmtId="0" fontId="2" fillId="0" borderId="0" xfId="1" applyFont="1"/>
    <xf numFmtId="0" fontId="2" fillId="0" borderId="1" xfId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4" fontId="2" fillId="0" borderId="1" xfId="1" applyNumberFormat="1" applyFont="1" applyBorder="1" applyAlignment="1">
      <alignment horizontal="center" vertical="center"/>
    </xf>
    <xf numFmtId="0" fontId="18" fillId="0" borderId="0" xfId="1" applyFont="1" applyAlignment="1">
      <alignment vertical="center"/>
    </xf>
    <xf numFmtId="168" fontId="2" fillId="0" borderId="1" xfId="1" applyNumberFormat="1" applyFont="1" applyBorder="1" applyAlignment="1">
      <alignment horizontal="center" vertical="center"/>
    </xf>
    <xf numFmtId="169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vertical="center" wrapText="1"/>
    </xf>
    <xf numFmtId="170" fontId="2" fillId="3" borderId="1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wrapText="1"/>
    </xf>
    <xf numFmtId="0" fontId="6" fillId="0" borderId="1" xfId="1" applyFont="1" applyBorder="1" applyAlignment="1">
      <alignment vertical="center" wrapText="1"/>
    </xf>
    <xf numFmtId="4" fontId="6" fillId="0" borderId="1" xfId="1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 xr:uid="{3B55119B-9791-4CBE-9E37-F922AD8FE171}"/>
  </cellStyles>
  <dxfs count="2">
    <dxf>
      <numFmt numFmtId="167" formatCode="#,##0.0000"/>
    </dxf>
    <dxf>
      <numFmt numFmtId="167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view="pageBreakPreview" topLeftCell="A8" zoomScale="85" zoomScaleNormal="85" zoomScaleSheetLayoutView="85" workbookViewId="0">
      <selection activeCell="C25" sqref="C25"/>
    </sheetView>
  </sheetViews>
  <sheetFormatPr defaultRowHeight="15.75" x14ac:dyDescent="0.25"/>
  <cols>
    <col min="1" max="1" width="9.140625" style="75" customWidth="1"/>
    <col min="2" max="2" width="48.28515625" style="75" customWidth="1"/>
    <col min="3" max="3" width="60.5703125" style="75" customWidth="1"/>
    <col min="4" max="8" width="9.140625" style="75" customWidth="1"/>
    <col min="9" max="9" width="13.28515625" style="75" customWidth="1"/>
    <col min="10" max="10" width="9.140625" style="75" customWidth="1"/>
  </cols>
  <sheetData>
    <row r="1" spans="1:5" s="5" customFormat="1" x14ac:dyDescent="0.25">
      <c r="A1" s="101"/>
      <c r="B1" s="137" t="s">
        <v>0</v>
      </c>
      <c r="C1" s="137"/>
    </row>
    <row r="2" spans="1:5" s="5" customFormat="1" x14ac:dyDescent="0.25">
      <c r="A2" s="101"/>
      <c r="B2" s="138" t="s">
        <v>1</v>
      </c>
      <c r="C2" s="138"/>
    </row>
    <row r="3" spans="1:5" s="5" customFormat="1" x14ac:dyDescent="0.25">
      <c r="A3" s="101"/>
      <c r="B3" s="101"/>
      <c r="C3" s="101"/>
    </row>
    <row r="4" spans="1:5" s="5" customFormat="1" x14ac:dyDescent="0.25">
      <c r="A4" s="101"/>
      <c r="B4" s="101"/>
      <c r="C4" s="101"/>
    </row>
    <row r="5" spans="1:5" s="5" customFormat="1" x14ac:dyDescent="0.25">
      <c r="A5" s="101"/>
      <c r="B5" s="139" t="s">
        <v>304</v>
      </c>
      <c r="C5" s="139"/>
      <c r="E5" s="102"/>
    </row>
    <row r="6" spans="1:5" s="5" customFormat="1" ht="31.7" customHeight="1" x14ac:dyDescent="0.25">
      <c r="A6" s="101"/>
      <c r="B6" s="139" t="s">
        <v>318</v>
      </c>
      <c r="C6" s="139"/>
    </row>
    <row r="7" spans="1:5" s="5" customFormat="1" ht="15.75" customHeight="1" x14ac:dyDescent="0.25">
      <c r="A7" s="101"/>
      <c r="B7" s="139" t="s">
        <v>303</v>
      </c>
      <c r="C7" s="139"/>
      <c r="E7" s="102"/>
    </row>
    <row r="8" spans="1:5" x14ac:dyDescent="0.25">
      <c r="A8" s="101"/>
      <c r="B8" s="101"/>
      <c r="C8" s="101"/>
    </row>
    <row r="9" spans="1:5" x14ac:dyDescent="0.25">
      <c r="A9" s="101"/>
      <c r="B9" s="101"/>
      <c r="C9" s="101"/>
    </row>
    <row r="10" spans="1:5" x14ac:dyDescent="0.25">
      <c r="A10" s="101"/>
      <c r="B10" s="101"/>
      <c r="C10" s="101"/>
    </row>
    <row r="11" spans="1:5" x14ac:dyDescent="0.25">
      <c r="A11" s="132" t="s">
        <v>2</v>
      </c>
      <c r="B11" s="132" t="s">
        <v>3</v>
      </c>
      <c r="C11" s="132" t="s">
        <v>4</v>
      </c>
    </row>
    <row r="12" spans="1:5" ht="75.2" customHeight="1" x14ac:dyDescent="0.25">
      <c r="A12" s="132">
        <v>1</v>
      </c>
      <c r="B12" s="133" t="s">
        <v>5</v>
      </c>
      <c r="C12" s="132" t="s">
        <v>305</v>
      </c>
    </row>
    <row r="13" spans="1:5" ht="31.7" customHeight="1" x14ac:dyDescent="0.25">
      <c r="A13" s="132">
        <v>2</v>
      </c>
      <c r="B13" s="133" t="s">
        <v>6</v>
      </c>
      <c r="C13" s="132" t="s">
        <v>306</v>
      </c>
    </row>
    <row r="14" spans="1:5" x14ac:dyDescent="0.25">
      <c r="A14" s="132">
        <v>3</v>
      </c>
      <c r="B14" s="133" t="s">
        <v>7</v>
      </c>
      <c r="C14" s="132" t="s">
        <v>307</v>
      </c>
    </row>
    <row r="15" spans="1:5" x14ac:dyDescent="0.25">
      <c r="A15" s="132">
        <v>4</v>
      </c>
      <c r="B15" s="133" t="s">
        <v>8</v>
      </c>
      <c r="C15" s="132">
        <v>1</v>
      </c>
    </row>
    <row r="16" spans="1:5" ht="236.25" customHeight="1" x14ac:dyDescent="0.25">
      <c r="A16" s="132">
        <v>5</v>
      </c>
      <c r="B16" s="133" t="s">
        <v>9</v>
      </c>
      <c r="C16" s="132" t="s">
        <v>302</v>
      </c>
    </row>
    <row r="17" spans="1:11" ht="78.75" customHeight="1" x14ac:dyDescent="0.25">
      <c r="A17" s="132">
        <v>6</v>
      </c>
      <c r="B17" s="133" t="s">
        <v>10</v>
      </c>
      <c r="C17" s="132">
        <f>C18+C19</f>
        <v>808.56365799999992</v>
      </c>
      <c r="I17" s="92"/>
      <c r="K17" s="75"/>
    </row>
    <row r="18" spans="1:11" x14ac:dyDescent="0.25">
      <c r="A18" s="103" t="s">
        <v>11</v>
      </c>
      <c r="B18" s="133" t="s">
        <v>12</v>
      </c>
      <c r="C18" s="132">
        <f>'Прил.2 Расч стоим'!F14</f>
        <v>808.56365799999992</v>
      </c>
      <c r="I18" s="92"/>
      <c r="K18" s="75"/>
    </row>
    <row r="19" spans="1:11" x14ac:dyDescent="0.25">
      <c r="A19" s="103" t="s">
        <v>13</v>
      </c>
      <c r="B19" s="133" t="s">
        <v>14</v>
      </c>
      <c r="C19" s="132">
        <f>'Прил.2 Расч стоим'!H14</f>
        <v>0</v>
      </c>
    </row>
    <row r="20" spans="1:11" x14ac:dyDescent="0.25">
      <c r="A20" s="103" t="s">
        <v>15</v>
      </c>
      <c r="B20" s="133" t="s">
        <v>16</v>
      </c>
      <c r="C20" s="132"/>
    </row>
    <row r="21" spans="1:11" ht="31.7" customHeight="1" x14ac:dyDescent="0.25">
      <c r="A21" s="103" t="s">
        <v>17</v>
      </c>
      <c r="B21" s="133" t="s">
        <v>18</v>
      </c>
      <c r="C21" s="132"/>
    </row>
    <row r="22" spans="1:11" x14ac:dyDescent="0.25">
      <c r="A22" s="104">
        <v>7</v>
      </c>
      <c r="B22" s="133" t="s">
        <v>19</v>
      </c>
      <c r="C22" s="132" t="s">
        <v>319</v>
      </c>
      <c r="K22" s="75"/>
    </row>
    <row r="23" spans="1:11" ht="110.25" customHeight="1" x14ac:dyDescent="0.25">
      <c r="A23" s="104">
        <v>8</v>
      </c>
      <c r="B23" s="133" t="s">
        <v>20</v>
      </c>
      <c r="C23" s="105">
        <f>C17</f>
        <v>808.56365799999992</v>
      </c>
    </row>
    <row r="24" spans="1:11" ht="47.25" customHeight="1" x14ac:dyDescent="0.25">
      <c r="A24" s="104">
        <v>9</v>
      </c>
      <c r="B24" s="133" t="s">
        <v>21</v>
      </c>
      <c r="C24" s="105">
        <f>C17/C15</f>
        <v>808.56365799999992</v>
      </c>
    </row>
    <row r="25" spans="1:11" x14ac:dyDescent="0.25">
      <c r="A25" s="104">
        <v>10</v>
      </c>
      <c r="B25" s="133" t="s">
        <v>22</v>
      </c>
      <c r="C25" s="132"/>
    </row>
    <row r="27" spans="1:11" s="5" customFormat="1" x14ac:dyDescent="0.25"/>
    <row r="28" spans="1:11" s="5" customFormat="1" x14ac:dyDescent="0.25"/>
    <row r="29" spans="1:11" s="5" customFormat="1" x14ac:dyDescent="0.25"/>
    <row r="30" spans="1:11" s="106" customFormat="1" x14ac:dyDescent="0.25">
      <c r="B30" s="5"/>
      <c r="C30" s="5"/>
      <c r="D30" s="5"/>
      <c r="E30" s="5"/>
      <c r="F30" s="5"/>
    </row>
    <row r="31" spans="1:11" s="106" customFormat="1" x14ac:dyDescent="0.25">
      <c r="B31" s="5"/>
      <c r="C31" s="5"/>
      <c r="D31" s="5"/>
      <c r="E31" s="5"/>
      <c r="F31" s="5"/>
    </row>
  </sheetData>
  <mergeCells count="5">
    <mergeCell ref="B1:C1"/>
    <mergeCell ref="B2:C2"/>
    <mergeCell ref="B5:C5"/>
    <mergeCell ref="B6:C6"/>
    <mergeCell ref="B7:C7"/>
  </mergeCells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23"/>
  <sheetViews>
    <sheetView tabSelected="1" view="pageBreakPreview" zoomScale="85" zoomScaleNormal="85" zoomScaleSheetLayoutView="85" workbookViewId="0">
      <selection activeCell="C40" sqref="C40"/>
    </sheetView>
  </sheetViews>
  <sheetFormatPr defaultColWidth="9.140625" defaultRowHeight="15" x14ac:dyDescent="0.25"/>
  <cols>
    <col min="1" max="1" width="5.5703125" style="106" customWidth="1"/>
    <col min="2" max="2" width="9.140625" style="106"/>
    <col min="3" max="3" width="28.140625" style="106" customWidth="1"/>
    <col min="4" max="4" width="15.5703125" style="106" customWidth="1"/>
    <col min="5" max="5" width="39" style="106" customWidth="1"/>
    <col min="6" max="6" width="14.5703125" style="106" customWidth="1"/>
    <col min="7" max="7" width="21.42578125" style="106" customWidth="1"/>
    <col min="8" max="8" width="19.5703125" style="106" customWidth="1"/>
    <col min="9" max="9" width="13" style="106" customWidth="1"/>
    <col min="10" max="10" width="20.85546875" style="106" customWidth="1"/>
    <col min="11" max="11" width="18" style="106" customWidth="1"/>
    <col min="12" max="12" width="9.140625" style="106"/>
  </cols>
  <sheetData>
    <row r="3" spans="2:15" ht="15.75" customHeight="1" x14ac:dyDescent="0.25">
      <c r="B3" s="140" t="s">
        <v>27</v>
      </c>
      <c r="C3" s="140"/>
      <c r="D3" s="140"/>
      <c r="E3" s="140"/>
      <c r="F3" s="140"/>
      <c r="G3" s="140"/>
      <c r="H3" s="140"/>
      <c r="I3" s="140"/>
      <c r="J3" s="140"/>
      <c r="K3" s="99"/>
    </row>
    <row r="4" spans="2:15" ht="15.75" customHeight="1" x14ac:dyDescent="0.25">
      <c r="B4" s="138" t="s">
        <v>28</v>
      </c>
      <c r="C4" s="138"/>
      <c r="D4" s="138"/>
      <c r="E4" s="138"/>
      <c r="F4" s="138"/>
      <c r="G4" s="138"/>
      <c r="H4" s="138"/>
      <c r="I4" s="138"/>
      <c r="J4" s="138"/>
      <c r="K4" s="138"/>
    </row>
    <row r="5" spans="2:15" ht="15.75" customHeight="1" x14ac:dyDescent="0.25">
      <c r="B5" s="101"/>
      <c r="C5" s="101"/>
      <c r="D5" s="101"/>
      <c r="E5" s="101"/>
      <c r="F5" s="101"/>
      <c r="G5" s="101"/>
      <c r="H5" s="101"/>
      <c r="I5" s="101"/>
      <c r="J5" s="101"/>
      <c r="K5" s="101"/>
    </row>
    <row r="6" spans="2:15" ht="15.75" customHeight="1" x14ac:dyDescent="0.25">
      <c r="B6" s="141" t="str">
        <f>'Прил.1 Сравнит табл'!B5:C5</f>
        <v xml:space="preserve">Наименование разрабатываемого показателя УНЦ — Постоянная часть ПС маслосборник ПС 110 кВ </v>
      </c>
      <c r="C6" s="141"/>
      <c r="D6" s="141"/>
      <c r="E6" s="141"/>
      <c r="F6" s="141"/>
      <c r="G6" s="141"/>
      <c r="H6" s="141"/>
      <c r="I6" s="141"/>
      <c r="J6" s="141"/>
      <c r="K6" s="141"/>
      <c r="L6" s="107"/>
    </row>
    <row r="7" spans="2:15" ht="15.75" customHeight="1" x14ac:dyDescent="0.25">
      <c r="B7" s="139" t="str">
        <f>'Прил.1 Сравнит табл'!B7:C7</f>
        <v>Единица измерения  — 1 ПС</v>
      </c>
      <c r="C7" s="139"/>
      <c r="D7" s="139"/>
      <c r="E7" s="139"/>
      <c r="F7" s="139"/>
      <c r="G7" s="141"/>
      <c r="H7" s="141"/>
      <c r="I7" s="141"/>
      <c r="J7" s="141"/>
      <c r="K7" s="141"/>
      <c r="L7" s="107"/>
    </row>
    <row r="8" spans="2:15" ht="18.75" customHeight="1" x14ac:dyDescent="0.25">
      <c r="B8" s="108"/>
      <c r="O8" s="109"/>
    </row>
    <row r="9" spans="2:15" s="5" customFormat="1" ht="15.75" customHeight="1" x14ac:dyDescent="0.25">
      <c r="B9" s="142" t="s">
        <v>2</v>
      </c>
      <c r="C9" s="142" t="s">
        <v>29</v>
      </c>
      <c r="D9" s="142" t="s">
        <v>305</v>
      </c>
      <c r="E9" s="142"/>
      <c r="F9" s="142"/>
      <c r="G9" s="142"/>
      <c r="H9" s="142"/>
      <c r="I9" s="142"/>
      <c r="J9" s="142"/>
    </row>
    <row r="10" spans="2:15" s="5" customFormat="1" ht="15.75" customHeight="1" x14ac:dyDescent="0.25">
      <c r="B10" s="142"/>
      <c r="C10" s="142"/>
      <c r="D10" s="142" t="s">
        <v>30</v>
      </c>
      <c r="E10" s="142" t="s">
        <v>31</v>
      </c>
      <c r="F10" s="142" t="s">
        <v>315</v>
      </c>
      <c r="G10" s="142"/>
      <c r="H10" s="142"/>
      <c r="I10" s="142"/>
      <c r="J10" s="142"/>
    </row>
    <row r="11" spans="2:15" s="5" customFormat="1" ht="31.7" customHeight="1" x14ac:dyDescent="0.25">
      <c r="B11" s="142"/>
      <c r="C11" s="142"/>
      <c r="D11" s="142"/>
      <c r="E11" s="142"/>
      <c r="F11" s="110" t="s">
        <v>32</v>
      </c>
      <c r="G11" s="110" t="s">
        <v>33</v>
      </c>
      <c r="H11" s="110" t="s">
        <v>34</v>
      </c>
      <c r="I11" s="110" t="s">
        <v>35</v>
      </c>
      <c r="J11" s="110" t="s">
        <v>36</v>
      </c>
    </row>
    <row r="12" spans="2:15" s="5" customFormat="1" ht="31.7" customHeight="1" x14ac:dyDescent="0.25">
      <c r="B12" s="110"/>
      <c r="C12" s="111" t="s">
        <v>317</v>
      </c>
      <c r="D12" s="112"/>
      <c r="E12" s="113"/>
      <c r="F12" s="171">
        <v>808.56365799999992</v>
      </c>
      <c r="G12" s="172"/>
      <c r="H12" s="114">
        <v>0</v>
      </c>
      <c r="I12" s="135"/>
      <c r="J12" s="136">
        <v>808.56365799999992</v>
      </c>
    </row>
    <row r="13" spans="2:15" s="5" customFormat="1" ht="15.75" customHeight="1" x14ac:dyDescent="0.25">
      <c r="B13" s="143" t="s">
        <v>37</v>
      </c>
      <c r="C13" s="143"/>
      <c r="D13" s="143"/>
      <c r="E13" s="143"/>
      <c r="F13" s="115"/>
      <c r="G13" s="115"/>
      <c r="H13" s="115"/>
      <c r="I13" s="115"/>
      <c r="J13" s="115"/>
    </row>
    <row r="14" spans="2:15" s="5" customFormat="1" ht="15.75" customHeight="1" x14ac:dyDescent="0.25">
      <c r="B14" s="143" t="s">
        <v>316</v>
      </c>
      <c r="C14" s="143"/>
      <c r="D14" s="143"/>
      <c r="E14" s="143"/>
      <c r="F14" s="173">
        <f>F12</f>
        <v>808.56365799999992</v>
      </c>
      <c r="G14" s="174"/>
      <c r="H14" s="116">
        <f>H12</f>
        <v>0</v>
      </c>
      <c r="I14" s="116"/>
      <c r="J14" s="116">
        <f>J12</f>
        <v>808.56365799999992</v>
      </c>
    </row>
    <row r="15" spans="2:15" s="5" customFormat="1" ht="15.75" customHeight="1" x14ac:dyDescent="0.25">
      <c r="B15" s="117"/>
    </row>
    <row r="16" spans="2:15" s="5" customFormat="1" ht="15.75" customHeight="1" x14ac:dyDescent="0.25">
      <c r="B16" s="117"/>
    </row>
    <row r="17" spans="2:10" s="5" customFormat="1" ht="15.75" customHeight="1" x14ac:dyDescent="0.25"/>
    <row r="18" spans="2:10" s="5" customFormat="1" ht="15.75" customHeight="1" x14ac:dyDescent="0.25">
      <c r="C18" s="5" t="s">
        <v>23</v>
      </c>
    </row>
    <row r="19" spans="2:10" s="5" customFormat="1" ht="15.75" customHeight="1" x14ac:dyDescent="0.25">
      <c r="C19" s="6" t="s">
        <v>24</v>
      </c>
    </row>
    <row r="20" spans="2:10" s="5" customFormat="1" ht="15.75" customHeight="1" x14ac:dyDescent="0.25"/>
    <row r="21" spans="2:10" ht="15.75" customHeight="1" x14ac:dyDescent="0.25">
      <c r="B21" s="5"/>
      <c r="C21" s="5" t="s">
        <v>25</v>
      </c>
      <c r="D21" s="5"/>
      <c r="E21" s="5"/>
      <c r="F21" s="5"/>
      <c r="G21" s="5"/>
      <c r="H21" s="5"/>
      <c r="I21" s="5"/>
      <c r="J21" s="5"/>
    </row>
    <row r="22" spans="2:10" ht="15.75" customHeight="1" x14ac:dyDescent="0.25">
      <c r="B22" s="5"/>
      <c r="C22" s="6" t="s">
        <v>26</v>
      </c>
      <c r="D22" s="5"/>
      <c r="E22" s="5"/>
      <c r="F22" s="5"/>
      <c r="G22" s="5"/>
      <c r="H22" s="5"/>
      <c r="I22" s="5"/>
      <c r="J22" s="5"/>
    </row>
    <row r="23" spans="2:10" ht="15.75" customHeight="1" x14ac:dyDescent="0.25">
      <c r="B23" s="5"/>
      <c r="C23" s="5"/>
      <c r="D23" s="5"/>
      <c r="E23" s="5"/>
      <c r="F23" s="5"/>
      <c r="G23" s="5"/>
      <c r="H23" s="5"/>
      <c r="I23" s="5"/>
      <c r="J23" s="5"/>
    </row>
  </sheetData>
  <mergeCells count="14">
    <mergeCell ref="F12:G12"/>
    <mergeCell ref="F14:G14"/>
    <mergeCell ref="B13:E13"/>
    <mergeCell ref="B14:E14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B3:J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88"/>
  <sheetViews>
    <sheetView topLeftCell="A61" workbookViewId="0">
      <selection activeCell="H48" sqref="H48"/>
    </sheetView>
  </sheetViews>
  <sheetFormatPr defaultColWidth="9.140625" defaultRowHeight="15" x14ac:dyDescent="0.25"/>
  <cols>
    <col min="1" max="1" width="9.140625" style="7"/>
    <col min="2" max="2" width="12.5703125" style="7" customWidth="1"/>
    <col min="3" max="3" width="17" style="7" customWidth="1"/>
    <col min="4" max="4" width="49.7109375" style="7" customWidth="1"/>
    <col min="5" max="5" width="16.28515625" style="7" customWidth="1"/>
    <col min="6" max="6" width="20.7109375" style="7" customWidth="1"/>
    <col min="7" max="7" width="16.140625" style="7" customWidth="1"/>
    <col min="8" max="8" width="16.7109375" style="7" customWidth="1"/>
    <col min="9" max="9" width="9.140625" style="7"/>
  </cols>
  <sheetData>
    <row r="2" spans="1:12" ht="15.75" customHeight="1" x14ac:dyDescent="0.25">
      <c r="A2" s="140" t="s">
        <v>38</v>
      </c>
      <c r="B2" s="140"/>
      <c r="C2" s="140"/>
      <c r="D2" s="140"/>
      <c r="E2" s="140"/>
      <c r="F2" s="140"/>
      <c r="G2" s="140"/>
      <c r="H2" s="140"/>
    </row>
    <row r="3" spans="1:12" ht="18.75" customHeight="1" x14ac:dyDescent="0.25">
      <c r="A3" s="149" t="s">
        <v>39</v>
      </c>
      <c r="B3" s="149"/>
      <c r="C3" s="149"/>
      <c r="D3" s="149"/>
      <c r="E3" s="149"/>
      <c r="F3" s="149"/>
      <c r="G3" s="149"/>
      <c r="H3" s="149"/>
    </row>
    <row r="4" spans="1:12" ht="18.75" customHeight="1" x14ac:dyDescent="0.25">
      <c r="A4" s="13"/>
      <c r="B4" s="13"/>
      <c r="C4" s="150" t="s">
        <v>40</v>
      </c>
      <c r="D4" s="150"/>
      <c r="E4" s="150"/>
      <c r="F4" s="150"/>
      <c r="G4" s="150"/>
      <c r="H4" s="150"/>
      <c r="I4" s="14"/>
      <c r="J4" s="14"/>
      <c r="K4" s="14"/>
      <c r="L4" s="14"/>
    </row>
    <row r="5" spans="1:12" ht="18.75" customHeight="1" x14ac:dyDescent="0.25">
      <c r="A5" s="9"/>
    </row>
    <row r="6" spans="1:12" ht="15.75" customHeight="1" x14ac:dyDescent="0.25">
      <c r="A6" s="139" t="s">
        <v>308</v>
      </c>
      <c r="B6" s="139"/>
      <c r="C6" s="139"/>
      <c r="D6" s="139"/>
      <c r="E6" s="139"/>
      <c r="F6" s="139"/>
      <c r="G6" s="139"/>
      <c r="H6" s="139"/>
    </row>
    <row r="7" spans="1:12" s="1" customFormat="1" ht="15.75" customHeight="1" x14ac:dyDescent="0.25">
      <c r="A7" s="18"/>
      <c r="B7" s="18"/>
      <c r="C7" s="18"/>
      <c r="D7" s="18"/>
      <c r="E7" s="18"/>
      <c r="F7" s="18"/>
      <c r="G7" s="18"/>
      <c r="H7" s="18"/>
    </row>
    <row r="8" spans="1:12" s="1" customFormat="1" ht="38.25" customHeight="1" x14ac:dyDescent="0.25">
      <c r="A8" s="142" t="s">
        <v>41</v>
      </c>
      <c r="B8" s="142" t="s">
        <v>42</v>
      </c>
      <c r="C8" s="142" t="s">
        <v>43</v>
      </c>
      <c r="D8" s="142" t="s">
        <v>44</v>
      </c>
      <c r="E8" s="142" t="s">
        <v>45</v>
      </c>
      <c r="F8" s="142" t="s">
        <v>46</v>
      </c>
      <c r="G8" s="142" t="s">
        <v>47</v>
      </c>
      <c r="H8" s="142"/>
    </row>
    <row r="9" spans="1:12" s="1" customFormat="1" ht="40.700000000000003" customHeight="1" x14ac:dyDescent="0.25">
      <c r="A9" s="142"/>
      <c r="B9" s="142"/>
      <c r="C9" s="142"/>
      <c r="D9" s="142"/>
      <c r="E9" s="142"/>
      <c r="F9" s="142"/>
      <c r="G9" s="10" t="s">
        <v>48</v>
      </c>
      <c r="H9" s="10" t="s">
        <v>49</v>
      </c>
    </row>
    <row r="10" spans="1:12" s="1" customFormat="1" ht="15.75" customHeight="1" x14ac:dyDescent="0.25">
      <c r="A10" s="10">
        <v>1</v>
      </c>
      <c r="B10" s="10"/>
      <c r="C10" s="10">
        <v>2</v>
      </c>
      <c r="D10" s="10" t="s">
        <v>50</v>
      </c>
      <c r="E10" s="10">
        <v>4</v>
      </c>
      <c r="F10" s="16">
        <v>5</v>
      </c>
      <c r="G10" s="17">
        <v>6</v>
      </c>
      <c r="H10" s="17">
        <v>7</v>
      </c>
    </row>
    <row r="11" spans="1:12" s="15" customFormat="1" ht="15.75" customHeight="1" x14ac:dyDescent="0.25">
      <c r="A11" s="146" t="s">
        <v>51</v>
      </c>
      <c r="B11" s="147"/>
      <c r="C11" s="148"/>
      <c r="D11" s="148"/>
      <c r="E11" s="147"/>
      <c r="F11" s="19">
        <v>262.43697900000001</v>
      </c>
      <c r="G11" s="20"/>
      <c r="H11" s="20">
        <f>SUM(H12:H21)</f>
        <v>2281.27</v>
      </c>
    </row>
    <row r="12" spans="1:12" s="1" customFormat="1" ht="15.75" customHeight="1" x14ac:dyDescent="0.25">
      <c r="A12" s="21">
        <v>1</v>
      </c>
      <c r="B12" s="21"/>
      <c r="C12" s="22" t="s">
        <v>52</v>
      </c>
      <c r="D12" s="22" t="s">
        <v>53</v>
      </c>
      <c r="E12" s="21" t="s">
        <v>54</v>
      </c>
      <c r="F12" s="23">
        <v>88.5</v>
      </c>
      <c r="G12" s="24">
        <v>9.18</v>
      </c>
      <c r="H12" s="24">
        <f t="shared" ref="H12:H21" si="0">ROUND(F12*G12,2)</f>
        <v>812.43</v>
      </c>
    </row>
    <row r="13" spans="1:12" s="1" customFormat="1" ht="15.75" customHeight="1" x14ac:dyDescent="0.25">
      <c r="A13" s="21">
        <v>2</v>
      </c>
      <c r="B13" s="21"/>
      <c r="C13" s="22" t="s">
        <v>55</v>
      </c>
      <c r="D13" s="22" t="s">
        <v>56</v>
      </c>
      <c r="E13" s="21" t="s">
        <v>54</v>
      </c>
      <c r="F13" s="23">
        <v>92.167828</v>
      </c>
      <c r="G13" s="24">
        <v>8.5299999999999994</v>
      </c>
      <c r="H13" s="24">
        <f t="shared" si="0"/>
        <v>786.19</v>
      </c>
    </row>
    <row r="14" spans="1:12" s="1" customFormat="1" ht="15.75" customHeight="1" x14ac:dyDescent="0.25">
      <c r="A14" s="21">
        <v>3</v>
      </c>
      <c r="B14" s="21"/>
      <c r="C14" s="22" t="s">
        <v>57</v>
      </c>
      <c r="D14" s="22" t="s">
        <v>58</v>
      </c>
      <c r="E14" s="21" t="s">
        <v>54</v>
      </c>
      <c r="F14" s="23">
        <v>56.531999999999996</v>
      </c>
      <c r="G14" s="24">
        <v>7.94</v>
      </c>
      <c r="H14" s="24">
        <f t="shared" si="0"/>
        <v>448.86</v>
      </c>
    </row>
    <row r="15" spans="1:12" s="1" customFormat="1" ht="15.75" customHeight="1" x14ac:dyDescent="0.25">
      <c r="A15" s="21">
        <v>4</v>
      </c>
      <c r="B15" s="21"/>
      <c r="C15" s="22" t="s">
        <v>59</v>
      </c>
      <c r="D15" s="22" t="s">
        <v>60</v>
      </c>
      <c r="E15" s="21" t="s">
        <v>54</v>
      </c>
      <c r="F15" s="23">
        <v>7.1277999999999997</v>
      </c>
      <c r="G15" s="24">
        <v>8.74</v>
      </c>
      <c r="H15" s="24">
        <f t="shared" si="0"/>
        <v>62.3</v>
      </c>
    </row>
    <row r="16" spans="1:12" s="1" customFormat="1" ht="15.75" customHeight="1" x14ac:dyDescent="0.25">
      <c r="A16" s="21">
        <v>5</v>
      </c>
      <c r="B16" s="21"/>
      <c r="C16" s="22" t="s">
        <v>61</v>
      </c>
      <c r="D16" s="22" t="s">
        <v>62</v>
      </c>
      <c r="E16" s="21" t="s">
        <v>54</v>
      </c>
      <c r="F16" s="23">
        <v>3.855591</v>
      </c>
      <c r="G16" s="24">
        <v>11.09</v>
      </c>
      <c r="H16" s="24">
        <f t="shared" si="0"/>
        <v>42.76</v>
      </c>
    </row>
    <row r="17" spans="1:8" s="1" customFormat="1" ht="15.75" customHeight="1" x14ac:dyDescent="0.25">
      <c r="A17" s="21">
        <v>6</v>
      </c>
      <c r="B17" s="21"/>
      <c r="C17" s="22" t="s">
        <v>63</v>
      </c>
      <c r="D17" s="22" t="s">
        <v>64</v>
      </c>
      <c r="E17" s="21" t="s">
        <v>54</v>
      </c>
      <c r="F17" s="23">
        <v>4.2389999999999999</v>
      </c>
      <c r="G17" s="24">
        <v>9.07</v>
      </c>
      <c r="H17" s="24">
        <f t="shared" si="0"/>
        <v>38.450000000000003</v>
      </c>
    </row>
    <row r="18" spans="1:8" s="1" customFormat="1" ht="15.75" customHeight="1" x14ac:dyDescent="0.25">
      <c r="A18" s="21">
        <v>7</v>
      </c>
      <c r="B18" s="21"/>
      <c r="C18" s="22" t="s">
        <v>65</v>
      </c>
      <c r="D18" s="22" t="s">
        <v>66</v>
      </c>
      <c r="E18" s="21" t="s">
        <v>54</v>
      </c>
      <c r="F18" s="23">
        <v>4.8225600000000002</v>
      </c>
      <c r="G18" s="24">
        <v>7.8</v>
      </c>
      <c r="H18" s="24">
        <f t="shared" si="0"/>
        <v>37.619999999999997</v>
      </c>
    </row>
    <row r="19" spans="1:8" s="1" customFormat="1" ht="15.75" customHeight="1" x14ac:dyDescent="0.25">
      <c r="A19" s="21">
        <v>8</v>
      </c>
      <c r="B19" s="21"/>
      <c r="C19" s="22" t="s">
        <v>67</v>
      </c>
      <c r="D19" s="22" t="s">
        <v>68</v>
      </c>
      <c r="E19" s="21" t="s">
        <v>54</v>
      </c>
      <c r="F19" s="23">
        <v>3.0771999999999999</v>
      </c>
      <c r="G19" s="24">
        <v>10.94</v>
      </c>
      <c r="H19" s="24">
        <f t="shared" si="0"/>
        <v>33.659999999999997</v>
      </c>
    </row>
    <row r="20" spans="1:8" s="1" customFormat="1" ht="15.75" customHeight="1" x14ac:dyDescent="0.25">
      <c r="A20" s="21">
        <v>9</v>
      </c>
      <c r="B20" s="21"/>
      <c r="C20" s="22" t="s">
        <v>69</v>
      </c>
      <c r="D20" s="22" t="s">
        <v>70</v>
      </c>
      <c r="E20" s="21" t="s">
        <v>54</v>
      </c>
      <c r="F20" s="23">
        <v>1.62</v>
      </c>
      <c r="G20" s="24">
        <v>8.86</v>
      </c>
      <c r="H20" s="24">
        <f t="shared" si="0"/>
        <v>14.35</v>
      </c>
    </row>
    <row r="21" spans="1:8" s="1" customFormat="1" ht="15.75" customHeight="1" x14ac:dyDescent="0.25">
      <c r="A21" s="21">
        <v>10</v>
      </c>
      <c r="B21" s="21"/>
      <c r="C21" s="22" t="s">
        <v>71</v>
      </c>
      <c r="D21" s="22" t="s">
        <v>72</v>
      </c>
      <c r="E21" s="21" t="s">
        <v>54</v>
      </c>
      <c r="F21" s="23">
        <v>0.495</v>
      </c>
      <c r="G21" s="24">
        <v>9.4</v>
      </c>
      <c r="H21" s="24">
        <f t="shared" si="0"/>
        <v>4.6500000000000004</v>
      </c>
    </row>
    <row r="22" spans="1:8" s="15" customFormat="1" ht="15.75" customHeight="1" x14ac:dyDescent="0.25">
      <c r="A22" s="146" t="s">
        <v>73</v>
      </c>
      <c r="B22" s="147"/>
      <c r="C22" s="148"/>
      <c r="D22" s="148"/>
      <c r="E22" s="147"/>
      <c r="F22" s="19">
        <v>62.935022600000003</v>
      </c>
      <c r="G22" s="20"/>
      <c r="H22" s="20">
        <f>SUM(H23:H23)</f>
        <v>830.11</v>
      </c>
    </row>
    <row r="23" spans="1:8" s="1" customFormat="1" ht="15.75" customHeight="1" x14ac:dyDescent="0.25">
      <c r="A23" s="21">
        <v>11</v>
      </c>
      <c r="B23" s="21"/>
      <c r="C23" s="22">
        <v>2</v>
      </c>
      <c r="D23" s="22" t="s">
        <v>73</v>
      </c>
      <c r="E23" s="21" t="s">
        <v>54</v>
      </c>
      <c r="F23" s="23">
        <v>62.935022600000003</v>
      </c>
      <c r="G23" s="24">
        <v>13.19</v>
      </c>
      <c r="H23" s="24">
        <f>ROUND(F23*G23,2)</f>
        <v>830.11</v>
      </c>
    </row>
    <row r="24" spans="1:8" s="15" customFormat="1" ht="15.75" customHeight="1" x14ac:dyDescent="0.25">
      <c r="A24" s="146" t="s">
        <v>74</v>
      </c>
      <c r="B24" s="147"/>
      <c r="C24" s="148"/>
      <c r="D24" s="148"/>
      <c r="E24" s="147"/>
      <c r="F24" s="19"/>
      <c r="G24" s="20"/>
      <c r="H24" s="20">
        <f>SUM(H25:H46)</f>
        <v>6668.66</v>
      </c>
    </row>
    <row r="25" spans="1:8" s="1" customFormat="1" ht="47.25" customHeight="1" x14ac:dyDescent="0.25">
      <c r="A25" s="21">
        <v>12</v>
      </c>
      <c r="B25" s="21"/>
      <c r="C25" s="25" t="s">
        <v>75</v>
      </c>
      <c r="D25" s="22" t="s">
        <v>76</v>
      </c>
      <c r="E25" s="21" t="s">
        <v>77</v>
      </c>
      <c r="F25" s="23">
        <v>27.704999999999998</v>
      </c>
      <c r="G25" s="24">
        <v>90</v>
      </c>
      <c r="H25" s="24">
        <f t="shared" ref="H25:H46" si="1">ROUND(F25*G25,2)</f>
        <v>2493.4499999999998</v>
      </c>
    </row>
    <row r="26" spans="1:8" s="1" customFormat="1" ht="31.7" customHeight="1" x14ac:dyDescent="0.25">
      <c r="A26" s="21">
        <v>13</v>
      </c>
      <c r="B26" s="21"/>
      <c r="C26" s="25" t="s">
        <v>78</v>
      </c>
      <c r="D26" s="22" t="s">
        <v>79</v>
      </c>
      <c r="E26" s="21" t="s">
        <v>77</v>
      </c>
      <c r="F26" s="23">
        <v>8.3331</v>
      </c>
      <c r="G26" s="24">
        <v>100</v>
      </c>
      <c r="H26" s="24">
        <f t="shared" si="1"/>
        <v>833.31</v>
      </c>
    </row>
    <row r="27" spans="1:8" s="1" customFormat="1" ht="15.75" customHeight="1" x14ac:dyDescent="0.25">
      <c r="A27" s="21">
        <v>14</v>
      </c>
      <c r="B27" s="21"/>
      <c r="C27" s="25" t="s">
        <v>80</v>
      </c>
      <c r="D27" s="22" t="s">
        <v>81</v>
      </c>
      <c r="E27" s="21" t="s">
        <v>77</v>
      </c>
      <c r="F27" s="23">
        <v>22.765000000000001</v>
      </c>
      <c r="G27" s="24">
        <v>28.73</v>
      </c>
      <c r="H27" s="24">
        <f t="shared" si="1"/>
        <v>654.04</v>
      </c>
    </row>
    <row r="28" spans="1:8" s="1" customFormat="1" ht="31.7" customHeight="1" x14ac:dyDescent="0.25">
      <c r="A28" s="21">
        <v>15</v>
      </c>
      <c r="B28" s="21"/>
      <c r="C28" s="25" t="s">
        <v>82</v>
      </c>
      <c r="D28" s="22" t="s">
        <v>83</v>
      </c>
      <c r="E28" s="21" t="s">
        <v>77</v>
      </c>
      <c r="F28" s="23">
        <v>4.8</v>
      </c>
      <c r="G28" s="24">
        <v>131.16</v>
      </c>
      <c r="H28" s="24">
        <f t="shared" si="1"/>
        <v>629.57000000000005</v>
      </c>
    </row>
    <row r="29" spans="1:8" s="1" customFormat="1" ht="15.75" customHeight="1" x14ac:dyDescent="0.25">
      <c r="A29" s="21">
        <v>16</v>
      </c>
      <c r="B29" s="21"/>
      <c r="C29" s="25" t="s">
        <v>84</v>
      </c>
      <c r="D29" s="22" t="s">
        <v>85</v>
      </c>
      <c r="E29" s="21" t="s">
        <v>77</v>
      </c>
      <c r="F29" s="23">
        <v>7.2253233000000003</v>
      </c>
      <c r="G29" s="24">
        <v>65.709999999999994</v>
      </c>
      <c r="H29" s="24">
        <f t="shared" si="1"/>
        <v>474.78</v>
      </c>
    </row>
    <row r="30" spans="1:8" s="1" customFormat="1" ht="47.25" customHeight="1" x14ac:dyDescent="0.25">
      <c r="A30" s="21">
        <v>17</v>
      </c>
      <c r="B30" s="21"/>
      <c r="C30" s="25" t="s">
        <v>86</v>
      </c>
      <c r="D30" s="22" t="s">
        <v>87</v>
      </c>
      <c r="E30" s="21" t="s">
        <v>77</v>
      </c>
      <c r="F30" s="23">
        <v>4.8929999999999998</v>
      </c>
      <c r="G30" s="24">
        <v>90.4</v>
      </c>
      <c r="H30" s="24">
        <f t="shared" si="1"/>
        <v>442.33</v>
      </c>
    </row>
    <row r="31" spans="1:8" s="1" customFormat="1" ht="15.75" customHeight="1" x14ac:dyDescent="0.25">
      <c r="A31" s="21">
        <v>18</v>
      </c>
      <c r="B31" s="21"/>
      <c r="C31" s="25" t="s">
        <v>88</v>
      </c>
      <c r="D31" s="22" t="s">
        <v>89</v>
      </c>
      <c r="E31" s="21" t="s">
        <v>77</v>
      </c>
      <c r="F31" s="23">
        <v>3.844455</v>
      </c>
      <c r="G31" s="24">
        <v>79.069999999999993</v>
      </c>
      <c r="H31" s="24">
        <f t="shared" si="1"/>
        <v>303.98</v>
      </c>
    </row>
    <row r="32" spans="1:8" s="1" customFormat="1" ht="31.7" customHeight="1" x14ac:dyDescent="0.25">
      <c r="A32" s="21">
        <v>19</v>
      </c>
      <c r="B32" s="21"/>
      <c r="C32" s="25" t="s">
        <v>90</v>
      </c>
      <c r="D32" s="22" t="s">
        <v>91</v>
      </c>
      <c r="E32" s="21" t="s">
        <v>77</v>
      </c>
      <c r="F32" s="23">
        <v>1.8</v>
      </c>
      <c r="G32" s="24">
        <v>96.89</v>
      </c>
      <c r="H32" s="24">
        <f t="shared" si="1"/>
        <v>174.4</v>
      </c>
    </row>
    <row r="33" spans="1:8" s="1" customFormat="1" ht="31.7" customHeight="1" x14ac:dyDescent="0.25">
      <c r="A33" s="21">
        <v>20</v>
      </c>
      <c r="B33" s="21"/>
      <c r="C33" s="25" t="s">
        <v>92</v>
      </c>
      <c r="D33" s="22" t="s">
        <v>93</v>
      </c>
      <c r="E33" s="21" t="s">
        <v>77</v>
      </c>
      <c r="F33" s="23">
        <v>1.1357162999999999</v>
      </c>
      <c r="G33" s="24">
        <v>133.97</v>
      </c>
      <c r="H33" s="24">
        <f t="shared" si="1"/>
        <v>152.15</v>
      </c>
    </row>
    <row r="34" spans="1:8" s="1" customFormat="1" ht="15.75" customHeight="1" x14ac:dyDescent="0.25">
      <c r="A34" s="21">
        <v>21</v>
      </c>
      <c r="B34" s="21"/>
      <c r="C34" s="25" t="s">
        <v>94</v>
      </c>
      <c r="D34" s="22" t="s">
        <v>95</v>
      </c>
      <c r="E34" s="21" t="s">
        <v>77</v>
      </c>
      <c r="F34" s="23">
        <v>1.68666</v>
      </c>
      <c r="G34" s="24">
        <v>89.99</v>
      </c>
      <c r="H34" s="24">
        <f t="shared" si="1"/>
        <v>151.78</v>
      </c>
    </row>
    <row r="35" spans="1:8" s="1" customFormat="1" ht="31.7" customHeight="1" x14ac:dyDescent="0.25">
      <c r="A35" s="21">
        <v>22</v>
      </c>
      <c r="B35" s="21"/>
      <c r="C35" s="25" t="s">
        <v>96</v>
      </c>
      <c r="D35" s="22" t="s">
        <v>97</v>
      </c>
      <c r="E35" s="21" t="s">
        <v>77</v>
      </c>
      <c r="F35" s="23">
        <v>25.475999999999999</v>
      </c>
      <c r="G35" s="24">
        <v>4.91</v>
      </c>
      <c r="H35" s="24">
        <f t="shared" si="1"/>
        <v>125.09</v>
      </c>
    </row>
    <row r="36" spans="1:8" s="1" customFormat="1" ht="15.75" customHeight="1" x14ac:dyDescent="0.25">
      <c r="A36" s="21">
        <v>23</v>
      </c>
      <c r="B36" s="21"/>
      <c r="C36" s="25" t="s">
        <v>98</v>
      </c>
      <c r="D36" s="22" t="s">
        <v>99</v>
      </c>
      <c r="E36" s="21" t="s">
        <v>77</v>
      </c>
      <c r="F36" s="23">
        <v>1.0327299999999999</v>
      </c>
      <c r="G36" s="24">
        <v>94.05</v>
      </c>
      <c r="H36" s="24">
        <f t="shared" si="1"/>
        <v>97.13</v>
      </c>
    </row>
    <row r="37" spans="1:8" s="1" customFormat="1" ht="31.7" customHeight="1" x14ac:dyDescent="0.25">
      <c r="A37" s="21">
        <v>24</v>
      </c>
      <c r="B37" s="21"/>
      <c r="C37" s="25" t="s">
        <v>100</v>
      </c>
      <c r="D37" s="22" t="s">
        <v>101</v>
      </c>
      <c r="E37" s="21" t="s">
        <v>77</v>
      </c>
      <c r="F37" s="23">
        <v>0.42502000000000001</v>
      </c>
      <c r="G37" s="24">
        <v>115.4</v>
      </c>
      <c r="H37" s="24">
        <f t="shared" si="1"/>
        <v>49.05</v>
      </c>
    </row>
    <row r="38" spans="1:8" s="1" customFormat="1" ht="31.7" customHeight="1" x14ac:dyDescent="0.25">
      <c r="A38" s="21">
        <v>25</v>
      </c>
      <c r="B38" s="21"/>
      <c r="C38" s="25" t="s">
        <v>102</v>
      </c>
      <c r="D38" s="22" t="s">
        <v>103</v>
      </c>
      <c r="E38" s="21" t="s">
        <v>77</v>
      </c>
      <c r="F38" s="23">
        <v>4.8869999999999996</v>
      </c>
      <c r="G38" s="24">
        <v>8.1</v>
      </c>
      <c r="H38" s="24">
        <f t="shared" si="1"/>
        <v>39.58</v>
      </c>
    </row>
    <row r="39" spans="1:8" s="1" customFormat="1" ht="31.7" customHeight="1" x14ac:dyDescent="0.25">
      <c r="A39" s="21">
        <v>26</v>
      </c>
      <c r="B39" s="21"/>
      <c r="C39" s="25" t="s">
        <v>104</v>
      </c>
      <c r="D39" s="22" t="s">
        <v>105</v>
      </c>
      <c r="E39" s="21" t="s">
        <v>77</v>
      </c>
      <c r="F39" s="23">
        <v>7.8756199999999996</v>
      </c>
      <c r="G39" s="24">
        <v>3.29</v>
      </c>
      <c r="H39" s="24">
        <f t="shared" si="1"/>
        <v>25.91</v>
      </c>
    </row>
    <row r="40" spans="1:8" s="1" customFormat="1" ht="47.25" customHeight="1" x14ac:dyDescent="0.25">
      <c r="A40" s="21">
        <v>27</v>
      </c>
      <c r="B40" s="21"/>
      <c r="C40" s="25" t="s">
        <v>106</v>
      </c>
      <c r="D40" s="22" t="s">
        <v>107</v>
      </c>
      <c r="E40" s="21" t="s">
        <v>77</v>
      </c>
      <c r="F40" s="23">
        <v>2.4884499999999998</v>
      </c>
      <c r="G40" s="24">
        <v>6.82</v>
      </c>
      <c r="H40" s="24">
        <f t="shared" si="1"/>
        <v>16.97</v>
      </c>
    </row>
    <row r="41" spans="1:8" s="1" customFormat="1" ht="31.7" customHeight="1" x14ac:dyDescent="0.25">
      <c r="A41" s="21">
        <v>28</v>
      </c>
      <c r="B41" s="21"/>
      <c r="C41" s="25" t="s">
        <v>108</v>
      </c>
      <c r="D41" s="22" t="s">
        <v>109</v>
      </c>
      <c r="E41" s="21" t="s">
        <v>77</v>
      </c>
      <c r="F41" s="23">
        <v>2.3640000000000001E-2</v>
      </c>
      <c r="G41" s="24">
        <v>89.54</v>
      </c>
      <c r="H41" s="24">
        <f t="shared" si="1"/>
        <v>2.12</v>
      </c>
    </row>
    <row r="42" spans="1:8" s="1" customFormat="1" ht="31.7" customHeight="1" x14ac:dyDescent="0.25">
      <c r="A42" s="21">
        <v>29</v>
      </c>
      <c r="B42" s="21"/>
      <c r="C42" s="25" t="s">
        <v>110</v>
      </c>
      <c r="D42" s="22" t="s">
        <v>111</v>
      </c>
      <c r="E42" s="21" t="s">
        <v>77</v>
      </c>
      <c r="F42" s="23">
        <v>0.81640000000000001</v>
      </c>
      <c r="G42" s="24">
        <v>1.7</v>
      </c>
      <c r="H42" s="24">
        <f t="shared" si="1"/>
        <v>1.39</v>
      </c>
    </row>
    <row r="43" spans="1:8" s="1" customFormat="1" ht="31.7" customHeight="1" x14ac:dyDescent="0.25">
      <c r="A43" s="21">
        <v>30</v>
      </c>
      <c r="B43" s="21"/>
      <c r="C43" s="25" t="s">
        <v>112</v>
      </c>
      <c r="D43" s="22" t="s">
        <v>113</v>
      </c>
      <c r="E43" s="21" t="s">
        <v>77</v>
      </c>
      <c r="F43" s="23">
        <v>3.0377999999999999E-2</v>
      </c>
      <c r="G43" s="24">
        <v>31.26</v>
      </c>
      <c r="H43" s="24">
        <f t="shared" si="1"/>
        <v>0.95</v>
      </c>
    </row>
    <row r="44" spans="1:8" s="1" customFormat="1" ht="15.75" customHeight="1" x14ac:dyDescent="0.25">
      <c r="A44" s="21">
        <v>31</v>
      </c>
      <c r="B44" s="21"/>
      <c r="C44" s="25" t="s">
        <v>114</v>
      </c>
      <c r="D44" s="22" t="s">
        <v>115</v>
      </c>
      <c r="E44" s="21" t="s">
        <v>77</v>
      </c>
      <c r="F44" s="23">
        <v>0.3</v>
      </c>
      <c r="G44" s="24">
        <v>1.2</v>
      </c>
      <c r="H44" s="24">
        <f t="shared" si="1"/>
        <v>0.36</v>
      </c>
    </row>
    <row r="45" spans="1:8" s="1" customFormat="1" ht="31.7" customHeight="1" x14ac:dyDescent="0.25">
      <c r="A45" s="21">
        <v>32</v>
      </c>
      <c r="B45" s="21"/>
      <c r="C45" s="25" t="s">
        <v>116</v>
      </c>
      <c r="D45" s="22" t="s">
        <v>117</v>
      </c>
      <c r="E45" s="21" t="s">
        <v>77</v>
      </c>
      <c r="F45" s="23">
        <v>0.46500000000000002</v>
      </c>
      <c r="G45" s="24">
        <v>0.55000000000000004</v>
      </c>
      <c r="H45" s="24">
        <f t="shared" si="1"/>
        <v>0.26</v>
      </c>
    </row>
    <row r="46" spans="1:8" s="1" customFormat="1" ht="15.75" customHeight="1" x14ac:dyDescent="0.25">
      <c r="A46" s="21">
        <v>33</v>
      </c>
      <c r="B46" s="21"/>
      <c r="C46" s="25" t="s">
        <v>118</v>
      </c>
      <c r="D46" s="22" t="s">
        <v>119</v>
      </c>
      <c r="E46" s="21" t="s">
        <v>77</v>
      </c>
      <c r="F46" s="23">
        <v>0.124806</v>
      </c>
      <c r="G46" s="24">
        <v>0.5</v>
      </c>
      <c r="H46" s="24">
        <f t="shared" si="1"/>
        <v>0.06</v>
      </c>
    </row>
    <row r="47" spans="1:8" s="15" customFormat="1" ht="15.75" customHeight="1" x14ac:dyDescent="0.25">
      <c r="A47" s="146" t="s">
        <v>120</v>
      </c>
      <c r="B47" s="147"/>
      <c r="C47" s="148"/>
      <c r="D47" s="148"/>
      <c r="E47" s="147"/>
      <c r="F47" s="19"/>
      <c r="G47" s="20"/>
      <c r="H47" s="20">
        <f>SUM(H48:H78)</f>
        <v>89187.36</v>
      </c>
    </row>
    <row r="48" spans="1:8" s="1" customFormat="1" ht="31.7" customHeight="1" x14ac:dyDescent="0.25">
      <c r="A48" s="21">
        <v>34</v>
      </c>
      <c r="B48" s="21"/>
      <c r="C48" s="25" t="s">
        <v>121</v>
      </c>
      <c r="D48" s="22" t="s">
        <v>122</v>
      </c>
      <c r="E48" s="21" t="s">
        <v>123</v>
      </c>
      <c r="F48" s="23">
        <v>178.09</v>
      </c>
      <c r="G48" s="24">
        <v>265.72000000000003</v>
      </c>
      <c r="H48" s="24">
        <f t="shared" ref="H48:H78" si="2">ROUND(F48*G48,2)</f>
        <v>47322.07</v>
      </c>
    </row>
    <row r="49" spans="1:8" s="1" customFormat="1" ht="31.7" customHeight="1" x14ac:dyDescent="0.25">
      <c r="A49" s="21">
        <v>35</v>
      </c>
      <c r="B49" s="21"/>
      <c r="C49" s="25" t="s">
        <v>124</v>
      </c>
      <c r="D49" s="22" t="s">
        <v>125</v>
      </c>
      <c r="E49" s="21" t="s">
        <v>126</v>
      </c>
      <c r="F49" s="23">
        <v>1.57</v>
      </c>
      <c r="G49" s="24">
        <v>16884.59</v>
      </c>
      <c r="H49" s="24">
        <f t="shared" si="2"/>
        <v>26508.81</v>
      </c>
    </row>
    <row r="50" spans="1:8" s="1" customFormat="1" ht="31.7" customHeight="1" x14ac:dyDescent="0.25">
      <c r="A50" s="21">
        <v>36</v>
      </c>
      <c r="B50" s="21"/>
      <c r="C50" s="25" t="s">
        <v>127</v>
      </c>
      <c r="D50" s="22" t="s">
        <v>128</v>
      </c>
      <c r="E50" s="21" t="s">
        <v>123</v>
      </c>
      <c r="F50" s="23">
        <v>68.31</v>
      </c>
      <c r="G50" s="24">
        <v>70.599999999999994</v>
      </c>
      <c r="H50" s="24">
        <f t="shared" si="2"/>
        <v>4822.6899999999996</v>
      </c>
    </row>
    <row r="51" spans="1:8" s="1" customFormat="1" ht="141.75" customHeight="1" x14ac:dyDescent="0.25">
      <c r="A51" s="21">
        <v>37</v>
      </c>
      <c r="B51" s="21"/>
      <c r="C51" s="25" t="s">
        <v>129</v>
      </c>
      <c r="D51" s="22" t="s">
        <v>130</v>
      </c>
      <c r="E51" s="21" t="s">
        <v>131</v>
      </c>
      <c r="F51" s="23">
        <v>67.117500000000007</v>
      </c>
      <c r="G51" s="24">
        <v>48.65</v>
      </c>
      <c r="H51" s="24">
        <f t="shared" si="2"/>
        <v>3265.27</v>
      </c>
    </row>
    <row r="52" spans="1:8" s="1" customFormat="1" ht="47.25" customHeight="1" x14ac:dyDescent="0.25">
      <c r="A52" s="21">
        <v>38</v>
      </c>
      <c r="B52" s="21"/>
      <c r="C52" s="25" t="s">
        <v>132</v>
      </c>
      <c r="D52" s="22" t="s">
        <v>133</v>
      </c>
      <c r="E52" s="21" t="s">
        <v>134</v>
      </c>
      <c r="F52" s="23">
        <v>31.856000000000002</v>
      </c>
      <c r="G52" s="24">
        <v>90.15</v>
      </c>
      <c r="H52" s="24">
        <f t="shared" si="2"/>
        <v>2871.82</v>
      </c>
    </row>
    <row r="53" spans="1:8" s="1" customFormat="1" ht="15.75" customHeight="1" x14ac:dyDescent="0.25">
      <c r="A53" s="21">
        <v>39</v>
      </c>
      <c r="B53" s="21"/>
      <c r="C53" s="25" t="s">
        <v>135</v>
      </c>
      <c r="D53" s="22" t="s">
        <v>136</v>
      </c>
      <c r="E53" s="21" t="s">
        <v>126</v>
      </c>
      <c r="F53" s="23">
        <v>0.38072499999999998</v>
      </c>
      <c r="G53" s="24">
        <v>6617</v>
      </c>
      <c r="H53" s="24">
        <f t="shared" si="2"/>
        <v>2519.2600000000002</v>
      </c>
    </row>
    <row r="54" spans="1:8" s="1" customFormat="1" ht="31.7" customHeight="1" x14ac:dyDescent="0.25">
      <c r="A54" s="21">
        <v>40</v>
      </c>
      <c r="B54" s="21"/>
      <c r="C54" s="25" t="s">
        <v>137</v>
      </c>
      <c r="D54" s="22" t="s">
        <v>138</v>
      </c>
      <c r="E54" s="21" t="s">
        <v>139</v>
      </c>
      <c r="F54" s="23">
        <v>2.8</v>
      </c>
      <c r="G54" s="24">
        <v>266.67</v>
      </c>
      <c r="H54" s="24">
        <f t="shared" si="2"/>
        <v>746.68</v>
      </c>
    </row>
    <row r="55" spans="1:8" s="1" customFormat="1" ht="15.75" customHeight="1" x14ac:dyDescent="0.25">
      <c r="A55" s="21">
        <v>41</v>
      </c>
      <c r="B55" s="21"/>
      <c r="C55" s="25" t="s">
        <v>140</v>
      </c>
      <c r="D55" s="22" t="s">
        <v>141</v>
      </c>
      <c r="E55" s="21" t="s">
        <v>131</v>
      </c>
      <c r="F55" s="23">
        <v>30.5</v>
      </c>
      <c r="G55" s="24">
        <v>12.6</v>
      </c>
      <c r="H55" s="24">
        <f t="shared" si="2"/>
        <v>384.3</v>
      </c>
    </row>
    <row r="56" spans="1:8" s="1" customFormat="1" ht="15.75" customHeight="1" x14ac:dyDescent="0.25">
      <c r="A56" s="21">
        <v>42</v>
      </c>
      <c r="B56" s="21"/>
      <c r="C56" s="25" t="s">
        <v>142</v>
      </c>
      <c r="D56" s="22" t="s">
        <v>143</v>
      </c>
      <c r="E56" s="21" t="s">
        <v>126</v>
      </c>
      <c r="F56" s="23">
        <v>2.512E-2</v>
      </c>
      <c r="G56" s="24">
        <v>4488.3999999999996</v>
      </c>
      <c r="H56" s="24">
        <f t="shared" si="2"/>
        <v>112.75</v>
      </c>
    </row>
    <row r="57" spans="1:8" s="1" customFormat="1" ht="63" customHeight="1" x14ac:dyDescent="0.25">
      <c r="A57" s="21">
        <v>43</v>
      </c>
      <c r="B57" s="21"/>
      <c r="C57" s="25" t="s">
        <v>144</v>
      </c>
      <c r="D57" s="22" t="s">
        <v>145</v>
      </c>
      <c r="E57" s="21" t="s">
        <v>126</v>
      </c>
      <c r="F57" s="23">
        <v>1.5928000000000001E-2</v>
      </c>
      <c r="G57" s="24">
        <v>7008.5</v>
      </c>
      <c r="H57" s="24">
        <f t="shared" si="2"/>
        <v>111.63</v>
      </c>
    </row>
    <row r="58" spans="1:8" s="1" customFormat="1" ht="15.75" customHeight="1" x14ac:dyDescent="0.25">
      <c r="A58" s="21">
        <v>44</v>
      </c>
      <c r="B58" s="21"/>
      <c r="C58" s="25" t="s">
        <v>146</v>
      </c>
      <c r="D58" s="22" t="s">
        <v>147</v>
      </c>
      <c r="E58" s="21" t="s">
        <v>131</v>
      </c>
      <c r="F58" s="23">
        <v>9.42</v>
      </c>
      <c r="G58" s="24">
        <v>9.42</v>
      </c>
      <c r="H58" s="24">
        <f t="shared" si="2"/>
        <v>88.74</v>
      </c>
    </row>
    <row r="59" spans="1:8" s="1" customFormat="1" ht="15.75" customHeight="1" x14ac:dyDescent="0.25">
      <c r="A59" s="21">
        <v>45</v>
      </c>
      <c r="B59" s="21"/>
      <c r="C59" s="25" t="s">
        <v>148</v>
      </c>
      <c r="D59" s="22" t="s">
        <v>149</v>
      </c>
      <c r="E59" s="21" t="s">
        <v>126</v>
      </c>
      <c r="F59" s="23">
        <v>6.7999999999999996E-3</v>
      </c>
      <c r="G59" s="24">
        <v>11524</v>
      </c>
      <c r="H59" s="24">
        <f t="shared" si="2"/>
        <v>78.36</v>
      </c>
    </row>
    <row r="60" spans="1:8" s="1" customFormat="1" ht="31.7" customHeight="1" x14ac:dyDescent="0.25">
      <c r="A60" s="21">
        <v>46</v>
      </c>
      <c r="B60" s="21"/>
      <c r="C60" s="25" t="s">
        <v>150</v>
      </c>
      <c r="D60" s="22" t="s">
        <v>151</v>
      </c>
      <c r="E60" s="21" t="s">
        <v>126</v>
      </c>
      <c r="F60" s="23">
        <v>1.2330000000000001E-2</v>
      </c>
      <c r="G60" s="24">
        <v>5500</v>
      </c>
      <c r="H60" s="24">
        <f t="shared" si="2"/>
        <v>67.819999999999993</v>
      </c>
    </row>
    <row r="61" spans="1:8" s="1" customFormat="1" ht="31.7" customHeight="1" x14ac:dyDescent="0.25">
      <c r="A61" s="21">
        <v>47</v>
      </c>
      <c r="B61" s="21"/>
      <c r="C61" s="25" t="s">
        <v>152</v>
      </c>
      <c r="D61" s="22" t="s">
        <v>153</v>
      </c>
      <c r="E61" s="21" t="s">
        <v>123</v>
      </c>
      <c r="F61" s="23">
        <v>0.112</v>
      </c>
      <c r="G61" s="24">
        <v>560</v>
      </c>
      <c r="H61" s="24">
        <f t="shared" si="2"/>
        <v>62.72</v>
      </c>
    </row>
    <row r="62" spans="1:8" s="1" customFormat="1" ht="15.75" customHeight="1" x14ac:dyDescent="0.25">
      <c r="A62" s="21">
        <v>48</v>
      </c>
      <c r="B62" s="21"/>
      <c r="C62" s="25" t="s">
        <v>154</v>
      </c>
      <c r="D62" s="22" t="s">
        <v>155</v>
      </c>
      <c r="E62" s="21" t="s">
        <v>123</v>
      </c>
      <c r="F62" s="23">
        <v>0.5</v>
      </c>
      <c r="G62" s="24">
        <v>98.6</v>
      </c>
      <c r="H62" s="24">
        <f t="shared" si="2"/>
        <v>49.3</v>
      </c>
    </row>
    <row r="63" spans="1:8" s="1" customFormat="1" ht="31.7" customHeight="1" x14ac:dyDescent="0.25">
      <c r="A63" s="21">
        <v>49</v>
      </c>
      <c r="B63" s="21"/>
      <c r="C63" s="25" t="s">
        <v>156</v>
      </c>
      <c r="D63" s="22" t="s">
        <v>157</v>
      </c>
      <c r="E63" s="21" t="s">
        <v>131</v>
      </c>
      <c r="F63" s="23">
        <v>2.8</v>
      </c>
      <c r="G63" s="24">
        <v>15.14</v>
      </c>
      <c r="H63" s="24">
        <f t="shared" si="2"/>
        <v>42.39</v>
      </c>
    </row>
    <row r="64" spans="1:8" s="1" customFormat="1" ht="15.75" customHeight="1" x14ac:dyDescent="0.25">
      <c r="A64" s="21">
        <v>50</v>
      </c>
      <c r="B64" s="21"/>
      <c r="C64" s="25" t="s">
        <v>158</v>
      </c>
      <c r="D64" s="22" t="s">
        <v>159</v>
      </c>
      <c r="E64" s="21" t="s">
        <v>123</v>
      </c>
      <c r="F64" s="23">
        <v>10.6881</v>
      </c>
      <c r="G64" s="24">
        <v>2.44</v>
      </c>
      <c r="H64" s="24">
        <f t="shared" si="2"/>
        <v>26.08</v>
      </c>
    </row>
    <row r="65" spans="1:8" s="1" customFormat="1" ht="15.75" customHeight="1" x14ac:dyDescent="0.25">
      <c r="A65" s="21">
        <v>51</v>
      </c>
      <c r="B65" s="21"/>
      <c r="C65" s="25" t="s">
        <v>160</v>
      </c>
      <c r="D65" s="22" t="s">
        <v>161</v>
      </c>
      <c r="E65" s="21" t="s">
        <v>123</v>
      </c>
      <c r="F65" s="23">
        <v>3.6</v>
      </c>
      <c r="G65" s="24">
        <v>6.22</v>
      </c>
      <c r="H65" s="24">
        <f t="shared" si="2"/>
        <v>22.39</v>
      </c>
    </row>
    <row r="66" spans="1:8" s="1" customFormat="1" ht="31.7" customHeight="1" x14ac:dyDescent="0.25">
      <c r="A66" s="21">
        <v>52</v>
      </c>
      <c r="B66" s="21"/>
      <c r="C66" s="25" t="s">
        <v>162</v>
      </c>
      <c r="D66" s="22" t="s">
        <v>163</v>
      </c>
      <c r="E66" s="21" t="s">
        <v>164</v>
      </c>
      <c r="F66" s="23">
        <v>16.343</v>
      </c>
      <c r="G66" s="24">
        <v>1</v>
      </c>
      <c r="H66" s="24">
        <f t="shared" si="2"/>
        <v>16.34</v>
      </c>
    </row>
    <row r="67" spans="1:8" s="1" customFormat="1" ht="31.7" customHeight="1" x14ac:dyDescent="0.25">
      <c r="A67" s="21">
        <v>53</v>
      </c>
      <c r="B67" s="21"/>
      <c r="C67" s="25" t="s">
        <v>165</v>
      </c>
      <c r="D67" s="22" t="s">
        <v>166</v>
      </c>
      <c r="E67" s="21" t="s">
        <v>131</v>
      </c>
      <c r="F67" s="23">
        <v>0.06</v>
      </c>
      <c r="G67" s="24">
        <v>238.48</v>
      </c>
      <c r="H67" s="24">
        <f t="shared" si="2"/>
        <v>14.31</v>
      </c>
    </row>
    <row r="68" spans="1:8" s="1" customFormat="1" ht="15.75" customHeight="1" x14ac:dyDescent="0.25">
      <c r="A68" s="21">
        <v>54</v>
      </c>
      <c r="B68" s="21"/>
      <c r="C68" s="25" t="s">
        <v>167</v>
      </c>
      <c r="D68" s="22" t="s">
        <v>168</v>
      </c>
      <c r="E68" s="21" t="s">
        <v>126</v>
      </c>
      <c r="F68" s="23">
        <v>1.1096999999999999E-3</v>
      </c>
      <c r="G68" s="24">
        <v>9424</v>
      </c>
      <c r="H68" s="24">
        <f t="shared" si="2"/>
        <v>10.46</v>
      </c>
    </row>
    <row r="69" spans="1:8" s="1" customFormat="1" ht="15.75" customHeight="1" x14ac:dyDescent="0.25">
      <c r="A69" s="21">
        <v>55</v>
      </c>
      <c r="B69" s="21"/>
      <c r="C69" s="25" t="s">
        <v>169</v>
      </c>
      <c r="D69" s="22" t="s">
        <v>170</v>
      </c>
      <c r="E69" s="21" t="s">
        <v>126</v>
      </c>
      <c r="F69" s="23">
        <v>1.0204999999999999E-3</v>
      </c>
      <c r="G69" s="24">
        <v>7640</v>
      </c>
      <c r="H69" s="24">
        <f t="shared" si="2"/>
        <v>7.8</v>
      </c>
    </row>
    <row r="70" spans="1:8" s="1" customFormat="1" ht="15.75" customHeight="1" x14ac:dyDescent="0.25">
      <c r="A70" s="21">
        <v>56</v>
      </c>
      <c r="B70" s="21"/>
      <c r="C70" s="25" t="s">
        <v>171</v>
      </c>
      <c r="D70" s="22" t="s">
        <v>172</v>
      </c>
      <c r="E70" s="21" t="s">
        <v>123</v>
      </c>
      <c r="F70" s="23">
        <v>0.05</v>
      </c>
      <c r="G70" s="24">
        <v>145.80000000000001</v>
      </c>
      <c r="H70" s="24">
        <f t="shared" si="2"/>
        <v>7.29</v>
      </c>
    </row>
    <row r="71" spans="1:8" s="1" customFormat="1" ht="15.75" customHeight="1" x14ac:dyDescent="0.25">
      <c r="A71" s="21">
        <v>57</v>
      </c>
      <c r="B71" s="21"/>
      <c r="C71" s="25" t="s">
        <v>173</v>
      </c>
      <c r="D71" s="22" t="s">
        <v>174</v>
      </c>
      <c r="E71" s="21" t="s">
        <v>131</v>
      </c>
      <c r="F71" s="23">
        <v>3.9249999999999998</v>
      </c>
      <c r="G71" s="24">
        <v>1.82</v>
      </c>
      <c r="H71" s="24">
        <f t="shared" si="2"/>
        <v>7.14</v>
      </c>
    </row>
    <row r="72" spans="1:8" s="1" customFormat="1" ht="63" customHeight="1" x14ac:dyDescent="0.25">
      <c r="A72" s="21">
        <v>58</v>
      </c>
      <c r="B72" s="21"/>
      <c r="C72" s="25" t="s">
        <v>175</v>
      </c>
      <c r="D72" s="22" t="s">
        <v>176</v>
      </c>
      <c r="E72" s="21" t="s">
        <v>177</v>
      </c>
      <c r="F72" s="23">
        <v>1.2330000000000001E-2</v>
      </c>
      <c r="G72" s="24">
        <v>521.53</v>
      </c>
      <c r="H72" s="24">
        <f t="shared" si="2"/>
        <v>6.43</v>
      </c>
    </row>
    <row r="73" spans="1:8" s="1" customFormat="1" ht="15.75" customHeight="1" x14ac:dyDescent="0.25">
      <c r="A73" s="21">
        <v>59</v>
      </c>
      <c r="B73" s="21"/>
      <c r="C73" s="25" t="s">
        <v>178</v>
      </c>
      <c r="D73" s="22" t="s">
        <v>179</v>
      </c>
      <c r="E73" s="21" t="s">
        <v>123</v>
      </c>
      <c r="F73" s="23">
        <v>4.4999999999999998E-2</v>
      </c>
      <c r="G73" s="24">
        <v>118.6</v>
      </c>
      <c r="H73" s="24">
        <f t="shared" si="2"/>
        <v>5.34</v>
      </c>
    </row>
    <row r="74" spans="1:8" s="1" customFormat="1" ht="47.25" customHeight="1" x14ac:dyDescent="0.25">
      <c r="A74" s="21">
        <v>60</v>
      </c>
      <c r="B74" s="21"/>
      <c r="C74" s="25" t="s">
        <v>180</v>
      </c>
      <c r="D74" s="22" t="s">
        <v>181</v>
      </c>
      <c r="E74" s="21" t="s">
        <v>123</v>
      </c>
      <c r="F74" s="23">
        <v>5.5E-2</v>
      </c>
      <c r="G74" s="24">
        <v>60.12</v>
      </c>
      <c r="H74" s="24">
        <f t="shared" si="2"/>
        <v>3.31</v>
      </c>
    </row>
    <row r="75" spans="1:8" s="1" customFormat="1" ht="15.75" customHeight="1" x14ac:dyDescent="0.25">
      <c r="A75" s="21">
        <v>61</v>
      </c>
      <c r="B75" s="21"/>
      <c r="C75" s="25" t="s">
        <v>182</v>
      </c>
      <c r="D75" s="22" t="s">
        <v>183</v>
      </c>
      <c r="E75" s="21" t="s">
        <v>123</v>
      </c>
      <c r="F75" s="23">
        <v>2.3640000000000001E-2</v>
      </c>
      <c r="G75" s="24">
        <v>108.4</v>
      </c>
      <c r="H75" s="24">
        <f t="shared" si="2"/>
        <v>2.56</v>
      </c>
    </row>
    <row r="76" spans="1:8" s="1" customFormat="1" ht="15.75" customHeight="1" x14ac:dyDescent="0.25">
      <c r="A76" s="21">
        <v>62</v>
      </c>
      <c r="B76" s="21"/>
      <c r="C76" s="25" t="s">
        <v>184</v>
      </c>
      <c r="D76" s="22" t="s">
        <v>185</v>
      </c>
      <c r="E76" s="21" t="s">
        <v>131</v>
      </c>
      <c r="F76" s="23">
        <v>0.4</v>
      </c>
      <c r="G76" s="24">
        <v>6.09</v>
      </c>
      <c r="H76" s="24">
        <f t="shared" si="2"/>
        <v>2.44</v>
      </c>
    </row>
    <row r="77" spans="1:8" s="1" customFormat="1" ht="31.7" customHeight="1" x14ac:dyDescent="0.25">
      <c r="A77" s="21">
        <v>63</v>
      </c>
      <c r="B77" s="21"/>
      <c r="C77" s="25" t="s">
        <v>186</v>
      </c>
      <c r="D77" s="22" t="s">
        <v>187</v>
      </c>
      <c r="E77" s="21" t="s">
        <v>126</v>
      </c>
      <c r="F77" s="23">
        <v>1.2E-4</v>
      </c>
      <c r="G77" s="24">
        <v>5763</v>
      </c>
      <c r="H77" s="24">
        <f t="shared" si="2"/>
        <v>0.69</v>
      </c>
    </row>
    <row r="78" spans="1:8" s="1" customFormat="1" ht="15.75" customHeight="1" x14ac:dyDescent="0.25">
      <c r="A78" s="21">
        <v>64</v>
      </c>
      <c r="B78" s="21"/>
      <c r="C78" s="25" t="s">
        <v>188</v>
      </c>
      <c r="D78" s="22" t="s">
        <v>189</v>
      </c>
      <c r="E78" s="21" t="s">
        <v>131</v>
      </c>
      <c r="F78" s="23">
        <v>1.6500000000000001E-2</v>
      </c>
      <c r="G78" s="24">
        <v>10.57</v>
      </c>
      <c r="H78" s="24">
        <f t="shared" si="2"/>
        <v>0.17</v>
      </c>
    </row>
    <row r="79" spans="1:8" s="1" customFormat="1" ht="15.75" customHeight="1" x14ac:dyDescent="0.25"/>
    <row r="80" spans="1:8" s="1" customFormat="1" ht="15.75" customHeight="1" x14ac:dyDescent="0.25"/>
    <row r="81" spans="2:3" s="1" customFormat="1" ht="15.75" customHeight="1" x14ac:dyDescent="0.25"/>
    <row r="82" spans="2:3" s="1" customFormat="1" ht="15.75" customHeight="1" x14ac:dyDescent="0.25"/>
    <row r="83" spans="2:3" s="1" customFormat="1" ht="15.75" customHeight="1" x14ac:dyDescent="0.25">
      <c r="B83" s="5" t="s">
        <v>190</v>
      </c>
      <c r="C83" s="5"/>
    </row>
    <row r="84" spans="2:3" s="1" customFormat="1" ht="15.75" customHeight="1" x14ac:dyDescent="0.25">
      <c r="B84" s="6" t="s">
        <v>24</v>
      </c>
      <c r="C84" s="5"/>
    </row>
    <row r="85" spans="2:3" s="1" customFormat="1" ht="15.75" customHeight="1" x14ac:dyDescent="0.25">
      <c r="B85" s="5"/>
      <c r="C85" s="5"/>
    </row>
    <row r="86" spans="2:3" s="1" customFormat="1" ht="15.75" customHeight="1" x14ac:dyDescent="0.25">
      <c r="B86" s="5" t="s">
        <v>191</v>
      </c>
      <c r="C86" s="5"/>
    </row>
    <row r="87" spans="2:3" s="1" customFormat="1" ht="15.75" customHeight="1" x14ac:dyDescent="0.25">
      <c r="B87" s="6" t="s">
        <v>26</v>
      </c>
      <c r="C87" s="5"/>
    </row>
    <row r="88" spans="2:3" s="1" customFormat="1" ht="15.75" customHeight="1" x14ac:dyDescent="0.25"/>
  </sheetData>
  <mergeCells count="15">
    <mergeCell ref="A11:E11"/>
    <mergeCell ref="A22:E22"/>
    <mergeCell ref="A24:E24"/>
    <mergeCell ref="A47:E47"/>
    <mergeCell ref="A2:H2"/>
    <mergeCell ref="A3:H3"/>
    <mergeCell ref="C4:H4"/>
    <mergeCell ref="A6:H6"/>
    <mergeCell ref="A8:A9"/>
    <mergeCell ref="B8:B9"/>
    <mergeCell ref="C8:C9"/>
    <mergeCell ref="D8:D9"/>
    <mergeCell ref="E8:E9"/>
    <mergeCell ref="F8:F9"/>
    <mergeCell ref="G8:H8"/>
  </mergeCells>
  <conditionalFormatting sqref="F10:F78">
    <cfRule type="expression" dxfId="1" priority="1" stopIfTrue="1">
      <formula>ROUND(F10*10000,0)/10000=F10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8"/>
  <sheetViews>
    <sheetView topLeftCell="A25" workbookViewId="0">
      <selection activeCell="C41" sqref="C41"/>
    </sheetView>
  </sheetViews>
  <sheetFormatPr defaultColWidth="9.140625" defaultRowHeight="15" x14ac:dyDescent="0.25"/>
  <cols>
    <col min="1" max="1" width="4.140625" style="76" customWidth="1"/>
    <col min="2" max="2" width="36.28515625" style="76" customWidth="1"/>
    <col min="3" max="3" width="18.85546875" style="76" customWidth="1"/>
    <col min="4" max="4" width="18.28515625" style="76" customWidth="1"/>
    <col min="5" max="5" width="20.85546875" style="76" customWidth="1"/>
    <col min="6" max="10" width="9.140625" style="76"/>
    <col min="11" max="11" width="13.5703125" style="76" customWidth="1"/>
    <col min="12" max="12" width="9.140625" style="76"/>
  </cols>
  <sheetData>
    <row r="1" spans="1:5" ht="15.75" customHeight="1" x14ac:dyDescent="0.25">
      <c r="A1" s="74"/>
      <c r="B1" s="75"/>
      <c r="C1" s="75"/>
      <c r="D1" s="75"/>
      <c r="E1" s="75"/>
    </row>
    <row r="2" spans="1:5" ht="15.75" customHeight="1" x14ac:dyDescent="0.25">
      <c r="B2" s="75"/>
      <c r="C2" s="75"/>
      <c r="D2" s="75"/>
      <c r="E2" s="77" t="s">
        <v>192</v>
      </c>
    </row>
    <row r="3" spans="1:5" ht="15.75" customHeight="1" x14ac:dyDescent="0.25">
      <c r="B3" s="75"/>
      <c r="C3" s="75"/>
      <c r="D3" s="75"/>
      <c r="E3" s="75"/>
    </row>
    <row r="4" spans="1:5" ht="15.75" customHeight="1" x14ac:dyDescent="0.25">
      <c r="B4" s="75"/>
      <c r="C4" s="75"/>
      <c r="D4" s="75"/>
      <c r="E4" s="75"/>
    </row>
    <row r="5" spans="1:5" ht="15.75" customHeight="1" x14ac:dyDescent="0.25">
      <c r="B5" s="138" t="s">
        <v>193</v>
      </c>
      <c r="C5" s="138"/>
      <c r="D5" s="138"/>
      <c r="E5" s="138"/>
    </row>
    <row r="6" spans="1:5" ht="15.75" customHeight="1" x14ac:dyDescent="0.25">
      <c r="B6" s="78"/>
      <c r="C6" s="75"/>
      <c r="D6" s="75"/>
      <c r="E6" s="75"/>
    </row>
    <row r="7" spans="1:5" ht="34.9" customHeight="1" x14ac:dyDescent="0.25">
      <c r="B7" s="151" t="s">
        <v>309</v>
      </c>
      <c r="C7" s="151"/>
      <c r="D7" s="151"/>
      <c r="E7" s="151"/>
    </row>
    <row r="8" spans="1:5" ht="15.75" customHeight="1" x14ac:dyDescent="0.25">
      <c r="B8" s="139" t="s">
        <v>303</v>
      </c>
      <c r="C8" s="139"/>
      <c r="D8" s="139"/>
      <c r="E8" s="139"/>
    </row>
    <row r="9" spans="1:5" x14ac:dyDescent="0.25">
      <c r="B9" s="79"/>
      <c r="C9" s="80"/>
      <c r="D9" s="80"/>
      <c r="E9" s="80"/>
    </row>
    <row r="10" spans="1:5" s="75" customFormat="1" ht="78.75" customHeight="1" x14ac:dyDescent="0.25">
      <c r="B10" s="81" t="s">
        <v>194</v>
      </c>
      <c r="C10" s="81" t="s">
        <v>195</v>
      </c>
      <c r="D10" s="81" t="s">
        <v>196</v>
      </c>
      <c r="E10" s="81" t="s">
        <v>197</v>
      </c>
    </row>
    <row r="11" spans="1:5" s="75" customFormat="1" ht="15" customHeight="1" x14ac:dyDescent="0.25">
      <c r="B11" s="82" t="s">
        <v>198</v>
      </c>
      <c r="C11" s="83">
        <f>'Прил.5 Расчет СМР и ОБ'!J14</f>
        <v>101036.25</v>
      </c>
      <c r="D11" s="84">
        <f>C11/C24</f>
        <v>9.1480668659162004E-2</v>
      </c>
      <c r="E11" s="84">
        <f>C11/C40</f>
        <v>8.1809813187193006E-2</v>
      </c>
    </row>
    <row r="12" spans="1:5" s="75" customFormat="1" ht="15" customHeight="1" x14ac:dyDescent="0.25">
      <c r="B12" s="82" t="s">
        <v>199</v>
      </c>
      <c r="C12" s="83">
        <f>'Прил.5 Расчет СМР и ОБ'!J26</f>
        <v>78549.570000000007</v>
      </c>
      <c r="D12" s="84">
        <f>C12/C24</f>
        <v>7.1120683779234001E-2</v>
      </c>
      <c r="E12" s="84">
        <f>C12/C40</f>
        <v>6.3602178897518E-2</v>
      </c>
    </row>
    <row r="13" spans="1:5" s="75" customFormat="1" ht="15" customHeight="1" x14ac:dyDescent="0.25">
      <c r="B13" s="82" t="s">
        <v>200</v>
      </c>
      <c r="C13" s="83">
        <f>'Прил.5 Расчет СМР и ОБ'!J42</f>
        <v>11277.19</v>
      </c>
      <c r="D13" s="84">
        <f>C13/C24</f>
        <v>1.0210641050083E-2</v>
      </c>
      <c r="E13" s="84">
        <f>C13/C40</f>
        <v>9.1312257449824002E-3</v>
      </c>
    </row>
    <row r="14" spans="1:5" s="75" customFormat="1" ht="15" customHeight="1" x14ac:dyDescent="0.25">
      <c r="B14" s="82" t="s">
        <v>201</v>
      </c>
      <c r="C14" s="83">
        <f>C13+C12</f>
        <v>89826.76</v>
      </c>
      <c r="D14" s="84">
        <f>C14/C24</f>
        <v>8.1331324829317E-2</v>
      </c>
      <c r="E14" s="84">
        <f>C14/C40</f>
        <v>7.2733404642499999E-2</v>
      </c>
    </row>
    <row r="15" spans="1:5" s="75" customFormat="1" ht="15" customHeight="1" x14ac:dyDescent="0.25">
      <c r="B15" s="82" t="s">
        <v>202</v>
      </c>
      <c r="C15" s="83">
        <f>'Прил.5 Расчет СМР и ОБ'!J16</f>
        <v>36766.01</v>
      </c>
      <c r="D15" s="84">
        <f>C15/C24</f>
        <v>3.3288836221944E-2</v>
      </c>
      <c r="E15" s="84">
        <f>C15/C40</f>
        <v>2.9769715421331E-2</v>
      </c>
    </row>
    <row r="16" spans="1:5" s="75" customFormat="1" ht="15" customHeight="1" x14ac:dyDescent="0.25">
      <c r="B16" s="82" t="s">
        <v>203</v>
      </c>
      <c r="C16" s="83">
        <f>'Прил.5 Расчет СМР и ОБ'!J56</f>
        <v>632374.62</v>
      </c>
      <c r="D16" s="84">
        <f>C16/C24</f>
        <v>0.57256730213842</v>
      </c>
      <c r="E16" s="84">
        <f>C16/C40</f>
        <v>0.51203849634682996</v>
      </c>
    </row>
    <row r="17" spans="2:5" s="75" customFormat="1" ht="15" customHeight="1" x14ac:dyDescent="0.25">
      <c r="B17" s="82" t="s">
        <v>204</v>
      </c>
      <c r="C17" s="83">
        <f>'Прил.5 Расчет СМР и ОБ'!J85</f>
        <v>84691.86</v>
      </c>
      <c r="D17" s="84">
        <f>C17/C24</f>
        <v>7.6682061960811995E-2</v>
      </c>
      <c r="E17" s="84">
        <f>C17/C40</f>
        <v>6.8575637408116993E-2</v>
      </c>
    </row>
    <row r="18" spans="2:5" s="75" customFormat="1" ht="15" customHeight="1" x14ac:dyDescent="0.25">
      <c r="B18" s="82" t="s">
        <v>205</v>
      </c>
      <c r="C18" s="83">
        <f>C17+C16</f>
        <v>717066.48</v>
      </c>
      <c r="D18" s="84">
        <f>C18/C24</f>
        <v>0.64924936409923995</v>
      </c>
      <c r="E18" s="84">
        <f>C18/C40</f>
        <v>0.58061413375493998</v>
      </c>
    </row>
    <row r="19" spans="2:5" s="75" customFormat="1" ht="15" customHeight="1" x14ac:dyDescent="0.25">
      <c r="B19" s="82" t="s">
        <v>206</v>
      </c>
      <c r="C19" s="83">
        <f>C18+C14+C11</f>
        <v>907929.49</v>
      </c>
      <c r="D19" s="84">
        <f>C19/C24</f>
        <v>0.82206135758771004</v>
      </c>
      <c r="E19" s="85">
        <f>C19/C40</f>
        <v>0.73515735158464002</v>
      </c>
    </row>
    <row r="20" spans="2:5" s="75" customFormat="1" ht="15" customHeight="1" x14ac:dyDescent="0.25">
      <c r="B20" s="82" t="s">
        <v>207</v>
      </c>
      <c r="C20" s="83">
        <v>69095.562027395994</v>
      </c>
      <c r="D20" s="84">
        <f>C20/C24</f>
        <v>6.2560795908862002E-2</v>
      </c>
      <c r="E20" s="84">
        <f>C20/C40</f>
        <v>5.5947197382379001E-2</v>
      </c>
    </row>
    <row r="21" spans="2:5" s="75" customFormat="1" ht="15" customHeight="1" x14ac:dyDescent="0.25">
      <c r="B21" s="82" t="s">
        <v>208</v>
      </c>
      <c r="C21" s="86">
        <f>C20/(C11+C15)</f>
        <v>0.50141094948221998</v>
      </c>
      <c r="D21" s="84"/>
      <c r="E21" s="85"/>
    </row>
    <row r="22" spans="2:5" s="75" customFormat="1" ht="15" customHeight="1" x14ac:dyDescent="0.25">
      <c r="B22" s="82" t="s">
        <v>209</v>
      </c>
      <c r="C22" s="83">
        <v>127429.59922182</v>
      </c>
      <c r="D22" s="84">
        <f>C22/C24</f>
        <v>0.11537784650342001</v>
      </c>
      <c r="E22" s="84">
        <f>C22/C40</f>
        <v>0.10318070699235</v>
      </c>
    </row>
    <row r="23" spans="2:5" s="75" customFormat="1" ht="15" customHeight="1" x14ac:dyDescent="0.25">
      <c r="B23" s="82" t="s">
        <v>210</v>
      </c>
      <c r="C23" s="86">
        <f>C22/(C11+C15)</f>
        <v>0.92472793422854005</v>
      </c>
      <c r="D23" s="84"/>
      <c r="E23" s="85"/>
    </row>
    <row r="24" spans="2:5" s="75" customFormat="1" ht="15" customHeight="1" x14ac:dyDescent="0.25">
      <c r="B24" s="82" t="s">
        <v>211</v>
      </c>
      <c r="C24" s="83">
        <f>C19+C20+C22</f>
        <v>1104454.6512492001</v>
      </c>
      <c r="D24" s="84">
        <f>C24/C24</f>
        <v>1</v>
      </c>
      <c r="E24" s="84">
        <f>C24/C40</f>
        <v>0.89428525595937003</v>
      </c>
    </row>
    <row r="25" spans="2:5" s="75" customFormat="1" ht="31.7" customHeight="1" x14ac:dyDescent="0.25">
      <c r="B25" s="82" t="s">
        <v>212</v>
      </c>
      <c r="C25" s="83">
        <f>'Прил.5 Расчет СМР и ОБ'!J49</f>
        <v>0</v>
      </c>
      <c r="D25" s="84"/>
      <c r="E25" s="84">
        <f>C25/C40</f>
        <v>0</v>
      </c>
    </row>
    <row r="26" spans="2:5" s="75" customFormat="1" ht="31.7" customHeight="1" x14ac:dyDescent="0.25">
      <c r="B26" s="82" t="s">
        <v>213</v>
      </c>
      <c r="C26" s="83">
        <f>C25</f>
        <v>0</v>
      </c>
      <c r="D26" s="84"/>
      <c r="E26" s="84">
        <f>C26/C40</f>
        <v>0</v>
      </c>
    </row>
    <row r="27" spans="2:5" s="75" customFormat="1" ht="15" customHeight="1" x14ac:dyDescent="0.25">
      <c r="B27" s="82" t="s">
        <v>214</v>
      </c>
      <c r="C27" s="87">
        <f>C24+C25</f>
        <v>1104454.6512492001</v>
      </c>
      <c r="D27" s="84"/>
      <c r="E27" s="84">
        <f>C27/C40</f>
        <v>0.89428525595937003</v>
      </c>
    </row>
    <row r="28" spans="2:5" s="75" customFormat="1" ht="33" customHeight="1" x14ac:dyDescent="0.25">
      <c r="B28" s="82" t="s">
        <v>215</v>
      </c>
      <c r="C28" s="82"/>
      <c r="D28" s="85"/>
      <c r="E28" s="85"/>
    </row>
    <row r="29" spans="2:5" s="75" customFormat="1" ht="31.7" customHeight="1" x14ac:dyDescent="0.25">
      <c r="B29" s="82" t="s">
        <v>216</v>
      </c>
      <c r="C29" s="87">
        <f>ROUND(C24*0.039,2)</f>
        <v>43073.73</v>
      </c>
      <c r="D29" s="85"/>
      <c r="E29" s="84">
        <f>C29/C40</f>
        <v>3.4877123849862003E-2</v>
      </c>
    </row>
    <row r="30" spans="2:5" s="75" customFormat="1" ht="63" customHeight="1" x14ac:dyDescent="0.25">
      <c r="B30" s="82" t="s">
        <v>217</v>
      </c>
      <c r="C30" s="87">
        <f>ROUND((C24+C29)*0.021,2)</f>
        <v>24098.1</v>
      </c>
      <c r="D30" s="85"/>
      <c r="E30" s="84">
        <f>C30/C40</f>
        <v>1.9512413209777001E-2</v>
      </c>
    </row>
    <row r="31" spans="2:5" s="75" customFormat="1" ht="15.75" customHeight="1" x14ac:dyDescent="0.25">
      <c r="B31" s="82" t="s">
        <v>218</v>
      </c>
      <c r="C31" s="87">
        <f>ROUND(C25*80%*7%,2)</f>
        <v>0</v>
      </c>
      <c r="D31" s="85"/>
      <c r="E31" s="84">
        <f>C31/C40</f>
        <v>0</v>
      </c>
    </row>
    <row r="32" spans="2:5" s="75" customFormat="1" ht="31.7" customHeight="1" x14ac:dyDescent="0.25">
      <c r="B32" s="82" t="s">
        <v>219</v>
      </c>
      <c r="C32" s="87">
        <v>0</v>
      </c>
      <c r="D32" s="85"/>
      <c r="E32" s="84">
        <f>C32/C40</f>
        <v>0</v>
      </c>
    </row>
    <row r="33" spans="2:11" s="75" customFormat="1" ht="47.25" customHeight="1" x14ac:dyDescent="0.25">
      <c r="B33" s="82" t="s">
        <v>220</v>
      </c>
      <c r="C33" s="87">
        <v>0</v>
      </c>
      <c r="D33" s="85"/>
      <c r="E33" s="84">
        <f>C33/C40</f>
        <v>0</v>
      </c>
    </row>
    <row r="34" spans="2:11" s="75" customFormat="1" ht="63" customHeight="1" x14ac:dyDescent="0.25">
      <c r="B34" s="82" t="s">
        <v>221</v>
      </c>
      <c r="C34" s="87">
        <v>0</v>
      </c>
      <c r="D34" s="85"/>
      <c r="E34" s="84">
        <f>C34/C40</f>
        <v>0</v>
      </c>
    </row>
    <row r="35" spans="2:11" s="75" customFormat="1" ht="94.7" customHeight="1" x14ac:dyDescent="0.25">
      <c r="B35" s="82" t="s">
        <v>222</v>
      </c>
      <c r="C35" s="87">
        <v>0</v>
      </c>
      <c r="D35" s="85"/>
      <c r="E35" s="84">
        <f>C35/C40</f>
        <v>0</v>
      </c>
    </row>
    <row r="36" spans="2:11" s="75" customFormat="1" ht="47.25" customHeight="1" x14ac:dyDescent="0.25">
      <c r="B36" s="88" t="s">
        <v>223</v>
      </c>
      <c r="C36" s="89">
        <f>ROUND((C27+C29+C31+C30)*0.0214,2)</f>
        <v>25072.81</v>
      </c>
      <c r="D36" s="90"/>
      <c r="E36" s="91">
        <f>C36/C40</f>
        <v>2.0301643243667001E-2</v>
      </c>
      <c r="K36" s="92"/>
    </row>
    <row r="37" spans="2:11" s="75" customFormat="1" ht="15.75" customHeight="1" x14ac:dyDescent="0.25">
      <c r="B37" s="93" t="s">
        <v>224</v>
      </c>
      <c r="C37" s="93">
        <f>ROUND((C27+C29+C30+C31)*0.002,2)</f>
        <v>2343.25</v>
      </c>
      <c r="D37" s="94"/>
      <c r="E37" s="94">
        <f>C37/C40</f>
        <v>1.8973471872807E-3</v>
      </c>
    </row>
    <row r="38" spans="2:11" s="75" customFormat="1" ht="63" customHeight="1" x14ac:dyDescent="0.25">
      <c r="B38" s="95" t="s">
        <v>225</v>
      </c>
      <c r="C38" s="96">
        <f>C27+C29+C30+C31+C36+C37</f>
        <v>1199042.5412492</v>
      </c>
      <c r="D38" s="97"/>
      <c r="E38" s="98">
        <f>C38/C40</f>
        <v>0.97087378344996</v>
      </c>
    </row>
    <row r="39" spans="2:11" s="75" customFormat="1" ht="15.75" customHeight="1" x14ac:dyDescent="0.25">
      <c r="B39" s="82" t="s">
        <v>226</v>
      </c>
      <c r="C39" s="83">
        <f>ROUND(C38*0.03,2)</f>
        <v>35971.279999999999</v>
      </c>
      <c r="D39" s="85"/>
      <c r="E39" s="84">
        <f>C39/C40</f>
        <v>2.9126216550042001E-2</v>
      </c>
    </row>
    <row r="40" spans="2:11" s="75" customFormat="1" ht="15.75" customHeight="1" x14ac:dyDescent="0.25">
      <c r="B40" s="82" t="s">
        <v>227</v>
      </c>
      <c r="C40" s="83">
        <f>C39+C38</f>
        <v>1235013.8212492</v>
      </c>
      <c r="D40" s="85"/>
      <c r="E40" s="84">
        <f>C40/C40</f>
        <v>1</v>
      </c>
    </row>
    <row r="41" spans="2:11" s="75" customFormat="1" ht="31.7" customHeight="1" x14ac:dyDescent="0.25">
      <c r="B41" s="82" t="s">
        <v>228</v>
      </c>
      <c r="C41" s="83">
        <f>C40/'Прил.5 Расчет СМР и ОБ'!E92</f>
        <v>1235013.8212492</v>
      </c>
      <c r="D41" s="85"/>
      <c r="E41" s="85"/>
    </row>
    <row r="42" spans="2:11" s="75" customFormat="1" ht="15.75" customHeight="1" x14ac:dyDescent="0.25">
      <c r="B42" s="99"/>
    </row>
    <row r="43" spans="2:11" s="75" customFormat="1" ht="15.75" customHeight="1" x14ac:dyDescent="0.25">
      <c r="B43" s="99" t="s">
        <v>229</v>
      </c>
    </row>
    <row r="44" spans="2:11" s="75" customFormat="1" ht="15.75" customHeight="1" x14ac:dyDescent="0.25">
      <c r="B44" s="99" t="s">
        <v>230</v>
      </c>
    </row>
    <row r="45" spans="2:11" s="75" customFormat="1" ht="15.75" customHeight="1" x14ac:dyDescent="0.25">
      <c r="B45" s="99"/>
    </row>
    <row r="46" spans="2:11" s="75" customFormat="1" ht="15.75" customHeight="1" x14ac:dyDescent="0.25">
      <c r="B46" s="99" t="s">
        <v>231</v>
      </c>
    </row>
    <row r="47" spans="2:11" s="75" customFormat="1" ht="15.75" customHeight="1" x14ac:dyDescent="0.25">
      <c r="B47" s="100" t="s">
        <v>232</v>
      </c>
      <c r="C47" s="100"/>
    </row>
    <row r="48" spans="2:11" s="75" customFormat="1" ht="15.75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9"/>
  <sheetViews>
    <sheetView workbookViewId="0">
      <selection activeCell="I13" sqref="I13"/>
    </sheetView>
  </sheetViews>
  <sheetFormatPr defaultColWidth="9.140625" defaultRowHeight="15" outlineLevelRow="1" x14ac:dyDescent="0.25"/>
  <cols>
    <col min="1" max="1" width="5.7109375" style="29" customWidth="1"/>
    <col min="2" max="2" width="22.5703125" style="29" customWidth="1"/>
    <col min="3" max="3" width="39.140625" style="29" customWidth="1"/>
    <col min="4" max="4" width="10.7109375" style="29" customWidth="1"/>
    <col min="5" max="5" width="12.7109375" style="29" customWidth="1"/>
    <col min="6" max="6" width="14.5703125" style="29" customWidth="1"/>
    <col min="7" max="7" width="13.42578125" style="29" customWidth="1"/>
    <col min="8" max="8" width="12.7109375" style="29" customWidth="1"/>
    <col min="9" max="9" width="14.5703125" style="29" customWidth="1"/>
    <col min="10" max="10" width="15.140625" style="29" customWidth="1"/>
    <col min="11" max="11" width="22.42578125" style="29" customWidth="1"/>
    <col min="12" max="12" width="16.28515625" style="29" customWidth="1"/>
    <col min="13" max="13" width="10.85546875" style="29" customWidth="1"/>
    <col min="14" max="14" width="9.140625" style="29"/>
    <col min="15" max="15" width="9.140625" style="64"/>
  </cols>
  <sheetData>
    <row r="1" spans="1:11" s="29" customFormat="1" ht="14.25" x14ac:dyDescent="0.2">
      <c r="A1" s="28"/>
    </row>
    <row r="2" spans="1:11" s="29" customFormat="1" ht="15.75" customHeight="1" x14ac:dyDescent="0.25">
      <c r="A2" s="30"/>
      <c r="B2" s="30"/>
      <c r="C2" s="30"/>
      <c r="D2" s="30"/>
      <c r="E2" s="30"/>
      <c r="F2" s="30"/>
      <c r="G2" s="30"/>
      <c r="H2" s="153" t="s">
        <v>233</v>
      </c>
      <c r="I2" s="153"/>
      <c r="J2" s="153"/>
    </row>
    <row r="3" spans="1:11" s="29" customFormat="1" ht="15.7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1" s="28" customFormat="1" ht="15.75" customHeight="1" x14ac:dyDescent="0.2">
      <c r="A4" s="138" t="s">
        <v>234</v>
      </c>
      <c r="B4" s="138"/>
      <c r="C4" s="138"/>
      <c r="D4" s="138"/>
      <c r="E4" s="138"/>
      <c r="F4" s="138"/>
      <c r="G4" s="138"/>
      <c r="H4" s="138"/>
      <c r="I4" s="31"/>
      <c r="J4" s="31"/>
    </row>
    <row r="5" spans="1:11" s="28" customFormat="1" ht="15.75" customHeight="1" x14ac:dyDescent="0.2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1" s="28" customFormat="1" x14ac:dyDescent="0.2">
      <c r="A6" s="154" t="s">
        <v>235</v>
      </c>
      <c r="B6" s="155"/>
      <c r="C6" s="155"/>
      <c r="D6" s="154" t="s">
        <v>310</v>
      </c>
      <c r="E6" s="156"/>
      <c r="F6" s="156"/>
      <c r="G6" s="156"/>
      <c r="H6" s="156"/>
      <c r="I6" s="156"/>
      <c r="J6" s="156"/>
    </row>
    <row r="7" spans="1:11" s="28" customFormat="1" ht="15.75" customHeight="1" x14ac:dyDescent="0.2">
      <c r="A7" s="154" t="s">
        <v>303</v>
      </c>
      <c r="B7" s="155"/>
      <c r="C7" s="155"/>
      <c r="D7" s="32"/>
      <c r="E7" s="32"/>
      <c r="F7" s="32"/>
      <c r="G7" s="32"/>
      <c r="H7" s="32"/>
      <c r="I7" s="32"/>
      <c r="J7" s="32"/>
    </row>
    <row r="8" spans="1:11" s="28" customFormat="1" ht="15.7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</row>
    <row r="9" spans="1:11" s="30" customFormat="1" ht="27" customHeight="1" x14ac:dyDescent="0.25">
      <c r="A9" s="157" t="s">
        <v>236</v>
      </c>
      <c r="B9" s="142" t="s">
        <v>43</v>
      </c>
      <c r="C9" s="142" t="s">
        <v>194</v>
      </c>
      <c r="D9" s="142" t="s">
        <v>45</v>
      </c>
      <c r="E9" s="142" t="s">
        <v>237</v>
      </c>
      <c r="F9" s="142" t="s">
        <v>47</v>
      </c>
      <c r="G9" s="142"/>
      <c r="H9" s="142" t="s">
        <v>238</v>
      </c>
      <c r="I9" s="142" t="s">
        <v>239</v>
      </c>
      <c r="J9" s="142"/>
      <c r="K9" s="33"/>
    </row>
    <row r="10" spans="1:11" s="30" customFormat="1" ht="28.5" customHeight="1" x14ac:dyDescent="0.25">
      <c r="A10" s="157"/>
      <c r="B10" s="142"/>
      <c r="C10" s="142"/>
      <c r="D10" s="142"/>
      <c r="E10" s="142"/>
      <c r="F10" s="34" t="s">
        <v>240</v>
      </c>
      <c r="G10" s="34" t="s">
        <v>49</v>
      </c>
      <c r="H10" s="142"/>
      <c r="I10" s="34" t="s">
        <v>240</v>
      </c>
      <c r="J10" s="34" t="s">
        <v>49</v>
      </c>
    </row>
    <row r="11" spans="1:11" s="30" customFormat="1" ht="15.75" customHeight="1" x14ac:dyDescent="0.25">
      <c r="A11" s="35">
        <v>1</v>
      </c>
      <c r="B11" s="34">
        <v>2</v>
      </c>
      <c r="C11" s="34">
        <v>3</v>
      </c>
      <c r="D11" s="34">
        <v>4</v>
      </c>
      <c r="E11" s="34">
        <v>5</v>
      </c>
      <c r="F11" s="34">
        <v>6</v>
      </c>
      <c r="G11" s="34">
        <v>7</v>
      </c>
      <c r="H11" s="34">
        <v>8</v>
      </c>
      <c r="I11" s="34">
        <v>9</v>
      </c>
      <c r="J11" s="34">
        <v>10</v>
      </c>
    </row>
    <row r="12" spans="1:11" s="30" customFormat="1" ht="15.75" customHeight="1" x14ac:dyDescent="0.25">
      <c r="A12" s="36"/>
      <c r="B12" s="158" t="s">
        <v>241</v>
      </c>
      <c r="C12" s="159"/>
      <c r="D12" s="160"/>
      <c r="E12" s="160"/>
      <c r="F12" s="160"/>
      <c r="G12" s="160"/>
      <c r="H12" s="160"/>
      <c r="I12" s="37"/>
      <c r="J12" s="37"/>
    </row>
    <row r="13" spans="1:11" s="30" customFormat="1" ht="31.7" customHeight="1" x14ac:dyDescent="0.25">
      <c r="A13" s="38">
        <v>1</v>
      </c>
      <c r="B13" s="38" t="s">
        <v>242</v>
      </c>
      <c r="C13" s="39" t="s">
        <v>243</v>
      </c>
      <c r="D13" s="38" t="s">
        <v>54</v>
      </c>
      <c r="E13" s="40">
        <v>261.01487414188</v>
      </c>
      <c r="F13" s="41">
        <v>8.74</v>
      </c>
      <c r="G13" s="41">
        <f>ROUND(E13*F13,2)</f>
        <v>2281.27</v>
      </c>
      <c r="H13" s="42">
        <f>G13/G14</f>
        <v>1</v>
      </c>
      <c r="I13" s="41">
        <f>ROUND(F13*'Прил. 10'!$D$10,2)</f>
        <v>387.09</v>
      </c>
      <c r="J13" s="41">
        <f>ROUND(E13*I13,2)</f>
        <v>101036.25</v>
      </c>
    </row>
    <row r="14" spans="1:11" s="30" customFormat="1" ht="31.7" customHeight="1" x14ac:dyDescent="0.25">
      <c r="A14" s="38"/>
      <c r="B14" s="38"/>
      <c r="C14" s="39" t="s">
        <v>244</v>
      </c>
      <c r="D14" s="38" t="s">
        <v>54</v>
      </c>
      <c r="E14" s="40">
        <f>SUM(E13:E13)</f>
        <v>261.01487414188</v>
      </c>
      <c r="F14" s="41"/>
      <c r="G14" s="41">
        <f>SUM(G13:G13)</f>
        <v>2281.27</v>
      </c>
      <c r="H14" s="42">
        <v>1</v>
      </c>
      <c r="I14" s="41"/>
      <c r="J14" s="41">
        <f>SUM(J13:J13)</f>
        <v>101036.25</v>
      </c>
    </row>
    <row r="15" spans="1:11" s="30" customFormat="1" ht="15.75" customHeight="1" x14ac:dyDescent="0.25">
      <c r="A15" s="38"/>
      <c r="B15" s="147" t="s">
        <v>73</v>
      </c>
      <c r="C15" s="148"/>
      <c r="D15" s="147"/>
      <c r="E15" s="147"/>
      <c r="F15" s="152"/>
      <c r="G15" s="152"/>
      <c r="H15" s="147"/>
      <c r="I15" s="41"/>
      <c r="J15" s="41"/>
    </row>
    <row r="16" spans="1:11" s="30" customFormat="1" ht="15.75" customHeight="1" x14ac:dyDescent="0.25">
      <c r="A16" s="38">
        <v>2</v>
      </c>
      <c r="B16" s="38">
        <v>2</v>
      </c>
      <c r="C16" s="39" t="s">
        <v>73</v>
      </c>
      <c r="D16" s="38" t="s">
        <v>54</v>
      </c>
      <c r="E16" s="40">
        <v>62.935022600000003</v>
      </c>
      <c r="F16" s="41">
        <v>13.19</v>
      </c>
      <c r="G16" s="41">
        <f>ROUND(E16*F16,2)</f>
        <v>830.11</v>
      </c>
      <c r="H16" s="42">
        <v>1</v>
      </c>
      <c r="I16" s="41">
        <f>ROUND(F16*'Прил. 10'!$D$10,2)</f>
        <v>584.19000000000005</v>
      </c>
      <c r="J16" s="41">
        <f>ROUND(E16*I16,2)</f>
        <v>36766.01</v>
      </c>
    </row>
    <row r="17" spans="1:10" s="30" customFormat="1" ht="15.75" customHeight="1" x14ac:dyDescent="0.25">
      <c r="A17" s="38"/>
      <c r="B17" s="146" t="s">
        <v>74</v>
      </c>
      <c r="C17" s="148"/>
      <c r="D17" s="147"/>
      <c r="E17" s="147"/>
      <c r="F17" s="152"/>
      <c r="G17" s="152"/>
      <c r="H17" s="147"/>
      <c r="I17" s="41"/>
      <c r="J17" s="41"/>
    </row>
    <row r="18" spans="1:10" s="30" customFormat="1" ht="15.75" customHeight="1" x14ac:dyDescent="0.25">
      <c r="A18" s="38"/>
      <c r="B18" s="147" t="s">
        <v>245</v>
      </c>
      <c r="C18" s="148"/>
      <c r="D18" s="147"/>
      <c r="E18" s="147"/>
      <c r="F18" s="152"/>
      <c r="G18" s="152"/>
      <c r="H18" s="147"/>
      <c r="I18" s="41"/>
      <c r="J18" s="41"/>
    </row>
    <row r="19" spans="1:10" s="30" customFormat="1" ht="63" customHeight="1" x14ac:dyDescent="0.25">
      <c r="A19" s="38">
        <v>3</v>
      </c>
      <c r="B19" s="43" t="s">
        <v>75</v>
      </c>
      <c r="C19" s="44" t="s">
        <v>76</v>
      </c>
      <c r="D19" s="45" t="s">
        <v>77</v>
      </c>
      <c r="E19" s="46">
        <v>27.704999999999998</v>
      </c>
      <c r="F19" s="47">
        <v>90</v>
      </c>
      <c r="G19" s="47">
        <f t="shared" ref="G19:G25" si="0">ROUND(E19*F19,2)</f>
        <v>2493.4499999999998</v>
      </c>
      <c r="H19" s="42">
        <f>G19/G43</f>
        <v>0.37390570219503999</v>
      </c>
      <c r="I19" s="41">
        <f>ROUND(F19*'Прил. 10'!$D$11,2)</f>
        <v>1212.3</v>
      </c>
      <c r="J19" s="41">
        <f t="shared" ref="J19:J25" si="1">ROUND(E19*I19,2)</f>
        <v>33586.769999999997</v>
      </c>
    </row>
    <row r="20" spans="1:10" s="30" customFormat="1" ht="47.25" customHeight="1" x14ac:dyDescent="0.25">
      <c r="A20" s="38">
        <v>4</v>
      </c>
      <c r="B20" s="43" t="s">
        <v>78</v>
      </c>
      <c r="C20" s="44" t="s">
        <v>79</v>
      </c>
      <c r="D20" s="45" t="s">
        <v>77</v>
      </c>
      <c r="E20" s="46">
        <v>8.3331</v>
      </c>
      <c r="F20" s="47">
        <v>100</v>
      </c>
      <c r="G20" s="47">
        <f t="shared" si="0"/>
        <v>833.31</v>
      </c>
      <c r="H20" s="42">
        <f>G20/G43</f>
        <v>0.12495913721797</v>
      </c>
      <c r="I20" s="41">
        <f>ROUND(F20*'Прил. 10'!$D$11,2)</f>
        <v>1347</v>
      </c>
      <c r="J20" s="41">
        <f t="shared" si="1"/>
        <v>11224.69</v>
      </c>
    </row>
    <row r="21" spans="1:10" s="30" customFormat="1" ht="15.75" customHeight="1" x14ac:dyDescent="0.25">
      <c r="A21" s="38">
        <v>5</v>
      </c>
      <c r="B21" s="43" t="s">
        <v>80</v>
      </c>
      <c r="C21" s="44" t="s">
        <v>81</v>
      </c>
      <c r="D21" s="45" t="s">
        <v>77</v>
      </c>
      <c r="E21" s="46">
        <v>22.765000000000001</v>
      </c>
      <c r="F21" s="47">
        <v>28.73</v>
      </c>
      <c r="G21" s="47">
        <f t="shared" si="0"/>
        <v>654.04</v>
      </c>
      <c r="H21" s="42">
        <f>G21/G43</f>
        <v>9.8076675074153005E-2</v>
      </c>
      <c r="I21" s="41">
        <f>ROUND(F21*'Прил. 10'!$D$11,2)</f>
        <v>386.99</v>
      </c>
      <c r="J21" s="41">
        <f t="shared" si="1"/>
        <v>8809.83</v>
      </c>
    </row>
    <row r="22" spans="1:10" s="30" customFormat="1" ht="31.7" customHeight="1" x14ac:dyDescent="0.25">
      <c r="A22" s="38">
        <v>6</v>
      </c>
      <c r="B22" s="43" t="s">
        <v>82</v>
      </c>
      <c r="C22" s="44" t="s">
        <v>83</v>
      </c>
      <c r="D22" s="45" t="s">
        <v>77</v>
      </c>
      <c r="E22" s="46">
        <v>4.8</v>
      </c>
      <c r="F22" s="47">
        <v>131.16</v>
      </c>
      <c r="G22" s="47">
        <f t="shared" si="0"/>
        <v>629.57000000000005</v>
      </c>
      <c r="H22" s="42">
        <f>G22/G43</f>
        <v>9.4407272225604993E-2</v>
      </c>
      <c r="I22" s="41">
        <f>ROUND(F22*'Прил. 10'!$D$11,2)</f>
        <v>1766.73</v>
      </c>
      <c r="J22" s="41">
        <f t="shared" si="1"/>
        <v>8480.2999999999993</v>
      </c>
    </row>
    <row r="23" spans="1:10" s="30" customFormat="1" ht="31.7" customHeight="1" x14ac:dyDescent="0.25">
      <c r="A23" s="38">
        <v>7</v>
      </c>
      <c r="B23" s="43" t="s">
        <v>84</v>
      </c>
      <c r="C23" s="44" t="s">
        <v>85</v>
      </c>
      <c r="D23" s="45" t="s">
        <v>77</v>
      </c>
      <c r="E23" s="46">
        <v>7.2253233000000003</v>
      </c>
      <c r="F23" s="47">
        <v>65.709999999999994</v>
      </c>
      <c r="G23" s="47">
        <f t="shared" si="0"/>
        <v>474.78</v>
      </c>
      <c r="H23" s="42">
        <f>G23/G43</f>
        <v>7.1195712481968002E-2</v>
      </c>
      <c r="I23" s="41">
        <f>ROUND(F23*'Прил. 10'!$D$11,2)</f>
        <v>885.11</v>
      </c>
      <c r="J23" s="41">
        <f t="shared" si="1"/>
        <v>6395.21</v>
      </c>
    </row>
    <row r="24" spans="1:10" s="30" customFormat="1" ht="63" customHeight="1" x14ac:dyDescent="0.25">
      <c r="A24" s="38">
        <v>8</v>
      </c>
      <c r="B24" s="43" t="s">
        <v>86</v>
      </c>
      <c r="C24" s="44" t="s">
        <v>87</v>
      </c>
      <c r="D24" s="45" t="s">
        <v>77</v>
      </c>
      <c r="E24" s="46">
        <v>4.8929999999999998</v>
      </c>
      <c r="F24" s="47">
        <v>90.4</v>
      </c>
      <c r="G24" s="47">
        <f t="shared" si="0"/>
        <v>442.33</v>
      </c>
      <c r="H24" s="42">
        <f>G24/G43</f>
        <v>6.6329667429438993E-2</v>
      </c>
      <c r="I24" s="41">
        <f>ROUND(F24*'Прил. 10'!$D$11,2)</f>
        <v>1217.69</v>
      </c>
      <c r="J24" s="41">
        <f t="shared" si="1"/>
        <v>5958.16</v>
      </c>
    </row>
    <row r="25" spans="1:10" s="30" customFormat="1" ht="31.7" customHeight="1" x14ac:dyDescent="0.25">
      <c r="A25" s="38">
        <v>9</v>
      </c>
      <c r="B25" s="43" t="s">
        <v>88</v>
      </c>
      <c r="C25" s="44" t="s">
        <v>89</v>
      </c>
      <c r="D25" s="45" t="s">
        <v>77</v>
      </c>
      <c r="E25" s="46">
        <v>3.844455</v>
      </c>
      <c r="F25" s="47">
        <v>79.069999999999993</v>
      </c>
      <c r="G25" s="47">
        <f t="shared" si="0"/>
        <v>303.98</v>
      </c>
      <c r="H25" s="42">
        <f>G25/G43</f>
        <v>4.5583370572199002E-2</v>
      </c>
      <c r="I25" s="41">
        <f>ROUND(F25*'Прил. 10'!$D$11,2)</f>
        <v>1065.07</v>
      </c>
      <c r="J25" s="41">
        <f t="shared" si="1"/>
        <v>4094.61</v>
      </c>
    </row>
    <row r="26" spans="1:10" s="30" customFormat="1" ht="15.75" customHeight="1" x14ac:dyDescent="0.25">
      <c r="A26" s="38"/>
      <c r="B26" s="161" t="s">
        <v>246</v>
      </c>
      <c r="C26" s="147"/>
      <c r="D26" s="147"/>
      <c r="E26" s="147"/>
      <c r="F26" s="152"/>
      <c r="G26" s="47">
        <f>SUM(G19:G25)</f>
        <v>5831.46</v>
      </c>
      <c r="H26" s="42">
        <f>SUM(H19:H25)</f>
        <v>0.87445753719637997</v>
      </c>
      <c r="I26" s="41"/>
      <c r="J26" s="41">
        <f>SUM(J19:J25)</f>
        <v>78549.570000000007</v>
      </c>
    </row>
    <row r="27" spans="1:10" s="30" customFormat="1" ht="31.7" customHeight="1" outlineLevel="1" x14ac:dyDescent="0.25">
      <c r="A27" s="38">
        <v>10</v>
      </c>
      <c r="B27" s="43" t="s">
        <v>90</v>
      </c>
      <c r="C27" s="44" t="s">
        <v>91</v>
      </c>
      <c r="D27" s="45" t="s">
        <v>77</v>
      </c>
      <c r="E27" s="46">
        <v>1.8</v>
      </c>
      <c r="F27" s="47">
        <v>96.89</v>
      </c>
      <c r="G27" s="47">
        <f t="shared" ref="G27:G41" si="2">ROUND(E27*F27,2)</f>
        <v>174.4</v>
      </c>
      <c r="H27" s="42">
        <f>G27/G43</f>
        <v>2.6152180498030999E-2</v>
      </c>
      <c r="I27" s="41">
        <f>ROUND(F27*'Прил. 10'!$D$11,2)</f>
        <v>1305.1099999999999</v>
      </c>
      <c r="J27" s="41">
        <f t="shared" ref="J27:J41" si="3">ROUND(E27*I27,2)</f>
        <v>2349.1999999999998</v>
      </c>
    </row>
    <row r="28" spans="1:10" s="30" customFormat="1" ht="47.25" customHeight="1" outlineLevel="1" x14ac:dyDescent="0.25">
      <c r="A28" s="38">
        <v>11</v>
      </c>
      <c r="B28" s="43" t="s">
        <v>92</v>
      </c>
      <c r="C28" s="44" t="s">
        <v>93</v>
      </c>
      <c r="D28" s="45" t="s">
        <v>77</v>
      </c>
      <c r="E28" s="46">
        <v>1.1357162999999999</v>
      </c>
      <c r="F28" s="47">
        <v>133.97</v>
      </c>
      <c r="G28" s="47">
        <f t="shared" si="2"/>
        <v>152.15</v>
      </c>
      <c r="H28" s="42">
        <f>G28/G43</f>
        <v>2.2815678112244001E-2</v>
      </c>
      <c r="I28" s="41">
        <f>ROUND(F28*'Прил. 10'!$D$11,2)</f>
        <v>1804.58</v>
      </c>
      <c r="J28" s="41">
        <f t="shared" si="3"/>
        <v>2049.4899999999998</v>
      </c>
    </row>
    <row r="29" spans="1:10" s="30" customFormat="1" ht="15.75" customHeight="1" outlineLevel="1" x14ac:dyDescent="0.25">
      <c r="A29" s="38">
        <v>12</v>
      </c>
      <c r="B29" s="43" t="s">
        <v>94</v>
      </c>
      <c r="C29" s="44" t="s">
        <v>95</v>
      </c>
      <c r="D29" s="45" t="s">
        <v>77</v>
      </c>
      <c r="E29" s="46">
        <v>1.68666</v>
      </c>
      <c r="F29" s="47">
        <v>89.99</v>
      </c>
      <c r="G29" s="47">
        <f t="shared" si="2"/>
        <v>151.78</v>
      </c>
      <c r="H29" s="42">
        <f>G29/G43</f>
        <v>2.2760194701784E-2</v>
      </c>
      <c r="I29" s="41">
        <f>ROUND(F29*'Прил. 10'!$D$11,2)</f>
        <v>1212.17</v>
      </c>
      <c r="J29" s="41">
        <f t="shared" si="3"/>
        <v>2044.52</v>
      </c>
    </row>
    <row r="30" spans="1:10" s="30" customFormat="1" ht="31.7" customHeight="1" outlineLevel="1" x14ac:dyDescent="0.25">
      <c r="A30" s="38">
        <v>13</v>
      </c>
      <c r="B30" s="43" t="s">
        <v>96</v>
      </c>
      <c r="C30" s="44" t="s">
        <v>97</v>
      </c>
      <c r="D30" s="45" t="s">
        <v>77</v>
      </c>
      <c r="E30" s="46">
        <v>25.475999999999999</v>
      </c>
      <c r="F30" s="47">
        <v>4.91</v>
      </c>
      <c r="G30" s="47">
        <f t="shared" si="2"/>
        <v>125.09</v>
      </c>
      <c r="H30" s="42">
        <f>G30/G43</f>
        <v>1.8757891390473999E-2</v>
      </c>
      <c r="I30" s="41">
        <f>ROUND(F30*'Прил. 10'!$D$11,2)</f>
        <v>66.14</v>
      </c>
      <c r="J30" s="41">
        <f t="shared" si="3"/>
        <v>1684.98</v>
      </c>
    </row>
    <row r="31" spans="1:10" s="30" customFormat="1" ht="31.7" customHeight="1" outlineLevel="1" x14ac:dyDescent="0.25">
      <c r="A31" s="38">
        <v>14</v>
      </c>
      <c r="B31" s="43" t="s">
        <v>98</v>
      </c>
      <c r="C31" s="44" t="s">
        <v>99</v>
      </c>
      <c r="D31" s="45" t="s">
        <v>77</v>
      </c>
      <c r="E31" s="46">
        <v>1.0327299999999999</v>
      </c>
      <c r="F31" s="47">
        <v>94.05</v>
      </c>
      <c r="G31" s="47">
        <f t="shared" si="2"/>
        <v>97.13</v>
      </c>
      <c r="H31" s="42">
        <f>G31/G43</f>
        <v>1.4565145021638999E-2</v>
      </c>
      <c r="I31" s="41">
        <f>ROUND(F31*'Прил. 10'!$D$11,2)</f>
        <v>1266.8499999999999</v>
      </c>
      <c r="J31" s="41">
        <f t="shared" si="3"/>
        <v>1308.31</v>
      </c>
    </row>
    <row r="32" spans="1:10" s="30" customFormat="1" ht="31.7" customHeight="1" outlineLevel="1" x14ac:dyDescent="0.25">
      <c r="A32" s="38">
        <v>15</v>
      </c>
      <c r="B32" s="43" t="s">
        <v>100</v>
      </c>
      <c r="C32" s="44" t="s">
        <v>101</v>
      </c>
      <c r="D32" s="45" t="s">
        <v>77</v>
      </c>
      <c r="E32" s="46">
        <v>0.42502000000000001</v>
      </c>
      <c r="F32" s="47">
        <v>115.4</v>
      </c>
      <c r="G32" s="47">
        <f t="shared" si="2"/>
        <v>49.05</v>
      </c>
      <c r="H32" s="42">
        <f>G32/G43</f>
        <v>7.3553007650712003E-3</v>
      </c>
      <c r="I32" s="41">
        <f>ROUND(F32*'Прил. 10'!$D$11,2)</f>
        <v>1554.44</v>
      </c>
      <c r="J32" s="41">
        <f t="shared" si="3"/>
        <v>660.67</v>
      </c>
    </row>
    <row r="33" spans="1:10" s="30" customFormat="1" ht="31.7" customHeight="1" outlineLevel="1" x14ac:dyDescent="0.25">
      <c r="A33" s="38">
        <v>16</v>
      </c>
      <c r="B33" s="43" t="s">
        <v>102</v>
      </c>
      <c r="C33" s="44" t="s">
        <v>103</v>
      </c>
      <c r="D33" s="45" t="s">
        <v>77</v>
      </c>
      <c r="E33" s="46">
        <v>4.8869999999999996</v>
      </c>
      <c r="F33" s="47">
        <v>8.1</v>
      </c>
      <c r="G33" s="47">
        <f t="shared" si="2"/>
        <v>39.58</v>
      </c>
      <c r="H33" s="42">
        <f>G33/G43</f>
        <v>5.9352253676151004E-3</v>
      </c>
      <c r="I33" s="41">
        <f>ROUND(F33*'Прил. 10'!$D$11,2)</f>
        <v>109.11</v>
      </c>
      <c r="J33" s="41">
        <f t="shared" si="3"/>
        <v>533.22</v>
      </c>
    </row>
    <row r="34" spans="1:10" s="30" customFormat="1" ht="31.7" customHeight="1" outlineLevel="1" x14ac:dyDescent="0.25">
      <c r="A34" s="38">
        <v>17</v>
      </c>
      <c r="B34" s="43" t="s">
        <v>104</v>
      </c>
      <c r="C34" s="44" t="s">
        <v>105</v>
      </c>
      <c r="D34" s="45" t="s">
        <v>77</v>
      </c>
      <c r="E34" s="46">
        <v>7.8756199999999996</v>
      </c>
      <c r="F34" s="47">
        <v>3.29</v>
      </c>
      <c r="G34" s="47">
        <f t="shared" si="2"/>
        <v>25.91</v>
      </c>
      <c r="H34" s="42">
        <f>G34/G43</f>
        <v>3.8853382838531002E-3</v>
      </c>
      <c r="I34" s="41">
        <f>ROUND(F34*'Прил. 10'!$D$11,2)</f>
        <v>44.32</v>
      </c>
      <c r="J34" s="41">
        <f t="shared" si="3"/>
        <v>349.05</v>
      </c>
    </row>
    <row r="35" spans="1:10" s="30" customFormat="1" ht="47.25" customHeight="1" outlineLevel="1" x14ac:dyDescent="0.25">
      <c r="A35" s="38">
        <v>18</v>
      </c>
      <c r="B35" s="43" t="s">
        <v>106</v>
      </c>
      <c r="C35" s="44" t="s">
        <v>107</v>
      </c>
      <c r="D35" s="45" t="s">
        <v>77</v>
      </c>
      <c r="E35" s="46">
        <v>2.4884499999999998</v>
      </c>
      <c r="F35" s="47">
        <v>6.82</v>
      </c>
      <c r="G35" s="47">
        <f t="shared" si="2"/>
        <v>16.97</v>
      </c>
      <c r="H35" s="42">
        <f>G35/G43</f>
        <v>2.5447391230021999E-3</v>
      </c>
      <c r="I35" s="41">
        <f>ROUND(F35*'Прил. 10'!$D$11,2)</f>
        <v>91.87</v>
      </c>
      <c r="J35" s="41">
        <f t="shared" si="3"/>
        <v>228.61</v>
      </c>
    </row>
    <row r="36" spans="1:10" s="30" customFormat="1" ht="31.7" customHeight="1" outlineLevel="1" x14ac:dyDescent="0.25">
      <c r="A36" s="38">
        <v>19</v>
      </c>
      <c r="B36" s="43" t="s">
        <v>108</v>
      </c>
      <c r="C36" s="44" t="s">
        <v>109</v>
      </c>
      <c r="D36" s="45" t="s">
        <v>77</v>
      </c>
      <c r="E36" s="46">
        <v>2.3640000000000001E-2</v>
      </c>
      <c r="F36" s="47">
        <v>89.54</v>
      </c>
      <c r="G36" s="47">
        <f t="shared" si="2"/>
        <v>2.12</v>
      </c>
      <c r="H36" s="42">
        <f>G36/G43</f>
        <v>3.1790494642101999E-4</v>
      </c>
      <c r="I36" s="41">
        <f>ROUND(F36*'Прил. 10'!$D$11,2)</f>
        <v>1206.0999999999999</v>
      </c>
      <c r="J36" s="41">
        <f t="shared" si="3"/>
        <v>28.51</v>
      </c>
    </row>
    <row r="37" spans="1:10" s="30" customFormat="1" ht="31.7" customHeight="1" outlineLevel="1" x14ac:dyDescent="0.25">
      <c r="A37" s="38">
        <v>20</v>
      </c>
      <c r="B37" s="43" t="s">
        <v>110</v>
      </c>
      <c r="C37" s="44" t="s">
        <v>111</v>
      </c>
      <c r="D37" s="45" t="s">
        <v>77</v>
      </c>
      <c r="E37" s="46">
        <v>0.81640000000000001</v>
      </c>
      <c r="F37" s="47">
        <v>1.7</v>
      </c>
      <c r="G37" s="47">
        <f t="shared" si="2"/>
        <v>1.39</v>
      </c>
      <c r="H37" s="42">
        <f>G37/G43</f>
        <v>2.0843767713453999E-4</v>
      </c>
      <c r="I37" s="41">
        <f>ROUND(F37*'Прил. 10'!$D$11,2)</f>
        <v>22.9</v>
      </c>
      <c r="J37" s="41">
        <f t="shared" si="3"/>
        <v>18.7</v>
      </c>
    </row>
    <row r="38" spans="1:10" s="30" customFormat="1" ht="47.25" customHeight="1" outlineLevel="1" x14ac:dyDescent="0.25">
      <c r="A38" s="38">
        <v>21</v>
      </c>
      <c r="B38" s="43" t="s">
        <v>112</v>
      </c>
      <c r="C38" s="44" t="s">
        <v>113</v>
      </c>
      <c r="D38" s="45" t="s">
        <v>77</v>
      </c>
      <c r="E38" s="46">
        <v>3.0377999999999999E-2</v>
      </c>
      <c r="F38" s="47">
        <v>31.26</v>
      </c>
      <c r="G38" s="47">
        <f t="shared" si="2"/>
        <v>0.95</v>
      </c>
      <c r="H38" s="42">
        <f>G38/G43</f>
        <v>1.4245740523582999E-4</v>
      </c>
      <c r="I38" s="41">
        <f>ROUND(F38*'Прил. 10'!$D$11,2)</f>
        <v>421.07</v>
      </c>
      <c r="J38" s="41">
        <f t="shared" si="3"/>
        <v>12.79</v>
      </c>
    </row>
    <row r="39" spans="1:10" s="30" customFormat="1" ht="15.75" customHeight="1" outlineLevel="1" x14ac:dyDescent="0.25">
      <c r="A39" s="38">
        <v>22</v>
      </c>
      <c r="B39" s="43" t="s">
        <v>114</v>
      </c>
      <c r="C39" s="44" t="s">
        <v>115</v>
      </c>
      <c r="D39" s="45" t="s">
        <v>77</v>
      </c>
      <c r="E39" s="46">
        <v>0.3</v>
      </c>
      <c r="F39" s="47">
        <v>1.2</v>
      </c>
      <c r="G39" s="47">
        <f t="shared" si="2"/>
        <v>0.36</v>
      </c>
      <c r="H39" s="42">
        <f>G39/G43</f>
        <v>5.3983858826211002E-5</v>
      </c>
      <c r="I39" s="41">
        <f>ROUND(F39*'Прил. 10'!$D$11,2)</f>
        <v>16.16</v>
      </c>
      <c r="J39" s="41">
        <f t="shared" si="3"/>
        <v>4.8499999999999996</v>
      </c>
    </row>
    <row r="40" spans="1:10" s="30" customFormat="1" ht="47.25" customHeight="1" outlineLevel="1" x14ac:dyDescent="0.25">
      <c r="A40" s="38">
        <v>23</v>
      </c>
      <c r="B40" s="43" t="s">
        <v>116</v>
      </c>
      <c r="C40" s="44" t="s">
        <v>117</v>
      </c>
      <c r="D40" s="45" t="s">
        <v>77</v>
      </c>
      <c r="E40" s="46">
        <v>0.46500000000000002</v>
      </c>
      <c r="F40" s="47">
        <v>0.55000000000000004</v>
      </c>
      <c r="G40" s="47">
        <f t="shared" si="2"/>
        <v>0.26</v>
      </c>
      <c r="H40" s="42">
        <f>G40/G43</f>
        <v>3.8988342485596998E-5</v>
      </c>
      <c r="I40" s="41">
        <f>ROUND(F40*'Прил. 10'!$D$11,2)</f>
        <v>7.41</v>
      </c>
      <c r="J40" s="41">
        <f t="shared" si="3"/>
        <v>3.45</v>
      </c>
    </row>
    <row r="41" spans="1:10" s="30" customFormat="1" ht="15.75" customHeight="1" outlineLevel="1" x14ac:dyDescent="0.25">
      <c r="A41" s="38">
        <v>24</v>
      </c>
      <c r="B41" s="43" t="s">
        <v>118</v>
      </c>
      <c r="C41" s="44" t="s">
        <v>119</v>
      </c>
      <c r="D41" s="45" t="s">
        <v>77</v>
      </c>
      <c r="E41" s="46">
        <v>0.124806</v>
      </c>
      <c r="F41" s="47">
        <v>0.5</v>
      </c>
      <c r="G41" s="47">
        <f t="shared" si="2"/>
        <v>0.06</v>
      </c>
      <c r="H41" s="42">
        <f>G41/G43</f>
        <v>8.9973098043684998E-6</v>
      </c>
      <c r="I41" s="41">
        <f>ROUND(F41*'Прил. 10'!$D$11,2)</f>
        <v>6.74</v>
      </c>
      <c r="J41" s="41">
        <f t="shared" si="3"/>
        <v>0.84</v>
      </c>
    </row>
    <row r="42" spans="1:10" s="30" customFormat="1" ht="15.75" customHeight="1" x14ac:dyDescent="0.25">
      <c r="A42" s="38"/>
      <c r="B42" s="147" t="s">
        <v>247</v>
      </c>
      <c r="C42" s="147"/>
      <c r="D42" s="147"/>
      <c r="E42" s="147"/>
      <c r="F42" s="152"/>
      <c r="G42" s="41">
        <f>SUM(G27:G41)</f>
        <v>837.2</v>
      </c>
      <c r="H42" s="42">
        <f>SUM(H27:H41)</f>
        <v>0.12554246280362</v>
      </c>
      <c r="I42" s="41"/>
      <c r="J42" s="41">
        <f>SUM(J27:J41)</f>
        <v>11277.19</v>
      </c>
    </row>
    <row r="43" spans="1:10" s="30" customFormat="1" ht="15.75" customHeight="1" x14ac:dyDescent="0.25">
      <c r="A43" s="38"/>
      <c r="B43" s="147" t="s">
        <v>248</v>
      </c>
      <c r="C43" s="148"/>
      <c r="D43" s="147"/>
      <c r="E43" s="147"/>
      <c r="F43" s="152"/>
      <c r="G43" s="41">
        <f>G26+G42</f>
        <v>6668.66</v>
      </c>
      <c r="H43" s="42">
        <f>H26+H42</f>
        <v>1</v>
      </c>
      <c r="I43" s="41"/>
      <c r="J43" s="41">
        <f>J26+J42</f>
        <v>89826.76</v>
      </c>
    </row>
    <row r="44" spans="1:10" s="30" customFormat="1" ht="15.75" customHeight="1" x14ac:dyDescent="0.25">
      <c r="A44" s="48"/>
      <c r="B44" s="158" t="s">
        <v>34</v>
      </c>
      <c r="C44" s="160"/>
      <c r="D44" s="160"/>
      <c r="E44" s="160"/>
      <c r="F44" s="162"/>
      <c r="G44" s="162"/>
      <c r="H44" s="160"/>
      <c r="I44" s="162"/>
      <c r="J44" s="162"/>
    </row>
    <row r="45" spans="1:10" s="30" customFormat="1" ht="15.75" customHeight="1" x14ac:dyDescent="0.25">
      <c r="A45" s="48"/>
      <c r="B45" s="160" t="s">
        <v>249</v>
      </c>
      <c r="C45" s="160"/>
      <c r="D45" s="160"/>
      <c r="E45" s="160"/>
      <c r="F45" s="162"/>
      <c r="G45" s="162"/>
      <c r="H45" s="160"/>
      <c r="I45" s="162"/>
      <c r="J45" s="162"/>
    </row>
    <row r="46" spans="1:10" s="30" customFormat="1" ht="15.75" customHeight="1" outlineLevel="1" x14ac:dyDescent="0.25">
      <c r="A46" s="48"/>
      <c r="B46" s="49"/>
      <c r="C46" s="49" t="s">
        <v>250</v>
      </c>
      <c r="D46" s="49"/>
      <c r="E46" s="50"/>
      <c r="F46" s="51"/>
      <c r="G46" s="51">
        <v>0</v>
      </c>
      <c r="H46" s="49">
        <v>0</v>
      </c>
      <c r="I46" s="51"/>
      <c r="J46" s="51">
        <v>0</v>
      </c>
    </row>
    <row r="47" spans="1:10" s="30" customFormat="1" ht="15.75" customHeight="1" x14ac:dyDescent="0.25">
      <c r="A47" s="48"/>
      <c r="B47" s="160" t="s">
        <v>251</v>
      </c>
      <c r="C47" s="160"/>
      <c r="D47" s="160"/>
      <c r="E47" s="160"/>
      <c r="F47" s="162"/>
      <c r="G47" s="162"/>
      <c r="H47" s="160"/>
      <c r="I47" s="162"/>
      <c r="J47" s="162"/>
    </row>
    <row r="48" spans="1:10" s="30" customFormat="1" ht="15.75" customHeight="1" outlineLevel="1" x14ac:dyDescent="0.25">
      <c r="A48" s="48"/>
      <c r="B48" s="49"/>
      <c r="C48" s="49" t="s">
        <v>252</v>
      </c>
      <c r="D48" s="49"/>
      <c r="E48" s="50"/>
      <c r="F48" s="51"/>
      <c r="G48" s="51">
        <v>0</v>
      </c>
      <c r="H48" s="49">
        <v>0</v>
      </c>
      <c r="I48" s="51"/>
      <c r="J48" s="51">
        <v>0</v>
      </c>
    </row>
    <row r="49" spans="1:10" s="30" customFormat="1" ht="15.75" customHeight="1" outlineLevel="1" x14ac:dyDescent="0.25">
      <c r="A49" s="48"/>
      <c r="B49" s="49"/>
      <c r="C49" s="52" t="s">
        <v>253</v>
      </c>
      <c r="D49" s="49"/>
      <c r="E49" s="50"/>
      <c r="F49" s="51"/>
      <c r="G49" s="51">
        <v>0</v>
      </c>
      <c r="H49" s="49">
        <v>0</v>
      </c>
      <c r="I49" s="51"/>
      <c r="J49" s="51">
        <v>0</v>
      </c>
    </row>
    <row r="50" spans="1:10" s="30" customFormat="1" ht="15.75" customHeight="1" outlineLevel="1" x14ac:dyDescent="0.25">
      <c r="A50" s="48"/>
      <c r="B50" s="49"/>
      <c r="C50" s="49" t="s">
        <v>254</v>
      </c>
      <c r="D50" s="49"/>
      <c r="E50" s="50"/>
      <c r="F50" s="51"/>
      <c r="G50" s="51">
        <v>0</v>
      </c>
      <c r="H50" s="49"/>
      <c r="I50" s="51"/>
      <c r="J50" s="51">
        <v>0</v>
      </c>
    </row>
    <row r="51" spans="1:10" s="30" customFormat="1" ht="15.75" customHeight="1" x14ac:dyDescent="0.25">
      <c r="A51" s="38"/>
      <c r="B51" s="146" t="s">
        <v>120</v>
      </c>
      <c r="C51" s="148"/>
      <c r="D51" s="147"/>
      <c r="E51" s="147"/>
      <c r="F51" s="152"/>
      <c r="G51" s="152"/>
      <c r="H51" s="147"/>
      <c r="I51" s="41"/>
      <c r="J51" s="41"/>
    </row>
    <row r="52" spans="1:10" s="30" customFormat="1" ht="15.75" customHeight="1" x14ac:dyDescent="0.25">
      <c r="A52" s="38"/>
      <c r="B52" s="147" t="s">
        <v>255</v>
      </c>
      <c r="C52" s="148"/>
      <c r="D52" s="147"/>
      <c r="E52" s="147"/>
      <c r="F52" s="152"/>
      <c r="G52" s="152"/>
      <c r="H52" s="147"/>
      <c r="I52" s="41"/>
      <c r="J52" s="41"/>
    </row>
    <row r="53" spans="1:10" s="30" customFormat="1" ht="31.7" customHeight="1" x14ac:dyDescent="0.25">
      <c r="A53" s="38">
        <v>25</v>
      </c>
      <c r="B53" s="43" t="s">
        <v>121</v>
      </c>
      <c r="C53" s="44" t="s">
        <v>122</v>
      </c>
      <c r="D53" s="45" t="s">
        <v>123</v>
      </c>
      <c r="E53" s="46">
        <v>178.09</v>
      </c>
      <c r="F53" s="47">
        <v>265.72000000000003</v>
      </c>
      <c r="G53" s="47">
        <f>ROUND(E53*F53,2)</f>
        <v>47322.07</v>
      </c>
      <c r="H53" s="42">
        <f>G53/G86</f>
        <v>0.53059166680120995</v>
      </c>
      <c r="I53" s="41">
        <f>ROUND(F53*'Прил. 10'!$D$12,2)</f>
        <v>2136.39</v>
      </c>
      <c r="J53" s="41">
        <f>ROUND(E53*I53,2)</f>
        <v>380469.7</v>
      </c>
    </row>
    <row r="54" spans="1:10" s="30" customFormat="1" ht="31.7" customHeight="1" x14ac:dyDescent="0.25">
      <c r="A54" s="38">
        <v>26</v>
      </c>
      <c r="B54" s="43" t="s">
        <v>124</v>
      </c>
      <c r="C54" s="44" t="s">
        <v>125</v>
      </c>
      <c r="D54" s="45" t="s">
        <v>126</v>
      </c>
      <c r="E54" s="46">
        <v>1.57</v>
      </c>
      <c r="F54" s="47">
        <v>16884.59</v>
      </c>
      <c r="G54" s="47">
        <f>ROUND(E54*F54,2)</f>
        <v>26508.81</v>
      </c>
      <c r="H54" s="42">
        <f>G54/G86</f>
        <v>0.29722608674591999</v>
      </c>
      <c r="I54" s="41">
        <f>ROUND(F54*'Прил. 10'!$D$12,2)</f>
        <v>135752.1</v>
      </c>
      <c r="J54" s="41">
        <f>ROUND(E54*I54,2)</f>
        <v>213130.8</v>
      </c>
    </row>
    <row r="55" spans="1:10" s="30" customFormat="1" ht="31.7" customHeight="1" x14ac:dyDescent="0.25">
      <c r="A55" s="38">
        <v>27</v>
      </c>
      <c r="B55" s="43" t="s">
        <v>127</v>
      </c>
      <c r="C55" s="44" t="s">
        <v>128</v>
      </c>
      <c r="D55" s="45" t="s">
        <v>123</v>
      </c>
      <c r="E55" s="46">
        <v>68.31</v>
      </c>
      <c r="F55" s="47">
        <v>70.599999999999994</v>
      </c>
      <c r="G55" s="47">
        <f>ROUND(E55*F55,2)</f>
        <v>4822.6899999999996</v>
      </c>
      <c r="H55" s="42">
        <f>G55/G86</f>
        <v>5.4073693850788002E-2</v>
      </c>
      <c r="I55" s="41">
        <f>ROUND(F55*'Прил. 10'!$D$12,2)</f>
        <v>567.62</v>
      </c>
      <c r="J55" s="41">
        <f>ROUND(E55*I55,2)</f>
        <v>38774.120000000003</v>
      </c>
    </row>
    <row r="56" spans="1:10" s="30" customFormat="1" ht="15.75" customHeight="1" x14ac:dyDescent="0.25">
      <c r="A56" s="38"/>
      <c r="B56" s="161" t="s">
        <v>256</v>
      </c>
      <c r="C56" s="147"/>
      <c r="D56" s="147"/>
      <c r="E56" s="147"/>
      <c r="F56" s="152"/>
      <c r="G56" s="47">
        <f>SUM(G53:G55)</f>
        <v>78653.570000000007</v>
      </c>
      <c r="H56" s="42">
        <f>SUM(H53:H55)</f>
        <v>0.88189144739793002</v>
      </c>
      <c r="I56" s="41"/>
      <c r="J56" s="41">
        <f>SUM(J53:J55)</f>
        <v>632374.62</v>
      </c>
    </row>
    <row r="57" spans="1:10" s="30" customFormat="1" ht="204.75" customHeight="1" outlineLevel="1" x14ac:dyDescent="0.25">
      <c r="A57" s="38">
        <v>28</v>
      </c>
      <c r="B57" s="43" t="s">
        <v>129</v>
      </c>
      <c r="C57" s="44" t="s">
        <v>130</v>
      </c>
      <c r="D57" s="45" t="s">
        <v>131</v>
      </c>
      <c r="E57" s="46">
        <v>67.117500000000007</v>
      </c>
      <c r="F57" s="47">
        <v>48.65</v>
      </c>
      <c r="G57" s="47">
        <f t="shared" ref="G57:G84" si="4">ROUND(E57*F57,2)</f>
        <v>3265.27</v>
      </c>
      <c r="H57" s="42">
        <f>G57/G86</f>
        <v>3.6611353895888002E-2</v>
      </c>
      <c r="I57" s="41">
        <f>ROUND(F57*'Прил. 10'!$D$12,2)</f>
        <v>391.15</v>
      </c>
      <c r="J57" s="41">
        <f t="shared" ref="J57:J84" si="5">ROUND(E57*I57,2)</f>
        <v>26253.01</v>
      </c>
    </row>
    <row r="58" spans="1:10" s="30" customFormat="1" ht="63" customHeight="1" outlineLevel="1" x14ac:dyDescent="0.25">
      <c r="A58" s="38">
        <v>29</v>
      </c>
      <c r="B58" s="43" t="s">
        <v>132</v>
      </c>
      <c r="C58" s="44" t="s">
        <v>133</v>
      </c>
      <c r="D58" s="45" t="s">
        <v>134</v>
      </c>
      <c r="E58" s="46">
        <v>31.856000000000002</v>
      </c>
      <c r="F58" s="47">
        <v>90.15</v>
      </c>
      <c r="G58" s="47">
        <f t="shared" si="4"/>
        <v>2871.82</v>
      </c>
      <c r="H58" s="42">
        <f>G58/G86</f>
        <v>3.2199854329133998E-2</v>
      </c>
      <c r="I58" s="41">
        <f>ROUND(F58*'Прил. 10'!$D$12,2)</f>
        <v>724.81</v>
      </c>
      <c r="J58" s="41">
        <f t="shared" si="5"/>
        <v>23089.55</v>
      </c>
    </row>
    <row r="59" spans="1:10" s="30" customFormat="1" ht="15.75" customHeight="1" outlineLevel="1" x14ac:dyDescent="0.25">
      <c r="A59" s="38">
        <v>30</v>
      </c>
      <c r="B59" s="43" t="s">
        <v>135</v>
      </c>
      <c r="C59" s="44" t="s">
        <v>136</v>
      </c>
      <c r="D59" s="45" t="s">
        <v>126</v>
      </c>
      <c r="E59" s="46">
        <v>0.38072499999999998</v>
      </c>
      <c r="F59" s="47">
        <v>6617</v>
      </c>
      <c r="G59" s="47">
        <f t="shared" si="4"/>
        <v>2519.2600000000002</v>
      </c>
      <c r="H59" s="42">
        <f>G59/G86</f>
        <v>2.8246827801608001E-2</v>
      </c>
      <c r="I59" s="41">
        <f>ROUND(F59*'Прил. 10'!$D$12,2)</f>
        <v>53200.68</v>
      </c>
      <c r="J59" s="41">
        <f t="shared" si="5"/>
        <v>20254.830000000002</v>
      </c>
    </row>
    <row r="60" spans="1:10" s="30" customFormat="1" ht="31.7" customHeight="1" outlineLevel="1" x14ac:dyDescent="0.25">
      <c r="A60" s="38">
        <v>31</v>
      </c>
      <c r="B60" s="43" t="s">
        <v>137</v>
      </c>
      <c r="C60" s="44" t="s">
        <v>138</v>
      </c>
      <c r="D60" s="45" t="s">
        <v>139</v>
      </c>
      <c r="E60" s="46">
        <v>2.8</v>
      </c>
      <c r="F60" s="47">
        <v>266.67</v>
      </c>
      <c r="G60" s="47">
        <f t="shared" si="4"/>
        <v>746.68</v>
      </c>
      <c r="H60" s="42">
        <f>G60/G86</f>
        <v>8.3720383695626999E-3</v>
      </c>
      <c r="I60" s="41">
        <f>ROUND(F60*'Прил. 10'!$D$12,2)</f>
        <v>2144.0300000000002</v>
      </c>
      <c r="J60" s="41">
        <f t="shared" si="5"/>
        <v>6003.28</v>
      </c>
    </row>
    <row r="61" spans="1:10" s="30" customFormat="1" ht="15.75" customHeight="1" outlineLevel="1" x14ac:dyDescent="0.25">
      <c r="A61" s="38">
        <v>32</v>
      </c>
      <c r="B61" s="43" t="s">
        <v>140</v>
      </c>
      <c r="C61" s="44" t="s">
        <v>141</v>
      </c>
      <c r="D61" s="45" t="s">
        <v>131</v>
      </c>
      <c r="E61" s="46">
        <v>30.5</v>
      </c>
      <c r="F61" s="47">
        <v>12.6</v>
      </c>
      <c r="G61" s="47">
        <f t="shared" si="4"/>
        <v>384.3</v>
      </c>
      <c r="H61" s="42">
        <f>G61/G86</f>
        <v>4.3089065535744002E-3</v>
      </c>
      <c r="I61" s="41">
        <f>ROUND(F61*'Прил. 10'!$D$12,2)</f>
        <v>101.3</v>
      </c>
      <c r="J61" s="41">
        <f t="shared" si="5"/>
        <v>3089.65</v>
      </c>
    </row>
    <row r="62" spans="1:10" s="30" customFormat="1" ht="15.75" customHeight="1" outlineLevel="1" x14ac:dyDescent="0.25">
      <c r="A62" s="38">
        <v>33</v>
      </c>
      <c r="B62" s="43" t="s">
        <v>142</v>
      </c>
      <c r="C62" s="44" t="s">
        <v>143</v>
      </c>
      <c r="D62" s="45" t="s">
        <v>126</v>
      </c>
      <c r="E62" s="46">
        <v>2.512E-2</v>
      </c>
      <c r="F62" s="47">
        <v>4488.3999999999996</v>
      </c>
      <c r="G62" s="47">
        <f t="shared" si="4"/>
        <v>112.75</v>
      </c>
      <c r="H62" s="42">
        <f>G62/G86</f>
        <v>1.2641925941075001E-3</v>
      </c>
      <c r="I62" s="41">
        <f>ROUND(F62*'Прил. 10'!$D$12,2)</f>
        <v>36086.74</v>
      </c>
      <c r="J62" s="41">
        <f t="shared" si="5"/>
        <v>906.5</v>
      </c>
    </row>
    <row r="63" spans="1:10" s="30" customFormat="1" ht="78.75" customHeight="1" outlineLevel="1" x14ac:dyDescent="0.25">
      <c r="A63" s="38">
        <v>34</v>
      </c>
      <c r="B63" s="43" t="s">
        <v>144</v>
      </c>
      <c r="C63" s="44" t="s">
        <v>145</v>
      </c>
      <c r="D63" s="45" t="s">
        <v>126</v>
      </c>
      <c r="E63" s="46">
        <v>1.5928000000000001E-2</v>
      </c>
      <c r="F63" s="47">
        <v>7008.5</v>
      </c>
      <c r="G63" s="47">
        <f t="shared" si="4"/>
        <v>111.63</v>
      </c>
      <c r="H63" s="42">
        <f>G63/G86</f>
        <v>1.2516347608001999E-3</v>
      </c>
      <c r="I63" s="41">
        <f>ROUND(F63*'Прил. 10'!$D$12,2)</f>
        <v>56348.34</v>
      </c>
      <c r="J63" s="41">
        <f t="shared" si="5"/>
        <v>897.52</v>
      </c>
    </row>
    <row r="64" spans="1:10" s="30" customFormat="1" ht="15.75" customHeight="1" outlineLevel="1" x14ac:dyDescent="0.25">
      <c r="A64" s="38">
        <v>35</v>
      </c>
      <c r="B64" s="43" t="s">
        <v>146</v>
      </c>
      <c r="C64" s="44" t="s">
        <v>147</v>
      </c>
      <c r="D64" s="45" t="s">
        <v>131</v>
      </c>
      <c r="E64" s="46">
        <v>9.42</v>
      </c>
      <c r="F64" s="47">
        <v>9.42</v>
      </c>
      <c r="G64" s="47">
        <f t="shared" si="4"/>
        <v>88.74</v>
      </c>
      <c r="H64" s="42">
        <f>G64/G86</f>
        <v>9.9498404258181999E-4</v>
      </c>
      <c r="I64" s="41">
        <f>ROUND(F64*'Прил. 10'!$D$12,2)</f>
        <v>75.739999999999995</v>
      </c>
      <c r="J64" s="41">
        <f t="shared" si="5"/>
        <v>713.47</v>
      </c>
    </row>
    <row r="65" spans="1:10" s="30" customFormat="1" ht="31.7" customHeight="1" outlineLevel="1" x14ac:dyDescent="0.25">
      <c r="A65" s="38">
        <v>36</v>
      </c>
      <c r="B65" s="43" t="s">
        <v>148</v>
      </c>
      <c r="C65" s="44" t="s">
        <v>149</v>
      </c>
      <c r="D65" s="45" t="s">
        <v>126</v>
      </c>
      <c r="E65" s="46">
        <v>6.7999999999999996E-3</v>
      </c>
      <c r="F65" s="47">
        <v>11524</v>
      </c>
      <c r="G65" s="47">
        <f t="shared" si="4"/>
        <v>78.36</v>
      </c>
      <c r="H65" s="42">
        <f>G65/G86</f>
        <v>8.7859983746576002E-4</v>
      </c>
      <c r="I65" s="41">
        <f>ROUND(F65*'Прил. 10'!$D$12,2)</f>
        <v>92652.96</v>
      </c>
      <c r="J65" s="41">
        <f t="shared" si="5"/>
        <v>630.04</v>
      </c>
    </row>
    <row r="66" spans="1:10" s="30" customFormat="1" ht="31.7" customHeight="1" outlineLevel="1" x14ac:dyDescent="0.25">
      <c r="A66" s="38">
        <v>37</v>
      </c>
      <c r="B66" s="43" t="s">
        <v>150</v>
      </c>
      <c r="C66" s="44" t="s">
        <v>151</v>
      </c>
      <c r="D66" s="45" t="s">
        <v>126</v>
      </c>
      <c r="E66" s="46">
        <v>1.2330000000000001E-2</v>
      </c>
      <c r="F66" s="47">
        <v>5500</v>
      </c>
      <c r="G66" s="47">
        <f t="shared" si="4"/>
        <v>67.819999999999993</v>
      </c>
      <c r="H66" s="42">
        <f>G66/G86</f>
        <v>7.6042165616294001E-4</v>
      </c>
      <c r="I66" s="41">
        <f>ROUND(F66*'Прил. 10'!$D$12,2)</f>
        <v>44220</v>
      </c>
      <c r="J66" s="41">
        <f t="shared" si="5"/>
        <v>545.23</v>
      </c>
    </row>
    <row r="67" spans="1:10" s="30" customFormat="1" ht="31.7" customHeight="1" outlineLevel="1" x14ac:dyDescent="0.25">
      <c r="A67" s="38">
        <v>38</v>
      </c>
      <c r="B67" s="43" t="s">
        <v>152</v>
      </c>
      <c r="C67" s="44" t="s">
        <v>153</v>
      </c>
      <c r="D67" s="45" t="s">
        <v>123</v>
      </c>
      <c r="E67" s="46">
        <v>0.112</v>
      </c>
      <c r="F67" s="47">
        <v>560</v>
      </c>
      <c r="G67" s="47">
        <f t="shared" si="4"/>
        <v>62.72</v>
      </c>
      <c r="H67" s="42">
        <f>G67/G86</f>
        <v>7.0323866520996005E-4</v>
      </c>
      <c r="I67" s="41">
        <f>ROUND(F67*'Прил. 10'!$D$12,2)</f>
        <v>4502.3999999999996</v>
      </c>
      <c r="J67" s="41">
        <f t="shared" si="5"/>
        <v>504.27</v>
      </c>
    </row>
    <row r="68" spans="1:10" s="30" customFormat="1" ht="31.7" customHeight="1" outlineLevel="1" x14ac:dyDescent="0.25">
      <c r="A68" s="38">
        <v>39</v>
      </c>
      <c r="B68" s="43" t="s">
        <v>154</v>
      </c>
      <c r="C68" s="44" t="s">
        <v>155</v>
      </c>
      <c r="D68" s="45" t="s">
        <v>123</v>
      </c>
      <c r="E68" s="46">
        <v>0.5</v>
      </c>
      <c r="F68" s="47">
        <v>98.6</v>
      </c>
      <c r="G68" s="47">
        <f t="shared" si="4"/>
        <v>49.3</v>
      </c>
      <c r="H68" s="42">
        <f>G68/G86</f>
        <v>5.5276891254545004E-4</v>
      </c>
      <c r="I68" s="41">
        <f>ROUND(F68*'Прил. 10'!$D$12,2)</f>
        <v>792.74</v>
      </c>
      <c r="J68" s="41">
        <f t="shared" si="5"/>
        <v>396.37</v>
      </c>
    </row>
    <row r="69" spans="1:10" s="30" customFormat="1" ht="47.25" customHeight="1" outlineLevel="1" x14ac:dyDescent="0.25">
      <c r="A69" s="38">
        <v>40</v>
      </c>
      <c r="B69" s="43" t="s">
        <v>156</v>
      </c>
      <c r="C69" s="44" t="s">
        <v>157</v>
      </c>
      <c r="D69" s="45" t="s">
        <v>131</v>
      </c>
      <c r="E69" s="46">
        <v>2.8</v>
      </c>
      <c r="F69" s="47">
        <v>15.14</v>
      </c>
      <c r="G69" s="47">
        <f t="shared" si="4"/>
        <v>42.39</v>
      </c>
      <c r="H69" s="42">
        <f>G69/G86</f>
        <v>4.7529156597975002E-4</v>
      </c>
      <c r="I69" s="41">
        <f>ROUND(F69*'Прил. 10'!$D$12,2)</f>
        <v>121.73</v>
      </c>
      <c r="J69" s="41">
        <f t="shared" si="5"/>
        <v>340.84</v>
      </c>
    </row>
    <row r="70" spans="1:10" s="30" customFormat="1" ht="15.75" customHeight="1" outlineLevel="1" x14ac:dyDescent="0.25">
      <c r="A70" s="38">
        <v>41</v>
      </c>
      <c r="B70" s="43" t="s">
        <v>158</v>
      </c>
      <c r="C70" s="44" t="s">
        <v>159</v>
      </c>
      <c r="D70" s="45" t="s">
        <v>123</v>
      </c>
      <c r="E70" s="46">
        <v>10.6881</v>
      </c>
      <c r="F70" s="47">
        <v>2.44</v>
      </c>
      <c r="G70" s="47">
        <f t="shared" si="4"/>
        <v>26.08</v>
      </c>
      <c r="H70" s="42">
        <f>G70/G86</f>
        <v>2.9241811844190002E-4</v>
      </c>
      <c r="I70" s="41">
        <f>ROUND(F70*'Прил. 10'!$D$12,2)</f>
        <v>19.62</v>
      </c>
      <c r="J70" s="41">
        <f t="shared" si="5"/>
        <v>209.7</v>
      </c>
    </row>
    <row r="71" spans="1:10" s="30" customFormat="1" ht="15.75" customHeight="1" outlineLevel="1" x14ac:dyDescent="0.25">
      <c r="A71" s="38">
        <v>42</v>
      </c>
      <c r="B71" s="43" t="s">
        <v>160</v>
      </c>
      <c r="C71" s="44" t="s">
        <v>161</v>
      </c>
      <c r="D71" s="45" t="s">
        <v>123</v>
      </c>
      <c r="E71" s="46">
        <v>3.6</v>
      </c>
      <c r="F71" s="47">
        <v>6.22</v>
      </c>
      <c r="G71" s="47">
        <f t="shared" si="4"/>
        <v>22.39</v>
      </c>
      <c r="H71" s="42">
        <f>G71/G86</f>
        <v>2.5104454263474E-4</v>
      </c>
      <c r="I71" s="41">
        <f>ROUND(F71*'Прил. 10'!$D$12,2)</f>
        <v>50.01</v>
      </c>
      <c r="J71" s="41">
        <f t="shared" si="5"/>
        <v>180.04</v>
      </c>
    </row>
    <row r="72" spans="1:10" s="30" customFormat="1" ht="47.25" customHeight="1" outlineLevel="1" x14ac:dyDescent="0.25">
      <c r="A72" s="38">
        <v>43</v>
      </c>
      <c r="B72" s="43" t="s">
        <v>162</v>
      </c>
      <c r="C72" s="44" t="s">
        <v>163</v>
      </c>
      <c r="D72" s="45" t="s">
        <v>164</v>
      </c>
      <c r="E72" s="46">
        <v>16.343</v>
      </c>
      <c r="F72" s="47">
        <v>1</v>
      </c>
      <c r="G72" s="47">
        <f t="shared" si="4"/>
        <v>16.34</v>
      </c>
      <c r="H72" s="42">
        <f>G72/G86</f>
        <v>1.8320981807287001E-4</v>
      </c>
      <c r="I72" s="41">
        <f>ROUND(F72*'Прил. 10'!$D$12,2)</f>
        <v>8.0399999999999991</v>
      </c>
      <c r="J72" s="41">
        <f t="shared" si="5"/>
        <v>131.4</v>
      </c>
    </row>
    <row r="73" spans="1:10" s="30" customFormat="1" ht="31.7" customHeight="1" outlineLevel="1" x14ac:dyDescent="0.25">
      <c r="A73" s="38">
        <v>44</v>
      </c>
      <c r="B73" s="43" t="s">
        <v>165</v>
      </c>
      <c r="C73" s="44" t="s">
        <v>166</v>
      </c>
      <c r="D73" s="45" t="s">
        <v>131</v>
      </c>
      <c r="E73" s="46">
        <v>0.06</v>
      </c>
      <c r="F73" s="47">
        <v>238.48</v>
      </c>
      <c r="G73" s="47">
        <f t="shared" si="4"/>
        <v>14.31</v>
      </c>
      <c r="H73" s="42">
        <f>G73/G86</f>
        <v>1.6044874520336E-4</v>
      </c>
      <c r="I73" s="41">
        <f>ROUND(F73*'Прил. 10'!$D$12,2)</f>
        <v>1917.38</v>
      </c>
      <c r="J73" s="41">
        <f t="shared" si="5"/>
        <v>115.04</v>
      </c>
    </row>
    <row r="74" spans="1:10" s="30" customFormat="1" ht="31.7" customHeight="1" outlineLevel="1" x14ac:dyDescent="0.25">
      <c r="A74" s="38">
        <v>45</v>
      </c>
      <c r="B74" s="43" t="s">
        <v>167</v>
      </c>
      <c r="C74" s="44" t="s">
        <v>168</v>
      </c>
      <c r="D74" s="45" t="s">
        <v>126</v>
      </c>
      <c r="E74" s="46">
        <v>1.1096999999999999E-3</v>
      </c>
      <c r="F74" s="47">
        <v>9424</v>
      </c>
      <c r="G74" s="47">
        <f t="shared" si="4"/>
        <v>10.46</v>
      </c>
      <c r="H74" s="42">
        <f>G74/G86</f>
        <v>1.1728119320944E-4</v>
      </c>
      <c r="I74" s="41">
        <f>ROUND(F74*'Прил. 10'!$D$12,2)</f>
        <v>75768.960000000006</v>
      </c>
      <c r="J74" s="41">
        <f t="shared" si="5"/>
        <v>84.08</v>
      </c>
    </row>
    <row r="75" spans="1:10" s="30" customFormat="1" ht="15.75" customHeight="1" outlineLevel="1" x14ac:dyDescent="0.25">
      <c r="A75" s="38">
        <v>46</v>
      </c>
      <c r="B75" s="43" t="s">
        <v>169</v>
      </c>
      <c r="C75" s="44" t="s">
        <v>170</v>
      </c>
      <c r="D75" s="45" t="s">
        <v>126</v>
      </c>
      <c r="E75" s="46">
        <v>1.0204999999999999E-3</v>
      </c>
      <c r="F75" s="47">
        <v>7640</v>
      </c>
      <c r="G75" s="47">
        <f t="shared" si="4"/>
        <v>7.8</v>
      </c>
      <c r="H75" s="42">
        <f>G75/G86</f>
        <v>8.7456339104554994E-5</v>
      </c>
      <c r="I75" s="41">
        <f>ROUND(F75*'Прил. 10'!$D$12,2)</f>
        <v>61425.599999999999</v>
      </c>
      <c r="J75" s="41">
        <f t="shared" si="5"/>
        <v>62.68</v>
      </c>
    </row>
    <row r="76" spans="1:10" s="30" customFormat="1" ht="31.7" customHeight="1" outlineLevel="1" x14ac:dyDescent="0.25">
      <c r="A76" s="38">
        <v>47</v>
      </c>
      <c r="B76" s="43" t="s">
        <v>171</v>
      </c>
      <c r="C76" s="44" t="s">
        <v>172</v>
      </c>
      <c r="D76" s="45" t="s">
        <v>123</v>
      </c>
      <c r="E76" s="46">
        <v>0.05</v>
      </c>
      <c r="F76" s="47">
        <v>145.80000000000001</v>
      </c>
      <c r="G76" s="47">
        <f t="shared" si="4"/>
        <v>7.29</v>
      </c>
      <c r="H76" s="42">
        <f>G76/G86</f>
        <v>8.1738040009256998E-5</v>
      </c>
      <c r="I76" s="41">
        <f>ROUND(F76*'Прил. 10'!$D$12,2)</f>
        <v>1172.23</v>
      </c>
      <c r="J76" s="41">
        <f t="shared" si="5"/>
        <v>58.61</v>
      </c>
    </row>
    <row r="77" spans="1:10" s="30" customFormat="1" ht="15.75" customHeight="1" outlineLevel="1" x14ac:dyDescent="0.25">
      <c r="A77" s="38">
        <v>48</v>
      </c>
      <c r="B77" s="43" t="s">
        <v>173</v>
      </c>
      <c r="C77" s="44" t="s">
        <v>174</v>
      </c>
      <c r="D77" s="45" t="s">
        <v>131</v>
      </c>
      <c r="E77" s="46">
        <v>3.9249999999999998</v>
      </c>
      <c r="F77" s="47">
        <v>1.82</v>
      </c>
      <c r="G77" s="47">
        <f t="shared" si="4"/>
        <v>7.14</v>
      </c>
      <c r="H77" s="42">
        <f>G77/G86</f>
        <v>8.0056187334169004E-5</v>
      </c>
      <c r="I77" s="41">
        <f>ROUND(F77*'Прил. 10'!$D$12,2)</f>
        <v>14.63</v>
      </c>
      <c r="J77" s="41">
        <f t="shared" si="5"/>
        <v>57.42</v>
      </c>
    </row>
    <row r="78" spans="1:10" s="30" customFormat="1" ht="63" customHeight="1" outlineLevel="1" x14ac:dyDescent="0.25">
      <c r="A78" s="38">
        <v>49</v>
      </c>
      <c r="B78" s="43" t="s">
        <v>175</v>
      </c>
      <c r="C78" s="44" t="s">
        <v>176</v>
      </c>
      <c r="D78" s="45" t="s">
        <v>177</v>
      </c>
      <c r="E78" s="46">
        <v>1.2330000000000001E-2</v>
      </c>
      <c r="F78" s="47">
        <v>521.53</v>
      </c>
      <c r="G78" s="47">
        <f t="shared" si="4"/>
        <v>6.43</v>
      </c>
      <c r="H78" s="42">
        <f>G78/G86</f>
        <v>7.2095418005421001E-5</v>
      </c>
      <c r="I78" s="41">
        <f>ROUND(F78*'Прил. 10'!$D$12,2)</f>
        <v>4193.1000000000004</v>
      </c>
      <c r="J78" s="41">
        <f t="shared" si="5"/>
        <v>51.7</v>
      </c>
    </row>
    <row r="79" spans="1:10" s="30" customFormat="1" ht="31.7" customHeight="1" outlineLevel="1" x14ac:dyDescent="0.25">
      <c r="A79" s="38">
        <v>50</v>
      </c>
      <c r="B79" s="43" t="s">
        <v>178</v>
      </c>
      <c r="C79" s="44" t="s">
        <v>179</v>
      </c>
      <c r="D79" s="45" t="s">
        <v>123</v>
      </c>
      <c r="E79" s="46">
        <v>4.4999999999999998E-2</v>
      </c>
      <c r="F79" s="47">
        <v>118.6</v>
      </c>
      <c r="G79" s="47">
        <f t="shared" si="4"/>
        <v>5.34</v>
      </c>
      <c r="H79" s="42">
        <f>G79/G86</f>
        <v>5.9873955233118002E-5</v>
      </c>
      <c r="I79" s="41">
        <f>ROUND(F79*'Прил. 10'!$D$12,2)</f>
        <v>953.54</v>
      </c>
      <c r="J79" s="41">
        <f t="shared" si="5"/>
        <v>42.91</v>
      </c>
    </row>
    <row r="80" spans="1:10" s="30" customFormat="1" ht="47.25" customHeight="1" outlineLevel="1" x14ac:dyDescent="0.25">
      <c r="A80" s="38">
        <v>51</v>
      </c>
      <c r="B80" s="43" t="s">
        <v>180</v>
      </c>
      <c r="C80" s="44" t="s">
        <v>181</v>
      </c>
      <c r="D80" s="45" t="s">
        <v>123</v>
      </c>
      <c r="E80" s="46">
        <v>5.5E-2</v>
      </c>
      <c r="F80" s="47">
        <v>60.12</v>
      </c>
      <c r="G80" s="47">
        <f t="shared" si="4"/>
        <v>3.31</v>
      </c>
      <c r="H80" s="42">
        <f>G80/G86</f>
        <v>3.7112882363599998E-5</v>
      </c>
      <c r="I80" s="41">
        <f>ROUND(F80*'Прил. 10'!$D$12,2)</f>
        <v>483.36</v>
      </c>
      <c r="J80" s="41">
        <f t="shared" si="5"/>
        <v>26.58</v>
      </c>
    </row>
    <row r="81" spans="1:10" s="30" customFormat="1" ht="31.7" customHeight="1" outlineLevel="1" x14ac:dyDescent="0.25">
      <c r="A81" s="38">
        <v>52</v>
      </c>
      <c r="B81" s="43" t="s">
        <v>182</v>
      </c>
      <c r="C81" s="44" t="s">
        <v>183</v>
      </c>
      <c r="D81" s="45" t="s">
        <v>123</v>
      </c>
      <c r="E81" s="46">
        <v>2.3640000000000001E-2</v>
      </c>
      <c r="F81" s="47">
        <v>108.4</v>
      </c>
      <c r="G81" s="47">
        <f t="shared" si="4"/>
        <v>2.56</v>
      </c>
      <c r="H81" s="42">
        <f>G81/G86</f>
        <v>2.8703618988161999E-5</v>
      </c>
      <c r="I81" s="41">
        <f>ROUND(F81*'Прил. 10'!$D$12,2)</f>
        <v>871.54</v>
      </c>
      <c r="J81" s="41">
        <f t="shared" si="5"/>
        <v>20.6</v>
      </c>
    </row>
    <row r="82" spans="1:10" s="30" customFormat="1" ht="15.75" customHeight="1" outlineLevel="1" x14ac:dyDescent="0.25">
      <c r="A82" s="38">
        <v>53</v>
      </c>
      <c r="B82" s="43" t="s">
        <v>184</v>
      </c>
      <c r="C82" s="44" t="s">
        <v>185</v>
      </c>
      <c r="D82" s="45" t="s">
        <v>131</v>
      </c>
      <c r="E82" s="46">
        <v>0.4</v>
      </c>
      <c r="F82" s="47">
        <v>6.09</v>
      </c>
      <c r="G82" s="47">
        <f t="shared" si="4"/>
        <v>2.44</v>
      </c>
      <c r="H82" s="42">
        <f>G82/G86</f>
        <v>2.7358136848091E-5</v>
      </c>
      <c r="I82" s="41">
        <f>ROUND(F82*'Прил. 10'!$D$12,2)</f>
        <v>48.96</v>
      </c>
      <c r="J82" s="41">
        <f t="shared" si="5"/>
        <v>19.579999999999998</v>
      </c>
    </row>
    <row r="83" spans="1:10" s="30" customFormat="1" ht="47.25" customHeight="1" outlineLevel="1" x14ac:dyDescent="0.25">
      <c r="A83" s="38">
        <v>54</v>
      </c>
      <c r="B83" s="43" t="s">
        <v>186</v>
      </c>
      <c r="C83" s="44" t="s">
        <v>187</v>
      </c>
      <c r="D83" s="45" t="s">
        <v>126</v>
      </c>
      <c r="E83" s="46">
        <v>1.2E-4</v>
      </c>
      <c r="F83" s="47">
        <v>5763</v>
      </c>
      <c r="G83" s="47">
        <f t="shared" si="4"/>
        <v>0.69</v>
      </c>
      <c r="H83" s="42">
        <f>G83/G86</f>
        <v>7.7365223054029008E-6</v>
      </c>
      <c r="I83" s="41">
        <f>ROUND(F83*'Прил. 10'!$D$12,2)</f>
        <v>46334.52</v>
      </c>
      <c r="J83" s="41">
        <f t="shared" si="5"/>
        <v>5.56</v>
      </c>
    </row>
    <row r="84" spans="1:10" s="30" customFormat="1" ht="31.7" customHeight="1" outlineLevel="1" x14ac:dyDescent="0.25">
      <c r="A84" s="38">
        <v>55</v>
      </c>
      <c r="B84" s="43" t="s">
        <v>188</v>
      </c>
      <c r="C84" s="44" t="s">
        <v>189</v>
      </c>
      <c r="D84" s="45" t="s">
        <v>131</v>
      </c>
      <c r="E84" s="46">
        <v>1.6500000000000001E-2</v>
      </c>
      <c r="F84" s="47">
        <v>10.57</v>
      </c>
      <c r="G84" s="47">
        <f t="shared" si="4"/>
        <v>0.17</v>
      </c>
      <c r="H84" s="42">
        <f>G84/G86</f>
        <v>1.9060996984326001E-6</v>
      </c>
      <c r="I84" s="41">
        <f>ROUND(F84*'Прил. 10'!$D$12,2)</f>
        <v>84.98</v>
      </c>
      <c r="J84" s="41">
        <f t="shared" si="5"/>
        <v>1.4</v>
      </c>
    </row>
    <row r="85" spans="1:10" s="30" customFormat="1" ht="15.75" customHeight="1" x14ac:dyDescent="0.25">
      <c r="A85" s="38"/>
      <c r="B85" s="147" t="s">
        <v>257</v>
      </c>
      <c r="C85" s="147"/>
      <c r="D85" s="147"/>
      <c r="E85" s="147"/>
      <c r="F85" s="152"/>
      <c r="G85" s="41">
        <f>SUM(G57:G84)</f>
        <v>10533.79</v>
      </c>
      <c r="H85" s="42">
        <f>SUM(H57:H84)</f>
        <v>0.11810855260207</v>
      </c>
      <c r="I85" s="41"/>
      <c r="J85" s="41">
        <f>SUM(J57:J84)</f>
        <v>84691.86</v>
      </c>
    </row>
    <row r="86" spans="1:10" s="30" customFormat="1" ht="15.75" customHeight="1" x14ac:dyDescent="0.25">
      <c r="A86" s="38"/>
      <c r="B86" s="147" t="s">
        <v>258</v>
      </c>
      <c r="C86" s="148"/>
      <c r="D86" s="147"/>
      <c r="E86" s="147"/>
      <c r="F86" s="152"/>
      <c r="G86" s="41">
        <f>G56+G85</f>
        <v>89187.36</v>
      </c>
      <c r="H86" s="42">
        <f>H56+H85</f>
        <v>1</v>
      </c>
      <c r="I86" s="41"/>
      <c r="J86" s="41">
        <f>J56+J85</f>
        <v>717066.48</v>
      </c>
    </row>
    <row r="87" spans="1:10" s="30" customFormat="1" ht="15.75" customHeight="1" x14ac:dyDescent="0.25">
      <c r="A87" s="53"/>
      <c r="B87" s="54"/>
      <c r="C87" s="55" t="s">
        <v>259</v>
      </c>
      <c r="D87" s="54"/>
      <c r="E87" s="56"/>
      <c r="F87" s="57"/>
      <c r="G87" s="57">
        <f>+G14+G43+G86</f>
        <v>98137.29</v>
      </c>
      <c r="H87" s="58"/>
      <c r="I87" s="59"/>
      <c r="J87" s="57">
        <f>+J14+J43+J86</f>
        <v>907929.49</v>
      </c>
    </row>
    <row r="88" spans="1:10" s="30" customFormat="1" ht="15.75" customHeight="1" x14ac:dyDescent="0.25">
      <c r="A88" s="53"/>
      <c r="B88" s="54"/>
      <c r="C88" s="55" t="s">
        <v>260</v>
      </c>
      <c r="D88" s="60">
        <v>0.92472793422854005</v>
      </c>
      <c r="E88" s="56"/>
      <c r="F88" s="57"/>
      <c r="G88" s="57">
        <f>(G14+G16)*D88</f>
        <v>2877.18</v>
      </c>
      <c r="H88" s="58"/>
      <c r="I88" s="59"/>
      <c r="J88" s="59">
        <f>(J14+J16)*D88</f>
        <v>127429.59922182</v>
      </c>
    </row>
    <row r="89" spans="1:10" s="30" customFormat="1" ht="15.75" customHeight="1" x14ac:dyDescent="0.25">
      <c r="A89" s="53"/>
      <c r="B89" s="54"/>
      <c r="C89" s="55" t="s">
        <v>261</v>
      </c>
      <c r="D89" s="60">
        <v>0.50141094948221998</v>
      </c>
      <c r="E89" s="56"/>
      <c r="F89" s="57"/>
      <c r="G89" s="57">
        <f>(G14+G16)*D89</f>
        <v>1560.08</v>
      </c>
      <c r="H89" s="58"/>
      <c r="I89" s="59"/>
      <c r="J89" s="59">
        <f>(J14+J16)*D89</f>
        <v>69095.562027395994</v>
      </c>
    </row>
    <row r="90" spans="1:10" s="30" customFormat="1" ht="15.75" customHeight="1" x14ac:dyDescent="0.25">
      <c r="A90" s="53"/>
      <c r="B90" s="54"/>
      <c r="C90" s="55" t="s">
        <v>262</v>
      </c>
      <c r="D90" s="54"/>
      <c r="E90" s="56"/>
      <c r="F90" s="57"/>
      <c r="G90" s="57">
        <f>G87+G88+G89</f>
        <v>102574.55</v>
      </c>
      <c r="H90" s="58"/>
      <c r="I90" s="59"/>
      <c r="J90" s="57">
        <f>J87+J88+J89</f>
        <v>1104454.6512492001</v>
      </c>
    </row>
    <row r="91" spans="1:10" s="30" customFormat="1" ht="15.75" customHeight="1" x14ac:dyDescent="0.25">
      <c r="A91" s="53"/>
      <c r="B91" s="54"/>
      <c r="C91" s="55" t="s">
        <v>263</v>
      </c>
      <c r="D91" s="54"/>
      <c r="E91" s="56"/>
      <c r="F91" s="57"/>
      <c r="G91" s="57">
        <f>G49+G90</f>
        <v>102574.55</v>
      </c>
      <c r="H91" s="58"/>
      <c r="I91" s="59"/>
      <c r="J91" s="59">
        <f>J49+J90</f>
        <v>1104454.6512492001</v>
      </c>
    </row>
    <row r="92" spans="1:10" s="30" customFormat="1" ht="15.75" customHeight="1" x14ac:dyDescent="0.25">
      <c r="A92" s="53"/>
      <c r="B92" s="54"/>
      <c r="C92" s="55" t="s">
        <v>228</v>
      </c>
      <c r="D92" s="54" t="s">
        <v>313</v>
      </c>
      <c r="E92" s="56">
        <v>1</v>
      </c>
      <c r="F92" s="57"/>
      <c r="G92" s="57">
        <f>G91/E92</f>
        <v>102574.55</v>
      </c>
      <c r="H92" s="58"/>
      <c r="I92" s="59"/>
      <c r="J92" s="57">
        <f>J91/E92</f>
        <v>1104454.6512492001</v>
      </c>
    </row>
    <row r="93" spans="1:10" s="30" customFormat="1" ht="15.75" customHeight="1" x14ac:dyDescent="0.25">
      <c r="E93" s="61"/>
      <c r="F93" s="62"/>
      <c r="G93" s="62"/>
      <c r="I93" s="62"/>
      <c r="J93" s="62"/>
    </row>
    <row r="94" spans="1:10" s="30" customFormat="1" ht="15.75" customHeight="1" x14ac:dyDescent="0.25">
      <c r="E94" s="61"/>
      <c r="F94" s="62"/>
      <c r="G94" s="62"/>
      <c r="I94" s="62"/>
      <c r="J94" s="62"/>
    </row>
    <row r="95" spans="1:10" s="30" customFormat="1" ht="15.75" customHeight="1" x14ac:dyDescent="0.25">
      <c r="A95" s="63"/>
      <c r="E95" s="61"/>
      <c r="F95" s="62"/>
      <c r="G95" s="62"/>
      <c r="I95" s="62"/>
      <c r="J95" s="62"/>
    </row>
    <row r="96" spans="1:10" s="30" customFormat="1" ht="15.75" customHeight="1" x14ac:dyDescent="0.25">
      <c r="E96" s="61"/>
      <c r="F96" s="62"/>
      <c r="G96" s="62"/>
      <c r="I96" s="62"/>
      <c r="J96" s="62"/>
    </row>
    <row r="97" spans="1:10" s="30" customFormat="1" ht="15.75" customHeight="1" x14ac:dyDescent="0.25">
      <c r="E97" s="61"/>
      <c r="F97" s="62"/>
      <c r="G97" s="62"/>
      <c r="I97" s="62"/>
      <c r="J97" s="62"/>
    </row>
    <row r="98" spans="1:10" s="30" customFormat="1" ht="15.75" customHeight="1" x14ac:dyDescent="0.25">
      <c r="A98" s="63"/>
      <c r="E98" s="61"/>
      <c r="F98" s="62"/>
      <c r="G98" s="62"/>
      <c r="I98" s="62"/>
      <c r="J98" s="62"/>
    </row>
    <row r="99" spans="1:10" s="30" customFormat="1" ht="15.75" customHeight="1" x14ac:dyDescent="0.25">
      <c r="E99" s="61"/>
      <c r="F99" s="62"/>
      <c r="G99" s="62"/>
      <c r="I99" s="62"/>
      <c r="J99" s="62"/>
    </row>
  </sheetData>
  <sheetProtection formatCells="0" formatColumns="0" formatRows="0" insertColumns="0" insertRows="0" insertHyperlinks="0" deleteColumns="0" deleteRows="0" sort="0" autoFilter="0" pivotTables="0"/>
  <mergeCells count="28">
    <mergeCell ref="B86:F86"/>
    <mergeCell ref="B18:H18"/>
    <mergeCell ref="B26:F26"/>
    <mergeCell ref="B42:F42"/>
    <mergeCell ref="B43:F43"/>
    <mergeCell ref="B44:J44"/>
    <mergeCell ref="B45:J45"/>
    <mergeCell ref="B47:J47"/>
    <mergeCell ref="B51:H51"/>
    <mergeCell ref="B52:H52"/>
    <mergeCell ref="B56:F56"/>
    <mergeCell ref="B85:F85"/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</mergeCells>
  <conditionalFormatting sqref="E13:E99">
    <cfRule type="expression" dxfId="0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"/>
  <sheetViews>
    <sheetView workbookViewId="0">
      <selection activeCell="F19" sqref="F19"/>
    </sheetView>
  </sheetViews>
  <sheetFormatPr defaultColWidth="9.140625" defaultRowHeight="15" x14ac:dyDescent="0.25"/>
  <cols>
    <col min="1" max="1" width="5.7109375" style="7" customWidth="1"/>
    <col min="2" max="2" width="14.85546875" style="7" customWidth="1"/>
    <col min="3" max="3" width="39.140625" style="7" customWidth="1"/>
    <col min="4" max="4" width="8.28515625" style="7" customWidth="1"/>
    <col min="5" max="5" width="13.5703125" style="7" customWidth="1"/>
    <col min="6" max="6" width="12.42578125" style="7" customWidth="1"/>
    <col min="7" max="7" width="14.140625" style="7" customWidth="1"/>
    <col min="8" max="8" width="9.140625" style="7"/>
  </cols>
  <sheetData>
    <row r="1" spans="1:7" ht="15.75" customHeight="1" x14ac:dyDescent="0.25">
      <c r="A1" s="153" t="s">
        <v>264</v>
      </c>
      <c r="B1" s="153"/>
      <c r="C1" s="153"/>
      <c r="D1" s="153"/>
      <c r="E1" s="153"/>
      <c r="F1" s="153"/>
      <c r="G1" s="153"/>
    </row>
    <row r="2" spans="1:7" ht="21.75" customHeight="1" x14ac:dyDescent="0.25">
      <c r="A2" s="65"/>
      <c r="B2" s="65"/>
      <c r="C2" s="65"/>
      <c r="D2" s="65"/>
      <c r="E2" s="65"/>
      <c r="F2" s="65"/>
      <c r="G2" s="65"/>
    </row>
    <row r="3" spans="1:7" ht="15.75" customHeight="1" x14ac:dyDescent="0.25">
      <c r="A3" s="138" t="s">
        <v>265</v>
      </c>
      <c r="B3" s="138"/>
      <c r="C3" s="138"/>
      <c r="D3" s="138"/>
      <c r="E3" s="138"/>
      <c r="F3" s="138"/>
      <c r="G3" s="138"/>
    </row>
    <row r="4" spans="1:7" ht="25.5" customHeight="1" x14ac:dyDescent="0.25">
      <c r="A4" s="154" t="s">
        <v>311</v>
      </c>
      <c r="B4" s="154"/>
      <c r="C4" s="154"/>
      <c r="D4" s="154"/>
      <c r="E4" s="154"/>
      <c r="F4" s="154"/>
      <c r="G4" s="154"/>
    </row>
    <row r="5" spans="1:7" ht="15.75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66" t="s">
        <v>236</v>
      </c>
      <c r="B6" s="166" t="s">
        <v>43</v>
      </c>
      <c r="C6" s="166" t="s">
        <v>194</v>
      </c>
      <c r="D6" s="166" t="s">
        <v>45</v>
      </c>
      <c r="E6" s="144" t="s">
        <v>237</v>
      </c>
      <c r="F6" s="166" t="s">
        <v>47</v>
      </c>
      <c r="G6" s="166"/>
    </row>
    <row r="7" spans="1:7" s="1" customFormat="1" ht="15.75" customHeight="1" x14ac:dyDescent="0.25">
      <c r="A7" s="166"/>
      <c r="B7" s="166"/>
      <c r="C7" s="166"/>
      <c r="D7" s="166"/>
      <c r="E7" s="145"/>
      <c r="F7" s="4" t="s">
        <v>240</v>
      </c>
      <c r="G7" s="4" t="s">
        <v>49</v>
      </c>
    </row>
    <row r="8" spans="1:7" s="1" customFormat="1" ht="15.75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75" customHeight="1" x14ac:dyDescent="0.25">
      <c r="A9" s="66"/>
      <c r="B9" s="163" t="s">
        <v>266</v>
      </c>
      <c r="C9" s="163"/>
      <c r="D9" s="163"/>
      <c r="E9" s="163"/>
      <c r="F9" s="163"/>
      <c r="G9" s="163"/>
    </row>
    <row r="10" spans="1:7" s="1" customFormat="1" ht="31.7" customHeight="1" x14ac:dyDescent="0.25">
      <c r="A10" s="27"/>
      <c r="B10" s="67"/>
      <c r="C10" s="26" t="s">
        <v>267</v>
      </c>
      <c r="D10" s="67"/>
      <c r="E10" s="68"/>
      <c r="F10" s="69"/>
      <c r="G10" s="69">
        <v>0</v>
      </c>
    </row>
    <row r="11" spans="1:7" s="1" customFormat="1" ht="15.75" customHeight="1" x14ac:dyDescent="0.25">
      <c r="A11" s="27"/>
      <c r="B11" s="163" t="s">
        <v>268</v>
      </c>
      <c r="C11" s="163"/>
      <c r="D11" s="163"/>
      <c r="E11" s="164"/>
      <c r="F11" s="165"/>
      <c r="G11" s="165"/>
    </row>
    <row r="12" spans="1:7" s="1" customFormat="1" ht="31.7" customHeight="1" x14ac:dyDescent="0.25">
      <c r="A12" s="70"/>
      <c r="B12" s="71"/>
      <c r="C12" s="71" t="s">
        <v>269</v>
      </c>
      <c r="D12" s="71"/>
      <c r="E12" s="72"/>
      <c r="F12" s="73"/>
      <c r="G12" s="73">
        <v>0</v>
      </c>
    </row>
    <row r="13" spans="1:7" s="1" customFormat="1" ht="15.75" customHeight="1" x14ac:dyDescent="0.25">
      <c r="A13" s="70"/>
      <c r="B13" s="71"/>
      <c r="C13" s="71" t="s">
        <v>270</v>
      </c>
      <c r="D13" s="71"/>
      <c r="E13" s="72"/>
      <c r="F13" s="73"/>
      <c r="G13" s="73">
        <v>0</v>
      </c>
    </row>
    <row r="14" spans="1:7" s="1" customFormat="1" ht="15.75" customHeight="1" x14ac:dyDescent="0.25">
      <c r="B14" s="65"/>
    </row>
    <row r="15" spans="1:7" s="1" customFormat="1" ht="15.75" customHeight="1" x14ac:dyDescent="0.25">
      <c r="A15" s="5" t="s">
        <v>190</v>
      </c>
      <c r="B15" s="5"/>
      <c r="C15" s="5"/>
    </row>
    <row r="16" spans="1:7" s="1" customFormat="1" ht="15.75" customHeight="1" x14ac:dyDescent="0.25">
      <c r="A16" s="6" t="s">
        <v>24</v>
      </c>
      <c r="B16" s="5"/>
      <c r="C16" s="5"/>
    </row>
    <row r="17" spans="1:3" s="1" customFormat="1" ht="15.75" customHeight="1" x14ac:dyDescent="0.25">
      <c r="A17" s="5"/>
      <c r="B17" s="5"/>
      <c r="C17" s="5"/>
    </row>
    <row r="18" spans="1:3" s="1" customFormat="1" ht="15.75" customHeight="1" x14ac:dyDescent="0.25">
      <c r="A18" s="5" t="s">
        <v>191</v>
      </c>
      <c r="B18" s="5"/>
      <c r="C18" s="5"/>
    </row>
    <row r="19" spans="1:3" s="1" customFormat="1" ht="15.75" customHeight="1" x14ac:dyDescent="0.25">
      <c r="A19" s="6" t="s">
        <v>26</v>
      </c>
      <c r="B19" s="5"/>
      <c r="C19" s="5"/>
    </row>
    <row r="20" spans="1:3" s="1" customFormat="1" ht="15.75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8A76-DAFF-4D20-86DC-5994C874A8E2}">
  <dimension ref="A1:E17"/>
  <sheetViews>
    <sheetView view="pageBreakPreview" workbookViewId="0">
      <selection activeCell="G15" sqref="G15"/>
    </sheetView>
  </sheetViews>
  <sheetFormatPr defaultColWidth="8.85546875" defaultRowHeight="15" x14ac:dyDescent="0.25"/>
  <cols>
    <col min="1" max="1" width="14.42578125" style="119" customWidth="1"/>
    <col min="2" max="2" width="29.5703125" style="119" customWidth="1"/>
    <col min="3" max="3" width="39.140625" style="119" customWidth="1"/>
    <col min="4" max="4" width="24.42578125" style="119" customWidth="1"/>
    <col min="5" max="16384" width="8.85546875" style="106"/>
  </cols>
  <sheetData>
    <row r="1" spans="1:5" x14ac:dyDescent="0.25">
      <c r="B1" s="120"/>
      <c r="C1" s="120"/>
      <c r="D1" s="121" t="s">
        <v>292</v>
      </c>
    </row>
    <row r="2" spans="1:5" x14ac:dyDescent="0.25">
      <c r="A2" s="121"/>
      <c r="B2" s="121"/>
      <c r="C2" s="121"/>
      <c r="D2" s="121"/>
    </row>
    <row r="3" spans="1:5" ht="24.75" customHeight="1" x14ac:dyDescent="0.25">
      <c r="A3" s="167" t="s">
        <v>293</v>
      </c>
      <c r="B3" s="167"/>
      <c r="C3" s="167"/>
      <c r="D3" s="167"/>
    </row>
    <row r="4" spans="1:5" ht="24.75" customHeight="1" x14ac:dyDescent="0.25">
      <c r="A4" s="122"/>
      <c r="B4" s="122"/>
      <c r="C4" s="122"/>
      <c r="D4" s="122"/>
    </row>
    <row r="5" spans="1:5" ht="24.6" customHeight="1" x14ac:dyDescent="0.25">
      <c r="A5" s="168" t="s">
        <v>294</v>
      </c>
      <c r="B5" s="168"/>
      <c r="C5" s="168"/>
      <c r="D5" s="123" t="str">
        <f>'Прил.5 Расчет СМР и ОБ'!D6:J6</f>
        <v xml:space="preserve">Постоянная часть ПС маслосборник ПС 110 кВ </v>
      </c>
    </row>
    <row r="6" spans="1:5" ht="19.899999999999999" customHeight="1" x14ac:dyDescent="0.25">
      <c r="A6" s="169" t="s">
        <v>303</v>
      </c>
      <c r="B6" s="168"/>
      <c r="C6" s="168"/>
      <c r="D6" s="123"/>
    </row>
    <row r="7" spans="1:5" x14ac:dyDescent="0.25">
      <c r="A7" s="124"/>
      <c r="B7" s="124"/>
      <c r="C7" s="124"/>
      <c r="D7" s="124"/>
    </row>
    <row r="8" spans="1:5" ht="14.45" customHeight="1" x14ac:dyDescent="0.25">
      <c r="A8" s="170" t="s">
        <v>295</v>
      </c>
      <c r="B8" s="170" t="s">
        <v>296</v>
      </c>
      <c r="C8" s="170" t="s">
        <v>297</v>
      </c>
      <c r="D8" s="170" t="s">
        <v>298</v>
      </c>
    </row>
    <row r="9" spans="1:5" ht="15" customHeight="1" x14ac:dyDescent="0.25">
      <c r="A9" s="170"/>
      <c r="B9" s="170"/>
      <c r="C9" s="170"/>
      <c r="D9" s="170"/>
    </row>
    <row r="10" spans="1:5" x14ac:dyDescent="0.25">
      <c r="A10" s="125">
        <v>1</v>
      </c>
      <c r="B10" s="125">
        <v>2</v>
      </c>
      <c r="C10" s="125">
        <v>3</v>
      </c>
      <c r="D10" s="125">
        <v>4</v>
      </c>
    </row>
    <row r="11" spans="1:5" ht="41.45" customHeight="1" x14ac:dyDescent="0.25">
      <c r="A11" s="134" t="s">
        <v>312</v>
      </c>
      <c r="B11" s="125" t="s">
        <v>300</v>
      </c>
      <c r="C11" s="126" t="str">
        <f>D5</f>
        <v xml:space="preserve">Постоянная часть ПС маслосборник ПС 110 кВ </v>
      </c>
      <c r="D11" s="127">
        <f>'Прил.4 РМ'!C41/1000</f>
        <v>1235.0138212492</v>
      </c>
      <c r="E11" s="118"/>
    </row>
    <row r="12" spans="1:5" x14ac:dyDescent="0.25">
      <c r="A12" s="128"/>
      <c r="B12" s="129"/>
      <c r="C12" s="128"/>
      <c r="D12" s="128"/>
    </row>
    <row r="13" spans="1:5" x14ac:dyDescent="0.25">
      <c r="A13" s="124" t="s">
        <v>301</v>
      </c>
      <c r="B13" s="130"/>
      <c r="C13" s="130"/>
      <c r="D13" s="128"/>
    </row>
    <row r="14" spans="1:5" x14ac:dyDescent="0.25">
      <c r="A14" s="131" t="s">
        <v>24</v>
      </c>
      <c r="B14" s="130"/>
      <c r="C14" s="130"/>
      <c r="D14" s="128"/>
    </row>
    <row r="15" spans="1:5" x14ac:dyDescent="0.25">
      <c r="A15" s="124"/>
      <c r="B15" s="130"/>
      <c r="C15" s="130"/>
      <c r="D15" s="128"/>
    </row>
    <row r="16" spans="1:5" x14ac:dyDescent="0.25">
      <c r="A16" s="124" t="s">
        <v>299</v>
      </c>
      <c r="B16" s="130"/>
      <c r="C16" s="130"/>
      <c r="D16" s="128"/>
    </row>
    <row r="17" spans="1:4" x14ac:dyDescent="0.25">
      <c r="A17" s="131" t="s">
        <v>26</v>
      </c>
      <c r="B17" s="130"/>
      <c r="C17" s="130"/>
      <c r="D17" s="128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E32"/>
  <sheetViews>
    <sheetView topLeftCell="A4" workbookViewId="0">
      <selection activeCell="I15" sqref="I15"/>
    </sheetView>
  </sheetViews>
  <sheetFormatPr defaultRowHeight="15" x14ac:dyDescent="0.25"/>
  <cols>
    <col min="1" max="1" width="9.140625" style="7" customWidth="1"/>
    <col min="2" max="2" width="40.7109375" style="7" customWidth="1"/>
    <col min="3" max="3" width="37" style="7" customWidth="1"/>
    <col min="4" max="4" width="32" style="7" customWidth="1"/>
    <col min="5" max="5" width="9.140625" style="7" customWidth="1"/>
  </cols>
  <sheetData>
    <row r="4" spans="2:5" ht="15.75" customHeight="1" x14ac:dyDescent="0.25">
      <c r="B4" s="140" t="s">
        <v>271</v>
      </c>
      <c r="C4" s="140"/>
      <c r="D4" s="140"/>
    </row>
    <row r="5" spans="2:5" ht="18.75" customHeight="1" x14ac:dyDescent="0.25">
      <c r="B5" s="8"/>
    </row>
    <row r="6" spans="2:5" ht="15.75" customHeight="1" x14ac:dyDescent="0.25">
      <c r="B6" s="138" t="s">
        <v>272</v>
      </c>
      <c r="C6" s="138"/>
      <c r="D6" s="138"/>
    </row>
    <row r="7" spans="2:5" ht="18.75" customHeight="1" x14ac:dyDescent="0.25">
      <c r="B7" s="9"/>
    </row>
    <row r="8" spans="2:5" s="1" customFormat="1" ht="47.25" customHeight="1" x14ac:dyDescent="0.25">
      <c r="B8" s="10" t="s">
        <v>273</v>
      </c>
      <c r="C8" s="10" t="s">
        <v>274</v>
      </c>
      <c r="D8" s="10" t="s">
        <v>275</v>
      </c>
    </row>
    <row r="9" spans="2:5" s="1" customFormat="1" ht="15.75" customHeight="1" x14ac:dyDescent="0.25">
      <c r="B9" s="10">
        <v>1</v>
      </c>
      <c r="C9" s="10">
        <v>2</v>
      </c>
      <c r="D9" s="10">
        <v>3</v>
      </c>
    </row>
    <row r="10" spans="2:5" s="1" customFormat="1" ht="31.7" customHeight="1" x14ac:dyDescent="0.25">
      <c r="B10" s="10" t="s">
        <v>276</v>
      </c>
      <c r="C10" s="10" t="s">
        <v>277</v>
      </c>
      <c r="D10" s="10">
        <v>44.29</v>
      </c>
    </row>
    <row r="11" spans="2:5" s="1" customFormat="1" ht="31.7" customHeight="1" x14ac:dyDescent="0.25">
      <c r="B11" s="10" t="s">
        <v>278</v>
      </c>
      <c r="C11" s="10" t="s">
        <v>277</v>
      </c>
      <c r="D11" s="10">
        <v>13.47</v>
      </c>
    </row>
    <row r="12" spans="2:5" s="1" customFormat="1" ht="31.7" customHeight="1" x14ac:dyDescent="0.25">
      <c r="B12" s="10" t="s">
        <v>279</v>
      </c>
      <c r="C12" s="10" t="s">
        <v>277</v>
      </c>
      <c r="D12" s="10">
        <v>8.0399999999999991</v>
      </c>
    </row>
    <row r="13" spans="2:5" s="1" customFormat="1" ht="31.7" customHeight="1" x14ac:dyDescent="0.25">
      <c r="B13" s="10" t="s">
        <v>280</v>
      </c>
      <c r="C13" s="11" t="s">
        <v>281</v>
      </c>
      <c r="D13" s="10">
        <v>6.26</v>
      </c>
    </row>
    <row r="14" spans="2:5" s="1" customFormat="1" ht="78.75" customHeight="1" x14ac:dyDescent="0.25">
      <c r="B14" s="10" t="s">
        <v>282</v>
      </c>
      <c r="C14" s="10" t="s">
        <v>283</v>
      </c>
      <c r="D14" s="12">
        <v>3.9E-2</v>
      </c>
    </row>
    <row r="15" spans="2:5" s="1" customFormat="1" ht="78.75" customHeight="1" x14ac:dyDescent="0.25">
      <c r="B15" s="10" t="s">
        <v>284</v>
      </c>
      <c r="C15" s="10" t="s">
        <v>285</v>
      </c>
      <c r="D15" s="12">
        <v>2.1000000000000001E-2</v>
      </c>
      <c r="E15" s="3"/>
    </row>
    <row r="16" spans="2:5" s="1" customFormat="1" ht="31.7" customHeight="1" x14ac:dyDescent="0.25">
      <c r="B16" s="10" t="s">
        <v>218</v>
      </c>
      <c r="C16" s="10"/>
      <c r="D16" s="10" t="s">
        <v>314</v>
      </c>
    </row>
    <row r="17" spans="2:4" s="1" customFormat="1" ht="31.7" customHeight="1" x14ac:dyDescent="0.25">
      <c r="B17" s="10" t="s">
        <v>286</v>
      </c>
      <c r="C17" s="10" t="s">
        <v>287</v>
      </c>
      <c r="D17" s="12">
        <v>2.1399999999999999E-2</v>
      </c>
    </row>
    <row r="18" spans="2:4" s="1" customFormat="1" ht="15.75" customHeight="1" x14ac:dyDescent="0.25">
      <c r="B18" s="10" t="s">
        <v>288</v>
      </c>
      <c r="C18" s="10" t="s">
        <v>289</v>
      </c>
      <c r="D18" s="12">
        <v>2E-3</v>
      </c>
    </row>
    <row r="19" spans="2:4" s="1" customFormat="1" ht="15.75" customHeight="1" x14ac:dyDescent="0.25">
      <c r="B19" s="10" t="s">
        <v>226</v>
      </c>
      <c r="C19" s="10" t="s">
        <v>290</v>
      </c>
      <c r="D19" s="12">
        <v>0.03</v>
      </c>
    </row>
    <row r="20" spans="2:4" s="1" customFormat="1" ht="15.75" customHeight="1" x14ac:dyDescent="0.25">
      <c r="B20" s="2"/>
    </row>
    <row r="21" spans="2:4" s="1" customFormat="1" ht="15.75" customHeight="1" x14ac:dyDescent="0.25">
      <c r="B21" s="2"/>
    </row>
    <row r="22" spans="2:4" s="1" customFormat="1" ht="15.75" customHeight="1" x14ac:dyDescent="0.25">
      <c r="B22" s="2"/>
    </row>
    <row r="23" spans="2:4" s="1" customFormat="1" ht="15.75" customHeight="1" x14ac:dyDescent="0.25">
      <c r="B23" s="2"/>
    </row>
    <row r="24" spans="2:4" s="1" customFormat="1" ht="15.75" customHeight="1" x14ac:dyDescent="0.25"/>
    <row r="25" spans="2:4" s="1" customFormat="1" ht="15.75" customHeight="1" x14ac:dyDescent="0.25"/>
    <row r="26" spans="2:4" s="1" customFormat="1" ht="15.75" customHeight="1" x14ac:dyDescent="0.25">
      <c r="B26" s="5" t="s">
        <v>190</v>
      </c>
      <c r="C26" s="5"/>
    </row>
    <row r="27" spans="2:4" s="1" customFormat="1" ht="15.75" customHeight="1" x14ac:dyDescent="0.25">
      <c r="B27" s="6" t="s">
        <v>24</v>
      </c>
      <c r="C27" s="5"/>
    </row>
    <row r="28" spans="2:4" s="1" customFormat="1" ht="15.75" customHeight="1" x14ac:dyDescent="0.25">
      <c r="B28" s="5"/>
      <c r="C28" s="5"/>
    </row>
    <row r="29" spans="2:4" s="1" customFormat="1" ht="15.75" customHeight="1" x14ac:dyDescent="0.25">
      <c r="B29" s="5" t="s">
        <v>291</v>
      </c>
      <c r="C29" s="5"/>
    </row>
    <row r="30" spans="2:4" s="1" customFormat="1" ht="15.75" customHeight="1" x14ac:dyDescent="0.25">
      <c r="B30" s="6" t="s">
        <v>26</v>
      </c>
      <c r="C30" s="5"/>
    </row>
    <row r="31" spans="2:4" s="1" customFormat="1" ht="15.75" customHeight="1" x14ac:dyDescent="0.25"/>
    <row r="32" spans="2:4" s="1" customFormat="1" ht="15.75" customHeight="1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99E9-7209-47B2-A2A7-9079BECD32C4}">
  <dimension ref="A2:G13"/>
  <sheetViews>
    <sheetView view="pageBreakPreview" zoomScale="60" zoomScaleNormal="100" workbookViewId="0">
      <selection activeCell="J11" sqref="J11"/>
    </sheetView>
  </sheetViews>
  <sheetFormatPr defaultRowHeight="15" x14ac:dyDescent="0.25"/>
  <cols>
    <col min="1" max="1" width="9.140625" style="176"/>
    <col min="2" max="2" width="34" style="176" customWidth="1"/>
    <col min="3" max="3" width="13.7109375" style="176" customWidth="1"/>
    <col min="4" max="4" width="23.7109375" style="176" customWidth="1"/>
    <col min="5" max="5" width="24.85546875" style="176" customWidth="1"/>
    <col min="6" max="6" width="45" style="176" customWidth="1"/>
    <col min="7" max="16384" width="9.140625" style="176"/>
  </cols>
  <sheetData>
    <row r="2" spans="1:7" ht="17.25" x14ac:dyDescent="0.25">
      <c r="A2" s="175" t="s">
        <v>320</v>
      </c>
      <c r="B2" s="175"/>
      <c r="C2" s="175"/>
      <c r="D2" s="175"/>
      <c r="E2" s="175"/>
      <c r="F2" s="175"/>
    </row>
    <row r="4" spans="1:7" ht="15.75" x14ac:dyDescent="0.25">
      <c r="A4" s="177" t="s">
        <v>321</v>
      </c>
      <c r="B4" s="178"/>
      <c r="C4" s="178"/>
      <c r="D4" s="178"/>
      <c r="E4" s="178"/>
      <c r="F4" s="178"/>
      <c r="G4" s="178"/>
    </row>
    <row r="5" spans="1:7" ht="15.75" x14ac:dyDescent="0.25">
      <c r="A5" s="179" t="s">
        <v>236</v>
      </c>
      <c r="B5" s="179" t="s">
        <v>322</v>
      </c>
      <c r="C5" s="179" t="s">
        <v>323</v>
      </c>
      <c r="D5" s="179" t="s">
        <v>324</v>
      </c>
      <c r="E5" s="179" t="s">
        <v>325</v>
      </c>
      <c r="F5" s="179" t="s">
        <v>326</v>
      </c>
      <c r="G5" s="178"/>
    </row>
    <row r="6" spans="1:7" ht="15.75" x14ac:dyDescent="0.25">
      <c r="A6" s="179">
        <v>1</v>
      </c>
      <c r="B6" s="179">
        <v>2</v>
      </c>
      <c r="C6" s="179">
        <v>3</v>
      </c>
      <c r="D6" s="179">
        <v>4</v>
      </c>
      <c r="E6" s="179">
        <v>5</v>
      </c>
      <c r="F6" s="179">
        <v>6</v>
      </c>
      <c r="G6" s="178"/>
    </row>
    <row r="7" spans="1:7" ht="126" x14ac:dyDescent="0.25">
      <c r="A7" s="180" t="s">
        <v>327</v>
      </c>
      <c r="B7" s="181" t="s">
        <v>328</v>
      </c>
      <c r="C7" s="182" t="s">
        <v>329</v>
      </c>
      <c r="D7" s="182" t="s">
        <v>330</v>
      </c>
      <c r="E7" s="183">
        <v>47872.94</v>
      </c>
      <c r="F7" s="181" t="s">
        <v>331</v>
      </c>
      <c r="G7" s="178"/>
    </row>
    <row r="8" spans="1:7" ht="47.25" x14ac:dyDescent="0.25">
      <c r="A8" s="180" t="s">
        <v>332</v>
      </c>
      <c r="B8" s="181" t="s">
        <v>333</v>
      </c>
      <c r="C8" s="182" t="s">
        <v>334</v>
      </c>
      <c r="D8" s="182" t="s">
        <v>335</v>
      </c>
      <c r="E8" s="183">
        <f>1973/12</f>
        <v>164.41666666666666</v>
      </c>
      <c r="F8" s="181" t="s">
        <v>336</v>
      </c>
      <c r="G8" s="184"/>
    </row>
    <row r="9" spans="1:7" ht="15.75" x14ac:dyDescent="0.25">
      <c r="A9" s="180" t="s">
        <v>337</v>
      </c>
      <c r="B9" s="181" t="s">
        <v>338</v>
      </c>
      <c r="C9" s="182" t="s">
        <v>339</v>
      </c>
      <c r="D9" s="182" t="s">
        <v>330</v>
      </c>
      <c r="E9" s="183">
        <v>1</v>
      </c>
      <c r="F9" s="181"/>
      <c r="G9" s="184"/>
    </row>
    <row r="10" spans="1:7" ht="15.75" x14ac:dyDescent="0.25">
      <c r="A10" s="180" t="s">
        <v>340</v>
      </c>
      <c r="B10" s="181" t="s">
        <v>341</v>
      </c>
      <c r="C10" s="182"/>
      <c r="D10" s="182"/>
      <c r="E10" s="185">
        <v>3.1</v>
      </c>
      <c r="F10" s="181" t="s">
        <v>342</v>
      </c>
      <c r="G10" s="184"/>
    </row>
    <row r="11" spans="1:7" ht="78.75" x14ac:dyDescent="0.25">
      <c r="A11" s="180" t="s">
        <v>343</v>
      </c>
      <c r="B11" s="181" t="s">
        <v>344</v>
      </c>
      <c r="C11" s="182" t="s">
        <v>345</v>
      </c>
      <c r="D11" s="182" t="s">
        <v>330</v>
      </c>
      <c r="E11" s="186">
        <v>1.4</v>
      </c>
      <c r="F11" s="181" t="s">
        <v>346</v>
      </c>
      <c r="G11" s="178"/>
    </row>
    <row r="12" spans="1:7" ht="78.75" x14ac:dyDescent="0.25">
      <c r="A12" s="180" t="s">
        <v>347</v>
      </c>
      <c r="B12" s="187" t="s">
        <v>348</v>
      </c>
      <c r="C12" s="182" t="s">
        <v>349</v>
      </c>
      <c r="D12" s="182" t="s">
        <v>330</v>
      </c>
      <c r="E12" s="188">
        <v>1.139</v>
      </c>
      <c r="F12" s="189" t="s">
        <v>350</v>
      </c>
      <c r="G12" s="184" t="s">
        <v>351</v>
      </c>
    </row>
    <row r="13" spans="1:7" ht="76.150000000000006" customHeight="1" x14ac:dyDescent="0.25">
      <c r="A13" s="180" t="s">
        <v>352</v>
      </c>
      <c r="B13" s="190" t="s">
        <v>353</v>
      </c>
      <c r="C13" s="182" t="s">
        <v>354</v>
      </c>
      <c r="D13" s="182" t="s">
        <v>355</v>
      </c>
      <c r="E13" s="191">
        <v>387.09</v>
      </c>
      <c r="F13" s="181" t="s">
        <v>356</v>
      </c>
      <c r="G13" s="178"/>
    </row>
  </sheetData>
  <mergeCells count="1">
    <mergeCell ref="A2:F2"/>
  </mergeCells>
  <hyperlinks>
    <hyperlink ref="G12" r:id="rId1" xr:uid="{C49FAC3E-1CB6-4835-A1E9-23C50FD60DA9}"/>
  </hyperlinks>
  <pageMargins left="0.7" right="0.7" top="0.75" bottom="0.75" header="0.3" footer="0.3"/>
  <pageSetup paperSize="9" scale="5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'Прил.1 Сравнит табл'!Область_печати</vt:lpstr>
      <vt:lpstr>'Прил.2 Расч стоим'!Область_печати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Danil</cp:lastModifiedBy>
  <dcterms:created xsi:type="dcterms:W3CDTF">2023-08-25T11:34:46Z</dcterms:created>
  <dcterms:modified xsi:type="dcterms:W3CDTF">2023-10-08T11:14:19Z</dcterms:modified>
  <cp:category/>
</cp:coreProperties>
</file>