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октябрь\ПЧЗ\З1\110 кВ\"/>
    </mc:Choice>
  </mc:AlternateContent>
  <xr:revisionPtr revIDLastSave="0" documentId="13_ncr:1_{F04E5EB1-3366-4647-98CA-A1B63A58F9E8}" xr6:coauthVersionLast="40" xr6:coauthVersionMax="47" xr10:uidLastSave="{00000000-0000-0000-0000-000000000000}"/>
  <bookViews>
    <workbookView xWindow="0" yWindow="0" windowWidth="28800" windowHeight="11625" firstSheet="1" activeTab="8" xr2:uid="{00000000-000D-0000-FFFF-FFFF00000000}"/>
  </bookViews>
  <sheets>
    <sheet name="Прил.1 Сравнит табл" sheetId="1" r:id="rId1"/>
    <sheet name="Прил.2 Расч стоим" sheetId="2" r:id="rId2"/>
    <sheet name="Прил. 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8" r:id="rId7"/>
    <sheet name="Прил. 10" sheetId="7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 localSheetId="6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табл'!$A$1:$E$24</definedName>
    <definedName name="_xlnm.Print_Area" localSheetId="1">'Прил.2 Расч стоим'!$A$1:$J$24</definedName>
    <definedName name="_xlnm.Print_Area" localSheetId="6">#REF!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C23" i="1"/>
  <c r="C22" i="1"/>
  <c r="C16" i="1"/>
  <c r="C18" i="1"/>
  <c r="C17" i="1"/>
  <c r="J14" i="2"/>
  <c r="H14" i="2"/>
  <c r="F14" i="2"/>
  <c r="B6" i="2" l="1"/>
  <c r="F11" i="3"/>
  <c r="H22" i="3"/>
  <c r="H23" i="3"/>
  <c r="D5" i="8"/>
  <c r="C11" i="8" s="1"/>
  <c r="J95" i="5"/>
  <c r="I95" i="5"/>
  <c r="G95" i="5"/>
  <c r="I94" i="5"/>
  <c r="J94" i="5" s="1"/>
  <c r="G94" i="5"/>
  <c r="I93" i="5"/>
  <c r="J93" i="5" s="1"/>
  <c r="G93" i="5"/>
  <c r="J92" i="5"/>
  <c r="I92" i="5"/>
  <c r="G92" i="5"/>
  <c r="I91" i="5"/>
  <c r="J91" i="5" s="1"/>
  <c r="G91" i="5"/>
  <c r="I90" i="5"/>
  <c r="J90" i="5" s="1"/>
  <c r="G90" i="5"/>
  <c r="J89" i="5"/>
  <c r="I89" i="5"/>
  <c r="G89" i="5"/>
  <c r="I88" i="5"/>
  <c r="J88" i="5" s="1"/>
  <c r="G88" i="5"/>
  <c r="I87" i="5"/>
  <c r="J87" i="5" s="1"/>
  <c r="G87" i="5"/>
  <c r="J86" i="5"/>
  <c r="I86" i="5"/>
  <c r="G86" i="5"/>
  <c r="I85" i="5"/>
  <c r="J85" i="5" s="1"/>
  <c r="G85" i="5"/>
  <c r="I84" i="5"/>
  <c r="J84" i="5" s="1"/>
  <c r="G84" i="5"/>
  <c r="J83" i="5"/>
  <c r="I83" i="5"/>
  <c r="G83" i="5"/>
  <c r="I82" i="5"/>
  <c r="J82" i="5" s="1"/>
  <c r="G82" i="5"/>
  <c r="I81" i="5"/>
  <c r="J81" i="5" s="1"/>
  <c r="G81" i="5"/>
  <c r="J80" i="5"/>
  <c r="I80" i="5"/>
  <c r="G80" i="5"/>
  <c r="I79" i="5"/>
  <c r="J79" i="5" s="1"/>
  <c r="G79" i="5"/>
  <c r="I78" i="5"/>
  <c r="J78" i="5" s="1"/>
  <c r="G78" i="5"/>
  <c r="J77" i="5"/>
  <c r="I77" i="5"/>
  <c r="G77" i="5"/>
  <c r="I76" i="5"/>
  <c r="J76" i="5" s="1"/>
  <c r="G76" i="5"/>
  <c r="I75" i="5"/>
  <c r="J75" i="5" s="1"/>
  <c r="G75" i="5"/>
  <c r="J74" i="5"/>
  <c r="I74" i="5"/>
  <c r="G74" i="5"/>
  <c r="I73" i="5"/>
  <c r="J73" i="5" s="1"/>
  <c r="G73" i="5"/>
  <c r="I72" i="5"/>
  <c r="J72" i="5" s="1"/>
  <c r="G72" i="5"/>
  <c r="J71" i="5"/>
  <c r="I71" i="5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J65" i="5"/>
  <c r="I65" i="5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J59" i="5"/>
  <c r="I59" i="5"/>
  <c r="G59" i="5"/>
  <c r="I58" i="5"/>
  <c r="J58" i="5" s="1"/>
  <c r="G58" i="5"/>
  <c r="I57" i="5"/>
  <c r="J57" i="5" s="1"/>
  <c r="G57" i="5"/>
  <c r="J56" i="5"/>
  <c r="I56" i="5"/>
  <c r="G56" i="5"/>
  <c r="I55" i="5"/>
  <c r="J55" i="5" s="1"/>
  <c r="G55" i="5"/>
  <c r="I54" i="5"/>
  <c r="J54" i="5" s="1"/>
  <c r="G54" i="5"/>
  <c r="J52" i="5"/>
  <c r="I52" i="5"/>
  <c r="G52" i="5"/>
  <c r="I51" i="5"/>
  <c r="J51" i="5" s="1"/>
  <c r="G51" i="5"/>
  <c r="J50" i="5"/>
  <c r="I50" i="5"/>
  <c r="G50" i="5"/>
  <c r="J49" i="5"/>
  <c r="I49" i="5"/>
  <c r="G49" i="5"/>
  <c r="J37" i="5"/>
  <c r="I37" i="5"/>
  <c r="G37" i="5"/>
  <c r="J36" i="5"/>
  <c r="I36" i="5"/>
  <c r="G36" i="5"/>
  <c r="J35" i="5"/>
  <c r="I35" i="5"/>
  <c r="G35" i="5"/>
  <c r="J34" i="5"/>
  <c r="I34" i="5"/>
  <c r="G34" i="5"/>
  <c r="J33" i="5"/>
  <c r="I33" i="5"/>
  <c r="G33" i="5"/>
  <c r="J32" i="5"/>
  <c r="I32" i="5"/>
  <c r="G32" i="5"/>
  <c r="J31" i="5"/>
  <c r="I31" i="5"/>
  <c r="G31" i="5"/>
  <c r="J30" i="5"/>
  <c r="I30" i="5"/>
  <c r="G30" i="5"/>
  <c r="J29" i="5"/>
  <c r="I29" i="5"/>
  <c r="G29" i="5"/>
  <c r="J28" i="5"/>
  <c r="I28" i="5"/>
  <c r="G28" i="5"/>
  <c r="J27" i="5"/>
  <c r="I27" i="5"/>
  <c r="G27" i="5"/>
  <c r="J26" i="5"/>
  <c r="I26" i="5"/>
  <c r="G26" i="5"/>
  <c r="J25" i="5"/>
  <c r="I25" i="5"/>
  <c r="G25" i="5"/>
  <c r="J24" i="5"/>
  <c r="I24" i="5"/>
  <c r="G24" i="5"/>
  <c r="J22" i="5"/>
  <c r="I22" i="5"/>
  <c r="G22" i="5"/>
  <c r="I21" i="5"/>
  <c r="J21" i="5" s="1"/>
  <c r="G21" i="5"/>
  <c r="I20" i="5"/>
  <c r="J20" i="5" s="1"/>
  <c r="G20" i="5"/>
  <c r="J19" i="5"/>
  <c r="I19" i="5"/>
  <c r="G19" i="5"/>
  <c r="I16" i="5"/>
  <c r="J16" i="5" s="1"/>
  <c r="C15" i="4" s="1"/>
  <c r="G16" i="5"/>
  <c r="E14" i="5"/>
  <c r="I13" i="5"/>
  <c r="J13" i="5" s="1"/>
  <c r="J14" i="5" s="1"/>
  <c r="G13" i="5"/>
  <c r="G14" i="5" s="1"/>
  <c r="C31" i="4"/>
  <c r="C26" i="4"/>
  <c r="C25" i="4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7" i="3"/>
  <c r="H26" i="3" s="1"/>
  <c r="H25" i="3"/>
  <c r="H24" i="3"/>
  <c r="H21" i="3"/>
  <c r="H20" i="3"/>
  <c r="H19" i="3"/>
  <c r="H18" i="3"/>
  <c r="H17" i="3"/>
  <c r="H16" i="3"/>
  <c r="H15" i="3"/>
  <c r="H14" i="3"/>
  <c r="H13" i="3"/>
  <c r="H12" i="3"/>
  <c r="D9" i="2"/>
  <c r="B7" i="2"/>
  <c r="B8" i="4" s="1"/>
  <c r="J23" i="5" l="1"/>
  <c r="J39" i="5" s="1"/>
  <c r="H47" i="3"/>
  <c r="H28" i="3"/>
  <c r="H11" i="3"/>
  <c r="G53" i="5"/>
  <c r="J38" i="5"/>
  <c r="C13" i="4" s="1"/>
  <c r="G99" i="5"/>
  <c r="C12" i="4"/>
  <c r="C11" i="4"/>
  <c r="J100" i="5"/>
  <c r="C20" i="4" s="1"/>
  <c r="J99" i="5"/>
  <c r="C22" i="4" s="1"/>
  <c r="J53" i="5"/>
  <c r="J96" i="5"/>
  <c r="C17" i="4" s="1"/>
  <c r="G100" i="5"/>
  <c r="H13" i="5"/>
  <c r="G38" i="5"/>
  <c r="G23" i="5"/>
  <c r="G39" i="5" s="1"/>
  <c r="H22" i="5" s="1"/>
  <c r="G96" i="5"/>
  <c r="G97" i="5" l="1"/>
  <c r="H51" i="5" s="1"/>
  <c r="C14" i="4"/>
  <c r="H27" i="5"/>
  <c r="J97" i="5"/>
  <c r="J98" i="5" s="1"/>
  <c r="J101" i="5" s="1"/>
  <c r="J102" i="5" s="1"/>
  <c r="J103" i="5" s="1"/>
  <c r="C16" i="4"/>
  <c r="C18" i="4" s="1"/>
  <c r="C21" i="4"/>
  <c r="C23" i="4"/>
  <c r="H37" i="5"/>
  <c r="H34" i="5"/>
  <c r="H31" i="5"/>
  <c r="H28" i="5"/>
  <c r="H25" i="5"/>
  <c r="H21" i="5"/>
  <c r="H35" i="5"/>
  <c r="H29" i="5"/>
  <c r="H32" i="5"/>
  <c r="H26" i="5"/>
  <c r="H36" i="5"/>
  <c r="H24" i="5"/>
  <c r="H30" i="5"/>
  <c r="H20" i="5"/>
  <c r="H33" i="5"/>
  <c r="H19" i="5"/>
  <c r="H56" i="5" l="1"/>
  <c r="H76" i="5"/>
  <c r="H63" i="5"/>
  <c r="H55" i="5"/>
  <c r="H95" i="5"/>
  <c r="H82" i="5"/>
  <c r="H75" i="5"/>
  <c r="H91" i="5"/>
  <c r="H94" i="5"/>
  <c r="H88" i="5"/>
  <c r="H79" i="5"/>
  <c r="H58" i="5"/>
  <c r="H83" i="5"/>
  <c r="H85" i="5"/>
  <c r="H90" i="5"/>
  <c r="H71" i="5"/>
  <c r="H70" i="5"/>
  <c r="H49" i="5"/>
  <c r="H93" i="5"/>
  <c r="H84" i="5"/>
  <c r="H54" i="5"/>
  <c r="H72" i="5"/>
  <c r="H80" i="5"/>
  <c r="H61" i="5"/>
  <c r="H69" i="5"/>
  <c r="H57" i="5"/>
  <c r="H59" i="5"/>
  <c r="H89" i="5"/>
  <c r="H81" i="5"/>
  <c r="H78" i="5"/>
  <c r="H73" i="5"/>
  <c r="H62" i="5"/>
  <c r="H68" i="5"/>
  <c r="H74" i="5"/>
  <c r="H50" i="5"/>
  <c r="H52" i="5"/>
  <c r="H64" i="5"/>
  <c r="G98" i="5"/>
  <c r="G101" i="5" s="1"/>
  <c r="G102" i="5" s="1"/>
  <c r="G103" i="5" s="1"/>
  <c r="H65" i="5"/>
  <c r="H87" i="5"/>
  <c r="H67" i="5"/>
  <c r="H77" i="5"/>
  <c r="H92" i="5"/>
  <c r="H86" i="5"/>
  <c r="H66" i="5"/>
  <c r="H60" i="5"/>
  <c r="H38" i="5"/>
  <c r="C19" i="4"/>
  <c r="H23" i="5"/>
  <c r="H39" i="5" s="1"/>
  <c r="H53" i="5" l="1"/>
  <c r="H96" i="5"/>
  <c r="C24" i="4"/>
  <c r="D19" i="4" s="1"/>
  <c r="H97" i="5" l="1"/>
  <c r="D24" i="4"/>
  <c r="C29" i="4"/>
  <c r="D22" i="4"/>
  <c r="C27" i="4"/>
  <c r="D20" i="4"/>
  <c r="D13" i="4"/>
  <c r="D15" i="4"/>
  <c r="D14" i="4"/>
  <c r="D12" i="4"/>
  <c r="D11" i="4"/>
  <c r="D17" i="4"/>
  <c r="D18" i="4"/>
  <c r="D16" i="4"/>
  <c r="C30" i="4" l="1"/>
  <c r="C36" i="4" l="1"/>
  <c r="C37" i="4"/>
  <c r="C38" i="4" l="1"/>
  <c r="C39" i="4" s="1"/>
  <c r="C40" i="4" l="1"/>
  <c r="E39" i="4" s="1"/>
  <c r="E40" i="4" l="1"/>
  <c r="E25" i="4"/>
  <c r="E32" i="4"/>
  <c r="E31" i="4"/>
  <c r="E22" i="4"/>
  <c r="E20" i="4"/>
  <c r="E35" i="4"/>
  <c r="E26" i="4"/>
  <c r="C41" i="4"/>
  <c r="D11" i="8" s="1"/>
  <c r="E34" i="4"/>
  <c r="E33" i="4"/>
  <c r="E15" i="4"/>
  <c r="E13" i="4"/>
  <c r="E12" i="4"/>
  <c r="E11" i="4"/>
  <c r="E17" i="4"/>
  <c r="E14" i="4"/>
  <c r="E18" i="4"/>
  <c r="E16" i="4"/>
  <c r="E19" i="4"/>
  <c r="E24" i="4"/>
  <c r="E27" i="4"/>
  <c r="E29" i="4"/>
  <c r="E30" i="4"/>
  <c r="E37" i="4"/>
  <c r="E36" i="4"/>
  <c r="E38" i="4"/>
</calcChain>
</file>

<file path=xl/sharedStrings.xml><?xml version="1.0" encoding="utf-8"?>
<sst xmlns="http://schemas.openxmlformats.org/spreadsheetml/2006/main" count="696" uniqueCount="387">
  <si>
    <t>Приложение № 1</t>
  </si>
  <si>
    <t>Сравнительная таблица отбора объекта-представителя</t>
  </si>
  <si>
    <t>№ п/п</t>
  </si>
  <si>
    <t>Параметр</t>
  </si>
  <si>
    <t>Объект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</si>
  <si>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</si>
  <si>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</si>
  <si>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</si>
  <si>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</si>
  <si>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</si>
  <si>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</si>
  <si>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</si>
  <si>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</si>
  <si>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</si>
  <si>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</si>
  <si>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</si>
  <si>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</si>
  <si>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</si>
  <si>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</si>
  <si>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</si>
  <si>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</si>
  <si>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</si>
  <si>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</si>
  <si>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</si>
  <si>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</si>
  <si>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</si>
  <si>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</si>
  <si>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</si>
  <si>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</si>
  <si>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</si>
  <si>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</si>
  <si>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</si>
  <si>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</si>
  <si>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</si>
  <si>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>Составил ______________________         М.С. Колотиевская</t>
  </si>
  <si>
    <t xml:space="preserve">                         (подпись, инициалы, фамилия)</t>
  </si>
  <si>
    <t>Проверил ______________________         М.С. Колотиевская</t>
  </si>
  <si>
    <t xml:space="preserve">                        (подпись, инициалы, фамилия)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</si>
  <si>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</si>
  <si>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</si>
  <si>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</si>
  <si>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</si>
  <si>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</si>
  <si>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</si>
  <si>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</si>
  <si>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</si>
  <si>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</si>
  <si>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</si>
  <si>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</si>
  <si>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</si>
  <si>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</si>
  <si>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</si>
  <si>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1-100-15</t>
  </si>
  <si>
    <t>Затраты труда рабочих (ср 1,5)</t>
  </si>
  <si>
    <t>чел.-ч</t>
  </si>
  <si>
    <t>1-100-34</t>
  </si>
  <si>
    <t>Затраты труда рабочих (ср 3,4)</t>
  </si>
  <si>
    <t>1-100-37</t>
  </si>
  <si>
    <t>Затраты труда рабочих (ср 3,7)</t>
  </si>
  <si>
    <t>1-100-36</t>
  </si>
  <si>
    <t>Затраты труда рабочих (ср 3,6)</t>
  </si>
  <si>
    <t>1-100-30</t>
  </si>
  <si>
    <t>Затраты труда рабочих (ср 3)</t>
  </si>
  <si>
    <t>1-100-25</t>
  </si>
  <si>
    <t>Затраты труда рабочих (ср 2,5)</t>
  </si>
  <si>
    <t>1-100-33</t>
  </si>
  <si>
    <t>Затраты труда рабочих (ср 3,3)</t>
  </si>
  <si>
    <t>1-100-28</t>
  </si>
  <si>
    <t>Затраты труда рабочих (ср 2,8)</t>
  </si>
  <si>
    <t>1-100-35</t>
  </si>
  <si>
    <t>Затраты труда рабочих (ср 3,5)</t>
  </si>
  <si>
    <t>1-100-38</t>
  </si>
  <si>
    <t>Затраты труда рабочих (ср 3,8)</t>
  </si>
  <si>
    <t>1-100-27</t>
  </si>
  <si>
    <t>Затраты труда рабочих (ср 2,7)</t>
  </si>
  <si>
    <t>1-100-40</t>
  </si>
  <si>
    <t>Затраты труда рабочих (ср 4)</t>
  </si>
  <si>
    <t>1-100-39</t>
  </si>
  <si>
    <t>Затраты труда рабочих (ср 3,9)</t>
  </si>
  <si>
    <t>1-100-31</t>
  </si>
  <si>
    <t>Затраты труда рабочих (ср 3,1)</t>
  </si>
  <si>
    <t>Затраты труда машинистов</t>
  </si>
  <si>
    <t>Машины и механизмы</t>
  </si>
  <si>
    <t>91.17.04-031</t>
  </si>
  <si>
    <t>Агрегаты для сварки полиэтиленовых труб</t>
  </si>
  <si>
    <t>маш.час</t>
  </si>
  <si>
    <t>91.14.01-011</t>
  </si>
  <si>
    <t>Автобетоносмесители, емкость до 6,3 м3</t>
  </si>
  <si>
    <t>91.07.11-570</t>
  </si>
  <si>
    <t>Бетононасосы-миксеры прицепные с двигателем внутреннего сгорания, производительность до 12 м3/ч</t>
  </si>
  <si>
    <t>91.05.13-025</t>
  </si>
  <si>
    <t>Краны-манипуляторы на автомобильном ходу, грузоподъемность до 3,2 т</t>
  </si>
  <si>
    <t>91.05.05-015</t>
  </si>
  <si>
    <t>Краны на автомобильном ходу, грузоподъемность 16 т</t>
  </si>
  <si>
    <t>91.10.09-012</t>
  </si>
  <si>
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</si>
  <si>
    <t>91.06.05-011</t>
  </si>
  <si>
    <t>Погрузчики, грузоподъемность 5 т</t>
  </si>
  <si>
    <t>91.14.02-001</t>
  </si>
  <si>
    <t>Автомобили бортовые, грузоподъемность до 5 т</t>
  </si>
  <si>
    <t>91.01.05-085</t>
  </si>
  <si>
    <t>Экскаваторы одноковшовые дизельные на гусеничном ходу, емкость ковша 0,5 м3</t>
  </si>
  <si>
    <t>91.05.01-017</t>
  </si>
  <si>
    <t>Краны башенные, грузоподъемность 8 т</t>
  </si>
  <si>
    <t>91.16.01-002</t>
  </si>
  <si>
    <t>Электростанции передвижные, мощность 4 кВт</t>
  </si>
  <si>
    <t>91.10.05-007</t>
  </si>
  <si>
    <t>Трубоукладчики, номинальная грузоподъемность 12,5 т</t>
  </si>
  <si>
    <t>91.08.04-021</t>
  </si>
  <si>
    <t>Котлы битумные передвижные 400 л</t>
  </si>
  <si>
    <t>91.14.04-002</t>
  </si>
  <si>
    <t>Тягачи седельные, грузоподъемность 15 т</t>
  </si>
  <si>
    <t>91.06.03-061</t>
  </si>
  <si>
    <t>Лебедки электрические тяговым усилием до 12,26 кН (1,25 т)</t>
  </si>
  <si>
    <t>91.17.04-233</t>
  </si>
  <si>
    <t>Установки для сварки ручной дуговой (постоянного тока)</t>
  </si>
  <si>
    <t>91.14.05-012</t>
  </si>
  <si>
    <t>Полуприцепы общего назначения, грузоподъемность 15 т</t>
  </si>
  <si>
    <t>91.07.04-001</t>
  </si>
  <si>
    <t>Вибраторы глубинные</t>
  </si>
  <si>
    <t>Материалы</t>
  </si>
  <si>
    <t>Колодец стеклопластиковый (O1000х4500мм), с крышкой (O800мм), лестницей</t>
  </si>
  <si>
    <t>шт</t>
  </si>
  <si>
    <t>02.3.01.02-1011</t>
  </si>
  <si>
    <t>Песок природный I класс, средний, круглые сита</t>
  </si>
  <si>
    <t>м3</t>
  </si>
  <si>
    <t>18.2.04.01-0012</t>
  </si>
  <si>
    <t>Колодец водопроводный полиэтиленовый, диаметр 1600 мм, с запорной арматурой (1,2), для трубопровода номинальным диаметром 150, 200 мм</t>
  </si>
  <si>
    <t>м</t>
  </si>
  <si>
    <t>11.2.13.04-0011</t>
  </si>
  <si>
    <t>Щиты из досок, толщина 25 мм</t>
  </si>
  <si>
    <t>м2</t>
  </si>
  <si>
    <t>04.1.02.05-0059</t>
  </si>
  <si>
    <t>Смеси бетонные тяжелого бетона (БСТ), крупность заполнителя 40 мм, класс В12,5 (М150)</t>
  </si>
  <si>
    <t>24.3.03.13-0055</t>
  </si>
  <si>
    <t>Трубы напорные полиэтиленовые ПЭ100, стандартное размерное отношение SDR17, номинальный наружный диаметр 315 мм, толщина стенки 18,7 мм</t>
  </si>
  <si>
    <t>24.3.03.06-0025</t>
  </si>
  <si>
    <t>Трубы дренажные полиэтиленовые гофрированные двухслойные, класс кольцевой жесткости SN8, номинальный внутренний диаметр 200 мм</t>
  </si>
  <si>
    <t>24.3.03.13-0058</t>
  </si>
  <si>
    <t>Трубы напорные полиэтиленовые ПЭ100, стандартное размерное отношение SDR17, номинальный наружный диаметр 450 мм, толщина стенки 26,7 мм</t>
  </si>
  <si>
    <t>24.3.03.13-0043</t>
  </si>
  <si>
    <t>Трубы напорные полиэтиленовые ПЭ100, стандартное размерное отношение SDR17, номинальный наружный диаметр 63 мм, толщина стенки 3,8 мм</t>
  </si>
  <si>
    <t>02.3.01.02-0016</t>
  </si>
  <si>
    <t>Песок природный для строительных: работ средний с крупностью зерен размером свыше 5 мм - до 5% по массе</t>
  </si>
  <si>
    <t>08.1.02.06-0023</t>
  </si>
  <si>
    <t>Люк чугунный круглый средний Л(B125)-К-1-60</t>
  </si>
  <si>
    <t>04.1.02.01-0006</t>
  </si>
  <si>
    <t>Смеси бетонные мелкозернистого бетона (БСМ), класс В15 (М200)</t>
  </si>
  <si>
    <t>08.1.02.06-0042</t>
  </si>
  <si>
    <t>Люк чугунный с решеткой для дождеприемного колодца ЛР</t>
  </si>
  <si>
    <t>01.2.03.03-0013</t>
  </si>
  <si>
    <t>Мастика битумная кровельная горячая</t>
  </si>
  <si>
    <t>т</t>
  </si>
  <si>
    <t>08.4.03.02-0007</t>
  </si>
  <si>
    <t>Сталь арматурная, горячекатаная, гладкая, класс А-I, диаметр 20-22 мм</t>
  </si>
  <si>
    <t>18.1.02.01-0201</t>
  </si>
  <si>
    <t>Задвижка параллельная с выдвижным шпинделем 30ч6бр, номинальное давление 1,0 МПа (10 кгс/см2), присоединение к трубопроводу фланцевое, номинальный диаметр 50 мм</t>
  </si>
  <si>
    <t>08.4.03.03-0022</t>
  </si>
  <si>
    <t>Сталь арматурная, горячекатаная, периодического профиля, класс А-II, диаметр 12 мм</t>
  </si>
  <si>
    <t>24.3.03.06-0023</t>
  </si>
  <si>
    <t>Трубы дренажные полиэтиленовые гофрированные двухслойные, класс кольцевой жесткости SN8, номинальный внутренний диаметр 110 мм</t>
  </si>
  <si>
    <t>24.3.05.08-0112</t>
  </si>
  <si>
    <t>Отвод полиэтиленовый удлиненный 90°, номинальный внутренний диаметр 63 мм</t>
  </si>
  <si>
    <t>18.1.02.02-0101</t>
  </si>
  <si>
    <t>Штурвал № 7800 для задвижек Hawle диаметром 50 мм</t>
  </si>
  <si>
    <t>01.2.01.02-0001</t>
  </si>
  <si>
    <t>Битум горячий</t>
  </si>
  <si>
    <t>11.1.02.04-0031</t>
  </si>
  <si>
    <t>Лесоматериалы круглые, хвойных пород, для строительства, диаметр 14-24 см, длина 3-6,5 м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</si>
  <si>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</si>
  <si>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</si>
  <si>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11.1.03.05-0086</t>
  </si>
  <si>
    <t>Доска необрезная, хвойных пород, длина 4-6,5 м, все ширины, толщина 44 мм и более, сорт IV</t>
  </si>
  <si>
    <t>01.7.03.01-0001</t>
  </si>
  <si>
    <t>Вода</t>
  </si>
  <si>
    <t>01.7.15.03-0014</t>
  </si>
  <si>
    <t>Болты с гайками и шайбами для санитарно-технических работ, диаметр 16 мм</t>
  </si>
  <si>
    <t>01.7.07.29-0031</t>
  </si>
  <si>
    <t>Каболка</t>
  </si>
  <si>
    <t>01.7.15.06-0111</t>
  </si>
  <si>
    <t>Гвозди строительные</t>
  </si>
  <si>
    <t>08.1.02.11-0001</t>
  </si>
  <si>
    <t>Поковки из квадратных заготовок, масса 1,8 кг</t>
  </si>
  <si>
    <t>11.2.13.04-0012</t>
  </si>
  <si>
    <t>Щиты из досок, толщина 40 мм</t>
  </si>
  <si>
    <t>01.7.19.07-0006</t>
  </si>
  <si>
    <t>Резина техническая листовая прессованная</t>
  </si>
  <si>
    <t>кг</t>
  </si>
  <si>
    <t>12.1.02.06-0012</t>
  </si>
  <si>
    <t>Рубероид кровельный РКК-350</t>
  </si>
  <si>
    <t>01.3.01.03-0002</t>
  </si>
  <si>
    <t>Керосин для технических целей</t>
  </si>
  <si>
    <t>01.7.20.08-0051</t>
  </si>
  <si>
    <t>Ветошь</t>
  </si>
  <si>
    <t>01.7.19.04-0031</t>
  </si>
  <si>
    <t>Прокладки резиновые (пластина техническая прессованная)</t>
  </si>
  <si>
    <t>01.7.07.12-0024</t>
  </si>
  <si>
    <t>Пленка полиэтиленовая, толщина 0,15 мм</t>
  </si>
  <si>
    <t>01.7.11.07-0032</t>
  </si>
  <si>
    <t>Электроды сварочные Э42, диаметр 4 мм</t>
  </si>
  <si>
    <t>08.3.03.06-0002</t>
  </si>
  <si>
    <t>Проволока горячекатаная в мотках, диаметр 6,3-6,5 мм</t>
  </si>
  <si>
    <t>11.1.03.06-0095</t>
  </si>
  <si>
    <t>Доска обрезная, хвойных пород, ширина 75-150 мм, толщина 44 мм и более, длина 4-6,5 м, сорт III</t>
  </si>
  <si>
    <t>05.1.08.14-1018</t>
  </si>
  <si>
    <t>Профиль гидроизолирующий для рабочих швов в монолитных железобетонных конструкциях</t>
  </si>
  <si>
    <t>04.3.02.09-1092</t>
  </si>
  <si>
    <t>Состав эластичный двухкомпонентный из сухой смеси на цементных вяжущих и синтетических полимерах в водной дисперсии, для защиты и гидроизоляции бетона</t>
  </si>
  <si>
    <t>04.3.02.09-1056</t>
  </si>
  <si>
    <t>Смеси сухие безусадочные, быстротвердеющие, для восстановления, гидроизоляции и ремонта бетонных покрытий, с заполнителем 3 мм, М500</t>
  </si>
  <si>
    <t>03.1.02.03-0011</t>
  </si>
  <si>
    <t>Известь строительная негашеная комовая, сорт I</t>
  </si>
  <si>
    <t>12.2.07.05-0044</t>
  </si>
  <si>
    <t>Трубки из вспененного полиэтилена, внутренний диаметр 30 мм, толщина 9 мм</t>
  </si>
  <si>
    <t>100 м</t>
  </si>
  <si>
    <t>14.5.01.10-0003</t>
  </si>
  <si>
    <t>Пена монтажная</t>
  </si>
  <si>
    <t>л</t>
  </si>
  <si>
    <t>14.3.01.01-0001</t>
  </si>
  <si>
    <t>Грунтовка адгезионная для обработки плотных, гладких, слабо-и не впитывающих влагу оснований</t>
  </si>
  <si>
    <t>Составил ______________________        М.С. Колотиевская</t>
  </si>
  <si>
    <t>Проверил ______________________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</si>
  <si>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</si>
  <si>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</si>
  <si>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</si>
  <si>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</si>
  <si>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</si>
  <si>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</si>
  <si>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</si>
  <si>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</si>
  <si>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</si>
  <si>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</si>
  <si>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</si>
  <si>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</si>
  <si>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</si>
  <si>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</si>
  <si>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</si>
  <si>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</si>
  <si>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</si>
  <si>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</si>
  <si>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</si>
  <si>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</si>
  <si>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</si>
  <si>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</si>
  <si>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</si>
  <si>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</si>
  <si>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</si>
  <si>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</si>
  <si>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</si>
  <si>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</si>
  <si>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</si>
  <si>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</si>
  <si>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</si>
  <si>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</si>
  <si>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</si>
  <si>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</si>
  <si>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</si>
  <si>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</si>
  <si>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</si>
  <si>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М.С. Колотиевская</t>
  </si>
  <si>
    <t xml:space="preserve">(должность, подпись, инициалы, фамилия) </t>
  </si>
  <si>
    <t>Проверил ____________________________ М.С. Колотиевская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</si>
  <si>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</si>
  <si>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</si>
  <si>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</si>
  <si>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</si>
  <si>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</si>
  <si>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</si>
  <si>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</si>
  <si>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</si>
  <si>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</si>
  <si>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</si>
  <si>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2,7)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</si>
  <si>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</si>
  <si>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</si>
  <si>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</si>
  <si>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</si>
  <si>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</si>
  <si>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</si>
  <si>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</si>
  <si>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</si>
  <si>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</si>
  <si>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</si>
  <si>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</si>
  <si>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</si>
  <si>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</si>
  <si>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</si>
  <si>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</si>
  <si>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</si>
  <si>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</si>
  <si>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</si>
  <si>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</si>
  <si>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</si>
  <si>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</si>
  <si>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</si>
  <si>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</si>
  <si>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</si>
  <si>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</si>
  <si>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</si>
  <si>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</si>
  <si>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</si>
  <si>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</si>
  <si>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</si>
  <si>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</si>
  <si>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</si>
  <si>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</si>
  <si>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</si>
  <si>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</si>
  <si>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</si>
  <si>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</si>
  <si>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</si>
  <si>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</si>
  <si>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</si>
  <si>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</si>
  <si>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</si>
  <si>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</si>
  <si>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</si>
  <si>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</si>
  <si>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</si>
  <si>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</si>
  <si>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t>Проверил ______________________        М.С. Колотиевская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</si>
  <si>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</si>
  <si>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</si>
  <si>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</si>
  <si>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</si>
  <si>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</si>
  <si>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</si>
  <si>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</si>
  <si>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Проверил ______________________        А.В. Костянецкая</t>
  </si>
  <si>
    <t>УНЦ прочих здания и сооружений ПС</t>
  </si>
  <si>
    <t>Составил ______________________      М.С. Колотиевская</t>
  </si>
  <si>
    <t>ПС 110 кВ Джуракская</t>
  </si>
  <si>
    <t>Республика Калмыкия</t>
  </si>
  <si>
    <t>IIВ</t>
  </si>
  <si>
    <t>Наружные сети водопровода/канализации - 180 м</t>
  </si>
  <si>
    <t xml:space="preserve">З1 ПС НВК 110 кВ </t>
  </si>
  <si>
    <t>Единица измерения  — 1 ПС</t>
  </si>
  <si>
    <t xml:space="preserve">Наименование разрабатываемого показателя УНЦ — Наружные сети водопровода/канализации ПС 110 кВ </t>
  </si>
  <si>
    <t xml:space="preserve">Наименование разрабатываемого показателя УНЦ -  Наружные сети водопровода/канализации ПС 110 кВ </t>
  </si>
  <si>
    <t xml:space="preserve">Наименование разрабатываемой расценки УНЦ —  Наружные сети водопровода/канализации ПС 110 кВ </t>
  </si>
  <si>
    <t>1 ПС</t>
  </si>
  <si>
    <t xml:space="preserve">Наружные сети водопровода/канализации ПС 110 кВ </t>
  </si>
  <si>
    <t xml:space="preserve">Наименование разрабатываемого показателя УНЦ —  Наружные сети водопровода/канализации ПС 110 кВ </t>
  </si>
  <si>
    <t>Прайс из СД ОП</t>
  </si>
  <si>
    <t>Расчёт</t>
  </si>
  <si>
    <t>Сметная стоимость в уровне цен 2 квартал 2020 г., тыс. руб.</t>
  </si>
  <si>
    <t>Всего по объекту в сопоставимом уровне цен 2 кв. 2020г:</t>
  </si>
  <si>
    <t>Наружные сети водопровода/канализации ПС 110 кВ</t>
  </si>
  <si>
    <t>Сопоставимый уровень цен: 2 квартал 2020г</t>
  </si>
  <si>
    <t>2 квартал 2020г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</si>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</sst>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₽_-;\-* #,##0.00\ _₽_-;_-* &quot;-&quot;??\ _₽_-;_-@_-"/>
    <numFmt numFmtId="164" formatCode="_-* #,##0.00_-;\-* #,##0.00_-;_-* &quot;-&quot;??_-;_-@_-"/>
    <numFmt numFmtId="165" formatCode="0.0%"/>
    <numFmt numFmtId="167" formatCode="#,##0.0"/>
    <numFmt numFmtId="168" formatCode="#,##0.000"/>
    <numFmt numFmtId="169" formatCode="0.0000"/>
  </numFmts>
  <fonts count="18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u/>
      <sz val="12"/>
      <color rgb="FF0563C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justify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justify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/>
    <xf numFmtId="4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top"/>
    </xf>
    <xf numFmtId="4" fontId="6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4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165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/>
    </xf>
    <xf numFmtId="4" fontId="2" fillId="0" borderId="1" xfId="0" applyNumberFormat="1" applyFont="1" applyBorder="1"/>
    <xf numFmtId="0" fontId="6" fillId="0" borderId="1" xfId="0" applyFont="1" applyBorder="1"/>
    <xf numFmtId="10" fontId="2" fillId="0" borderId="1" xfId="0" applyNumberFormat="1" applyFont="1" applyBorder="1" applyAlignment="1">
      <alignment horizontal="right" vertical="top" wrapText="1"/>
    </xf>
    <xf numFmtId="9" fontId="2" fillId="0" borderId="1" xfId="0" applyNumberFormat="1" applyFont="1" applyBorder="1" applyAlignment="1">
      <alignment horizontal="center" vertical="top" wrapText="1"/>
    </xf>
    <xf numFmtId="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 wrapText="1"/>
    </xf>
    <xf numFmtId="4" fontId="2" fillId="0" borderId="2" xfId="0" applyNumberFormat="1" applyFont="1" applyBorder="1" applyAlignment="1">
      <alignment horizontal="right" vertical="center"/>
    </xf>
    <xf numFmtId="10" fontId="2" fillId="0" borderId="2" xfId="0" applyNumberFormat="1" applyFont="1" applyBorder="1" applyAlignment="1">
      <alignment vertical="center" wrapText="1"/>
    </xf>
    <xf numFmtId="10" fontId="2" fillId="0" borderId="2" xfId="0" applyNumberFormat="1" applyFont="1" applyBorder="1" applyAlignment="1">
      <alignment vertical="center"/>
    </xf>
    <xf numFmtId="10" fontId="2" fillId="0" borderId="1" xfId="0" applyNumberFormat="1" applyFont="1" applyBorder="1"/>
    <xf numFmtId="0" fontId="2" fillId="0" borderId="3" xfId="0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justify" vertical="center" wrapText="1"/>
    </xf>
    <xf numFmtId="164" fontId="2" fillId="0" borderId="0" xfId="0" applyNumberFormat="1" applyFont="1"/>
    <xf numFmtId="49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43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0" fontId="2" fillId="2" borderId="0" xfId="0" applyFont="1" applyFill="1"/>
    <xf numFmtId="49" fontId="2" fillId="0" borderId="1" xfId="0" applyNumberFormat="1" applyFont="1" applyBorder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right" vertical="top" wrapText="1"/>
    </xf>
    <xf numFmtId="164" fontId="2" fillId="0" borderId="1" xfId="0" applyNumberFormat="1" applyFont="1" applyBorder="1"/>
    <xf numFmtId="164" fontId="6" fillId="0" borderId="1" xfId="0" applyNumberFormat="1" applyFont="1" applyBorder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vertical="center" wrapText="1"/>
    </xf>
    <xf numFmtId="0" fontId="2" fillId="0" borderId="5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center" vertical="center"/>
    </xf>
    <xf numFmtId="4" fontId="9" fillId="0" borderId="0" xfId="0" applyNumberFormat="1" applyFont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4" fontId="9" fillId="0" borderId="7" xfId="0" applyNumberFormat="1" applyFont="1" applyBorder="1" applyAlignment="1">
      <alignment vertical="center" wrapText="1"/>
    </xf>
    <xf numFmtId="4" fontId="9" fillId="0" borderId="7" xfId="0" applyNumberFormat="1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4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vertical="center" wrapText="1"/>
    </xf>
    <xf numFmtId="4" fontId="2" fillId="0" borderId="1" xfId="0" applyNumberFormat="1" applyFont="1" applyBorder="1" applyAlignment="1">
      <alignment vertical="top"/>
    </xf>
    <xf numFmtId="0" fontId="6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49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/>
    <xf numFmtId="0" fontId="2" fillId="0" borderId="0" xfId="0" applyFont="1" applyAlignment="1">
      <alignment horizontal="right"/>
    </xf>
    <xf numFmtId="4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4" fontId="9" fillId="0" borderId="0" xfId="0" applyNumberFormat="1" applyFont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top" wrapText="1"/>
    </xf>
    <xf numFmtId="164" fontId="2" fillId="0" borderId="6" xfId="0" applyNumberFormat="1" applyFont="1" applyBorder="1" applyAlignment="1">
      <alignment horizontal="center" vertical="top" wrapText="1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" fillId="0" borderId="0" xfId="1"/>
    <xf numFmtId="49" fontId="2" fillId="0" borderId="0" xfId="1" applyNumberFormat="1" applyFont="1" applyAlignment="1">
      <alignment horizontal="left" vertical="center"/>
    </xf>
    <xf numFmtId="0" fontId="2" fillId="0" borderId="0" xfId="1" applyFont="1"/>
    <xf numFmtId="0" fontId="2" fillId="0" borderId="1" xfId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4" fontId="2" fillId="0" borderId="1" xfId="1" applyNumberFormat="1" applyFont="1" applyBorder="1" applyAlignment="1">
      <alignment horizontal="center" vertical="center"/>
    </xf>
    <xf numFmtId="0" fontId="17" fillId="0" borderId="0" xfId="1" applyFont="1" applyAlignment="1">
      <alignment vertical="center"/>
    </xf>
    <xf numFmtId="167" fontId="2" fillId="0" borderId="1" xfId="1" applyNumberFormat="1" applyFont="1" applyBorder="1" applyAlignment="1">
      <alignment horizontal="center" vertical="center"/>
    </xf>
    <xf numFmtId="168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vertical="center" wrapText="1"/>
    </xf>
    <xf numFmtId="169" fontId="2" fillId="3" borderId="1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wrapText="1"/>
    </xf>
    <xf numFmtId="0" fontId="6" fillId="0" borderId="1" xfId="1" applyFont="1" applyBorder="1" applyAlignment="1">
      <alignment vertical="center" wrapText="1"/>
    </xf>
    <xf numFmtId="4" fontId="6" fillId="0" borderId="1" xfId="1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 xr:uid="{5B6D5275-8B0A-4593-B1DA-F369777B27F9}"/>
  </cellStyles>
  <dxfs count="2">
    <dxf>
      <numFmt numFmtId="166" formatCode="#,##0.0000"/>
    </dxf>
    <dxf>
      <numFmt numFmtId="166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view="pageBreakPreview" topLeftCell="A16" zoomScale="85" zoomScaleNormal="85" workbookViewId="0">
      <selection activeCell="C24" sqref="C24"/>
    </sheetView>
  </sheetViews>
  <sheetFormatPr defaultColWidth="9.140625" defaultRowHeight="15.75" x14ac:dyDescent="0.25"/>
  <cols>
    <col min="1" max="1" width="5.5703125" style="1" customWidth="1"/>
    <col min="2" max="2" width="53.28515625" style="1" customWidth="1"/>
    <col min="3" max="3" width="46.42578125" style="1" customWidth="1"/>
    <col min="4" max="4" width="9.140625" style="1"/>
    <col min="5" max="5" width="12.42578125" style="1" customWidth="1"/>
    <col min="6" max="6" width="15.42578125" style="1" customWidth="1"/>
    <col min="7" max="7" width="11.42578125" style="1" customWidth="1"/>
    <col min="8" max="8" width="9.140625" style="1"/>
  </cols>
  <sheetData>
    <row r="1" spans="1:9" s="1" customFormat="1" x14ac:dyDescent="0.25">
      <c r="B1" s="89" t="s">
        <v>0</v>
      </c>
      <c r="C1" s="89"/>
      <c r="D1" s="89"/>
      <c r="E1" s="89"/>
    </row>
    <row r="2" spans="1:9" s="1" customFormat="1" x14ac:dyDescent="0.25">
      <c r="B2" s="90" t="s">
        <v>1</v>
      </c>
      <c r="C2" s="90"/>
      <c r="D2" s="90"/>
      <c r="E2" s="90"/>
    </row>
    <row r="3" spans="1:9" s="1" customFormat="1" x14ac:dyDescent="0.25">
      <c r="B3" s="57"/>
      <c r="C3" s="57"/>
      <c r="D3" s="57"/>
      <c r="E3" s="57"/>
    </row>
    <row r="4" spans="1:9" s="1" customFormat="1" x14ac:dyDescent="0.25">
      <c r="B4" s="57"/>
      <c r="C4" s="57"/>
      <c r="D4" s="57"/>
      <c r="E4" s="57"/>
    </row>
    <row r="5" spans="1:9" s="1" customFormat="1" x14ac:dyDescent="0.25">
      <c r="B5" s="91" t="s">
        <v>337</v>
      </c>
      <c r="C5" s="91"/>
      <c r="D5" s="91"/>
      <c r="E5" s="91"/>
      <c r="G5" s="3"/>
    </row>
    <row r="6" spans="1:9" s="1" customFormat="1" ht="31.7" customHeight="1" x14ac:dyDescent="0.25">
      <c r="B6" s="91" t="s">
        <v>348</v>
      </c>
      <c r="C6" s="91"/>
      <c r="D6" s="91"/>
      <c r="E6" s="91"/>
    </row>
    <row r="7" spans="1:9" s="1" customFormat="1" ht="15.75" customHeight="1" x14ac:dyDescent="0.25">
      <c r="B7" s="91" t="s">
        <v>336</v>
      </c>
      <c r="C7" s="91"/>
      <c r="D7" s="91"/>
      <c r="E7" s="91"/>
      <c r="G7" s="3"/>
    </row>
    <row r="10" spans="1:9" ht="31.5" customHeight="1" x14ac:dyDescent="0.25">
      <c r="A10" s="4" t="s">
        <v>2</v>
      </c>
      <c r="B10" s="4" t="s">
        <v>3</v>
      </c>
      <c r="C10" s="4" t="s">
        <v>4</v>
      </c>
    </row>
    <row r="11" spans="1:9" ht="78" customHeight="1" x14ac:dyDescent="0.25">
      <c r="A11" s="4">
        <v>1</v>
      </c>
      <c r="B11" s="8" t="s">
        <v>5</v>
      </c>
      <c r="C11" s="4" t="s">
        <v>331</v>
      </c>
    </row>
    <row r="12" spans="1:9" ht="31.5" customHeight="1" x14ac:dyDescent="0.25">
      <c r="A12" s="4">
        <v>2</v>
      </c>
      <c r="B12" s="8" t="s">
        <v>6</v>
      </c>
      <c r="C12" s="4" t="s">
        <v>332</v>
      </c>
    </row>
    <row r="13" spans="1:9" ht="31.5" customHeight="1" x14ac:dyDescent="0.25">
      <c r="A13" s="4">
        <v>3</v>
      </c>
      <c r="B13" s="8" t="s">
        <v>7</v>
      </c>
      <c r="C13" s="4" t="s">
        <v>333</v>
      </c>
    </row>
    <row r="14" spans="1:9" x14ac:dyDescent="0.25">
      <c r="A14" s="4">
        <v>4</v>
      </c>
      <c r="B14" s="8" t="s">
        <v>8</v>
      </c>
      <c r="C14" s="4">
        <v>1</v>
      </c>
    </row>
    <row r="15" spans="1:9" ht="189" customHeight="1" x14ac:dyDescent="0.25">
      <c r="A15" s="4">
        <v>5</v>
      </c>
      <c r="B15" s="8" t="s">
        <v>9</v>
      </c>
      <c r="C15" s="87" t="s">
        <v>334</v>
      </c>
      <c r="G15" s="59"/>
      <c r="H15" s="59"/>
      <c r="I15" s="59"/>
    </row>
    <row r="16" spans="1:9" ht="109.15" customHeight="1" x14ac:dyDescent="0.25">
      <c r="A16" s="4">
        <v>6</v>
      </c>
      <c r="B16" s="58" t="s">
        <v>10</v>
      </c>
      <c r="C16" s="4">
        <f>C17+C18</f>
        <v>6074.0586411000013</v>
      </c>
      <c r="G16" s="59"/>
      <c r="H16" s="59"/>
      <c r="I16" s="59"/>
    </row>
    <row r="17" spans="1:9" ht="31.5" customHeight="1" x14ac:dyDescent="0.25">
      <c r="A17" s="60" t="s">
        <v>11</v>
      </c>
      <c r="B17" s="58" t="s">
        <v>12</v>
      </c>
      <c r="C17" s="4">
        <f>'Прил.2 Расч стоим'!F14</f>
        <v>6074.0586411000013</v>
      </c>
      <c r="G17" s="59"/>
      <c r="H17" s="59"/>
      <c r="I17" s="59"/>
    </row>
    <row r="18" spans="1:9" ht="63.75" customHeight="1" x14ac:dyDescent="0.25">
      <c r="A18" s="60" t="s">
        <v>13</v>
      </c>
      <c r="B18" s="58" t="s">
        <v>14</v>
      </c>
      <c r="C18" s="4">
        <f>'Прил.2 Расч стоим'!H14</f>
        <v>0</v>
      </c>
      <c r="G18" s="62"/>
      <c r="H18" s="62"/>
      <c r="I18" s="62"/>
    </row>
    <row r="19" spans="1:9" x14ac:dyDescent="0.25">
      <c r="A19" s="60" t="s">
        <v>15</v>
      </c>
      <c r="B19" s="8" t="s">
        <v>16</v>
      </c>
      <c r="C19" s="61"/>
      <c r="I19" s="1"/>
    </row>
    <row r="20" spans="1:9" ht="31.5" customHeight="1" x14ac:dyDescent="0.25">
      <c r="A20" s="60" t="s">
        <v>17</v>
      </c>
      <c r="B20" s="8" t="s">
        <v>18</v>
      </c>
      <c r="C20" s="4"/>
    </row>
    <row r="21" spans="1:9" x14ac:dyDescent="0.25">
      <c r="A21" s="63">
        <v>7</v>
      </c>
      <c r="B21" s="8" t="s">
        <v>19</v>
      </c>
      <c r="C21" s="4" t="s">
        <v>349</v>
      </c>
    </row>
    <row r="22" spans="1:9" ht="140.44999999999999" customHeight="1" x14ac:dyDescent="0.25">
      <c r="A22" s="63">
        <v>8</v>
      </c>
      <c r="B22" s="8" t="s">
        <v>20</v>
      </c>
      <c r="C22" s="64">
        <f>C16</f>
        <v>6074.0586411000013</v>
      </c>
    </row>
    <row r="23" spans="1:9" ht="62.45" customHeight="1" x14ac:dyDescent="0.25">
      <c r="A23" s="63">
        <v>9</v>
      </c>
      <c r="B23" s="8" t="s">
        <v>21</v>
      </c>
      <c r="C23" s="65">
        <f>C16/C14</f>
        <v>6074.0586411000013</v>
      </c>
    </row>
    <row r="24" spans="1:9" x14ac:dyDescent="0.25">
      <c r="A24" s="63">
        <v>10</v>
      </c>
      <c r="B24" s="8" t="s">
        <v>22</v>
      </c>
      <c r="C24" s="4"/>
    </row>
  </sheetData>
  <mergeCells count="5">
    <mergeCell ref="B1:E1"/>
    <mergeCell ref="B2:E2"/>
    <mergeCell ref="B5:E5"/>
    <mergeCell ref="B6:E6"/>
    <mergeCell ref="B7:E7"/>
  </mergeCells>
  <pageMargins left="0.7" right="0.7" top="0.75" bottom="0.75" header="0.3" footer="0.3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24"/>
  <sheetViews>
    <sheetView view="pageBreakPreview" zoomScaleNormal="85" workbookViewId="0">
      <selection activeCell="H12" sqref="H12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28.140625" style="1" customWidth="1"/>
    <col min="4" max="4" width="15.42578125" style="1" customWidth="1"/>
    <col min="5" max="5" width="39" style="1" customWidth="1"/>
    <col min="6" max="6" width="17.85546875" style="1" customWidth="1"/>
    <col min="7" max="7" width="21.42578125" style="1" customWidth="1"/>
    <col min="8" max="8" width="19.42578125" style="1" customWidth="1"/>
    <col min="9" max="9" width="13" style="1" customWidth="1"/>
    <col min="10" max="10" width="20.85546875" style="1" customWidth="1"/>
    <col min="11" max="11" width="18" style="1" customWidth="1"/>
    <col min="12" max="12" width="9.140625" style="1"/>
  </cols>
  <sheetData>
    <row r="3" spans="2:12" x14ac:dyDescent="0.25">
      <c r="B3" s="89" t="s">
        <v>23</v>
      </c>
      <c r="C3" s="89"/>
      <c r="D3" s="89"/>
      <c r="E3" s="89"/>
      <c r="F3" s="89"/>
      <c r="G3" s="89"/>
      <c r="H3" s="89"/>
      <c r="I3" s="89"/>
      <c r="J3" s="89"/>
      <c r="K3" s="5"/>
    </row>
    <row r="4" spans="2:12" x14ac:dyDescent="0.25">
      <c r="B4" s="90" t="s">
        <v>24</v>
      </c>
      <c r="C4" s="90"/>
      <c r="D4" s="90"/>
      <c r="E4" s="90"/>
      <c r="F4" s="90"/>
      <c r="G4" s="90"/>
      <c r="H4" s="90"/>
      <c r="I4" s="90"/>
      <c r="J4" s="90"/>
      <c r="K4" s="90"/>
    </row>
    <row r="5" spans="2:12" x14ac:dyDescent="0.25">
      <c r="B5" s="57"/>
      <c r="C5" s="57"/>
      <c r="D5" s="57"/>
      <c r="E5" s="57"/>
      <c r="F5" s="57"/>
      <c r="G5" s="57"/>
      <c r="H5" s="57"/>
      <c r="I5" s="57"/>
      <c r="J5" s="57"/>
      <c r="K5" s="57"/>
    </row>
    <row r="6" spans="2:12" x14ac:dyDescent="0.25">
      <c r="B6" s="91" t="str">
        <f>'Прил.1 Сравнит табл'!B5:E5</f>
        <v xml:space="preserve">Наименование разрабатываемого показателя УНЦ — Наружные сети водопровода/канализации ПС 110 кВ </v>
      </c>
      <c r="C6" s="91"/>
      <c r="D6" s="91"/>
      <c r="E6" s="91"/>
      <c r="F6" s="91"/>
      <c r="G6" s="91"/>
      <c r="H6" s="91"/>
      <c r="I6" s="91"/>
      <c r="J6" s="91"/>
      <c r="K6" s="91"/>
      <c r="L6" s="3"/>
    </row>
    <row r="7" spans="2:12" x14ac:dyDescent="0.25">
      <c r="B7" s="92" t="str">
        <f>'Прил.1 Сравнит табл'!B7:E7</f>
        <v>Единица измерения  — 1 ПС</v>
      </c>
      <c r="C7" s="92"/>
      <c r="D7" s="92"/>
      <c r="E7" s="92"/>
      <c r="F7" s="92"/>
      <c r="G7" s="91"/>
      <c r="H7" s="91"/>
      <c r="I7" s="91"/>
      <c r="J7" s="91"/>
      <c r="K7" s="91"/>
      <c r="L7" s="3"/>
    </row>
    <row r="8" spans="2:12" x14ac:dyDescent="0.25">
      <c r="B8" s="2"/>
      <c r="K8" s="66"/>
    </row>
    <row r="9" spans="2:12" x14ac:dyDescent="0.25">
      <c r="B9" s="93" t="s">
        <v>2</v>
      </c>
      <c r="C9" s="93" t="s">
        <v>25</v>
      </c>
      <c r="D9" s="93" t="str">
        <f>'Прил.1 Сравнит табл'!C11</f>
        <v>ПС 110 кВ Джуракская</v>
      </c>
      <c r="E9" s="93"/>
      <c r="F9" s="93"/>
      <c r="G9" s="93"/>
      <c r="H9" s="93"/>
      <c r="I9" s="93"/>
      <c r="J9" s="93"/>
    </row>
    <row r="10" spans="2:12" x14ac:dyDescent="0.25">
      <c r="B10" s="93"/>
      <c r="C10" s="93"/>
      <c r="D10" s="93" t="s">
        <v>26</v>
      </c>
      <c r="E10" s="93" t="s">
        <v>27</v>
      </c>
      <c r="F10" s="93" t="s">
        <v>345</v>
      </c>
      <c r="G10" s="93"/>
      <c r="H10" s="93"/>
      <c r="I10" s="93"/>
      <c r="J10" s="93"/>
    </row>
    <row r="11" spans="2:12" ht="31.5" customHeight="1" x14ac:dyDescent="0.25">
      <c r="B11" s="93"/>
      <c r="C11" s="93"/>
      <c r="D11" s="93"/>
      <c r="E11" s="93"/>
      <c r="F11" s="4" t="s">
        <v>28</v>
      </c>
      <c r="G11" s="4" t="s">
        <v>29</v>
      </c>
      <c r="H11" s="4" t="s">
        <v>30</v>
      </c>
      <c r="I11" s="4" t="s">
        <v>31</v>
      </c>
      <c r="J11" s="4" t="s">
        <v>32</v>
      </c>
    </row>
    <row r="12" spans="2:12" ht="31.5" customHeight="1" x14ac:dyDescent="0.25">
      <c r="B12" s="4"/>
      <c r="C12" s="19" t="s">
        <v>347</v>
      </c>
      <c r="D12" s="67"/>
      <c r="E12" s="68"/>
      <c r="F12" s="120">
        <v>6074.0586411000013</v>
      </c>
      <c r="G12" s="121"/>
      <c r="H12" s="69">
        <v>0</v>
      </c>
      <c r="I12" s="69"/>
      <c r="J12" s="69">
        <v>6074.0586411000013</v>
      </c>
    </row>
    <row r="13" spans="2:12" x14ac:dyDescent="0.25">
      <c r="B13" s="94" t="s">
        <v>33</v>
      </c>
      <c r="C13" s="94"/>
      <c r="D13" s="94"/>
      <c r="E13" s="94"/>
      <c r="F13" s="70"/>
      <c r="G13" s="70"/>
      <c r="H13" s="70"/>
      <c r="I13" s="70"/>
      <c r="J13" s="70"/>
    </row>
    <row r="14" spans="2:12" x14ac:dyDescent="0.25">
      <c r="B14" s="94" t="s">
        <v>346</v>
      </c>
      <c r="C14" s="94"/>
      <c r="D14" s="94"/>
      <c r="E14" s="94"/>
      <c r="F14" s="122">
        <f>F12</f>
        <v>6074.0586411000013</v>
      </c>
      <c r="G14" s="123"/>
      <c r="H14" s="71">
        <f>H12</f>
        <v>0</v>
      </c>
      <c r="I14" s="71"/>
      <c r="J14" s="71">
        <f>J12</f>
        <v>6074.0586411000013</v>
      </c>
    </row>
    <row r="15" spans="2:12" x14ac:dyDescent="0.25">
      <c r="B15" s="72"/>
      <c r="C15" s="72"/>
      <c r="D15" s="72"/>
      <c r="E15" s="72"/>
      <c r="F15" s="73"/>
      <c r="G15" s="73"/>
      <c r="H15" s="73"/>
      <c r="I15" s="73"/>
      <c r="J15" s="73"/>
    </row>
    <row r="16" spans="2:12" x14ac:dyDescent="0.25">
      <c r="B16" s="2"/>
      <c r="K16" s="36"/>
    </row>
    <row r="17" spans="2:3" x14ac:dyDescent="0.25">
      <c r="B17" s="2"/>
    </row>
    <row r="18" spans="2:3" x14ac:dyDescent="0.25">
      <c r="B18" s="2"/>
    </row>
    <row r="20" spans="2:3" x14ac:dyDescent="0.25">
      <c r="C20" s="1" t="s">
        <v>34</v>
      </c>
    </row>
    <row r="21" spans="2:3" x14ac:dyDescent="0.25">
      <c r="C21" s="5" t="s">
        <v>35</v>
      </c>
    </row>
    <row r="23" spans="2:3" x14ac:dyDescent="0.25">
      <c r="C23" s="1" t="s">
        <v>36</v>
      </c>
    </row>
    <row r="24" spans="2:3" x14ac:dyDescent="0.25">
      <c r="C24" s="5" t="s">
        <v>37</v>
      </c>
    </row>
  </sheetData>
  <mergeCells count="14">
    <mergeCell ref="F12:G12"/>
    <mergeCell ref="F14:G14"/>
    <mergeCell ref="B13:E13"/>
    <mergeCell ref="B14:E14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B3:J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3"/>
  <sheetViews>
    <sheetView workbookViewId="0">
      <selection activeCell="F61" sqref="F61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</cols>
  <sheetData>
    <row r="2" spans="1:12" ht="15.6" customHeight="1" x14ac:dyDescent="0.25">
      <c r="A2" s="89" t="s">
        <v>38</v>
      </c>
      <c r="B2" s="89"/>
      <c r="C2" s="89"/>
      <c r="D2" s="89"/>
      <c r="E2" s="89"/>
      <c r="F2" s="89"/>
      <c r="G2" s="89"/>
      <c r="H2" s="89"/>
    </row>
    <row r="3" spans="1:12" ht="17.45" customHeight="1" x14ac:dyDescent="0.25">
      <c r="A3" s="100" t="s">
        <v>39</v>
      </c>
      <c r="B3" s="100"/>
      <c r="C3" s="100"/>
      <c r="D3" s="100"/>
      <c r="E3" s="100"/>
      <c r="F3" s="100"/>
      <c r="G3" s="100"/>
      <c r="H3" s="100"/>
    </row>
    <row r="4" spans="1:12" ht="18.75" customHeight="1" x14ac:dyDescent="0.25">
      <c r="A4" s="10"/>
      <c r="B4" s="10"/>
      <c r="C4" s="101" t="s">
        <v>40</v>
      </c>
      <c r="D4" s="101"/>
      <c r="E4" s="101"/>
      <c r="F4" s="101"/>
      <c r="G4" s="101"/>
      <c r="H4" s="101"/>
      <c r="I4" s="1"/>
      <c r="J4" s="1"/>
      <c r="K4" s="1"/>
      <c r="L4" s="1"/>
    </row>
    <row r="5" spans="1:12" ht="18" customHeight="1" x14ac:dyDescent="0.25">
      <c r="A5" s="7"/>
    </row>
    <row r="6" spans="1:12" ht="15.6" customHeight="1" x14ac:dyDescent="0.25">
      <c r="A6" s="92" t="s">
        <v>338</v>
      </c>
      <c r="B6" s="92"/>
      <c r="C6" s="92"/>
      <c r="D6" s="92"/>
      <c r="E6" s="92"/>
      <c r="F6" s="92"/>
      <c r="G6" s="92"/>
      <c r="H6" s="92"/>
    </row>
    <row r="7" spans="1:12" s="1" customFormat="1" ht="15.6" customHeight="1" x14ac:dyDescent="0.25">
      <c r="A7" s="74"/>
      <c r="B7" s="74"/>
      <c r="C7" s="74"/>
      <c r="D7" s="74"/>
      <c r="E7" s="74"/>
      <c r="F7" s="74"/>
      <c r="G7" s="74"/>
      <c r="H7" s="74"/>
    </row>
    <row r="8" spans="1:12" s="1" customFormat="1" ht="38.25" customHeight="1" x14ac:dyDescent="0.25">
      <c r="A8" s="96" t="s">
        <v>41</v>
      </c>
      <c r="B8" s="96" t="s">
        <v>42</v>
      </c>
      <c r="C8" s="96" t="s">
        <v>43</v>
      </c>
      <c r="D8" s="96" t="s">
        <v>44</v>
      </c>
      <c r="E8" s="96" t="s">
        <v>45</v>
      </c>
      <c r="F8" s="96" t="s">
        <v>46</v>
      </c>
      <c r="G8" s="96" t="s">
        <v>47</v>
      </c>
      <c r="H8" s="96"/>
    </row>
    <row r="9" spans="1:12" s="1" customFormat="1" ht="40.700000000000003" customHeight="1" x14ac:dyDescent="0.25">
      <c r="A9" s="93"/>
      <c r="B9" s="93"/>
      <c r="C9" s="93"/>
      <c r="D9" s="93"/>
      <c r="E9" s="93"/>
      <c r="F9" s="93"/>
      <c r="G9" s="4" t="s">
        <v>48</v>
      </c>
      <c r="H9" s="4" t="s">
        <v>49</v>
      </c>
    </row>
    <row r="10" spans="1:12" s="1" customFormat="1" ht="15.6" customHeight="1" x14ac:dyDescent="0.25">
      <c r="A10" s="4">
        <v>1</v>
      </c>
      <c r="B10" s="4"/>
      <c r="C10" s="4">
        <v>2</v>
      </c>
      <c r="D10" s="4" t="s">
        <v>50</v>
      </c>
      <c r="E10" s="4">
        <v>4</v>
      </c>
      <c r="F10" s="4">
        <v>5</v>
      </c>
      <c r="G10" s="12">
        <v>6</v>
      </c>
      <c r="H10" s="12">
        <v>7</v>
      </c>
    </row>
    <row r="11" spans="1:12" s="11" customFormat="1" ht="15.6" customHeight="1" x14ac:dyDescent="0.25">
      <c r="A11" s="97" t="s">
        <v>51</v>
      </c>
      <c r="B11" s="98"/>
      <c r="C11" s="99"/>
      <c r="D11" s="99"/>
      <c r="E11" s="98"/>
      <c r="F11" s="13">
        <f>SUM(F12:F25)</f>
        <v>131.61661349275991</v>
      </c>
      <c r="G11" s="14"/>
      <c r="H11" s="14">
        <f>SUM(H12:H25)</f>
        <v>1105.6400000000003</v>
      </c>
    </row>
    <row r="12" spans="1:12" s="1" customFormat="1" ht="15.6" customHeight="1" x14ac:dyDescent="0.25">
      <c r="A12" s="15">
        <v>1</v>
      </c>
      <c r="B12" s="15"/>
      <c r="C12" s="16" t="s">
        <v>52</v>
      </c>
      <c r="D12" s="16" t="s">
        <v>53</v>
      </c>
      <c r="E12" s="15" t="s">
        <v>54</v>
      </c>
      <c r="F12" s="15">
        <v>47.586247536911252</v>
      </c>
      <c r="G12" s="17">
        <v>7.5</v>
      </c>
      <c r="H12" s="17">
        <f t="shared" ref="H12:H25" si="0">ROUND(F12*G12,2)</f>
        <v>356.9</v>
      </c>
    </row>
    <row r="13" spans="1:12" s="1" customFormat="1" ht="15.6" customHeight="1" x14ac:dyDescent="0.25">
      <c r="A13" s="15">
        <v>2</v>
      </c>
      <c r="B13" s="15"/>
      <c r="C13" s="16" t="s">
        <v>55</v>
      </c>
      <c r="D13" s="16" t="s">
        <v>56</v>
      </c>
      <c r="E13" s="15" t="s">
        <v>54</v>
      </c>
      <c r="F13" s="88">
        <v>18.343148518186599</v>
      </c>
      <c r="G13" s="17">
        <v>8.9700000000000006</v>
      </c>
      <c r="H13" s="17">
        <f t="shared" si="0"/>
        <v>164.54</v>
      </c>
    </row>
    <row r="14" spans="1:12" s="1" customFormat="1" ht="15.6" customHeight="1" x14ac:dyDescent="0.25">
      <c r="A14" s="15">
        <v>3</v>
      </c>
      <c r="B14" s="15"/>
      <c r="C14" s="16" t="s">
        <v>57</v>
      </c>
      <c r="D14" s="16" t="s">
        <v>58</v>
      </c>
      <c r="E14" s="15" t="s">
        <v>54</v>
      </c>
      <c r="F14" s="88">
        <v>17.638161922805288</v>
      </c>
      <c r="G14" s="17">
        <v>9.2899999999999991</v>
      </c>
      <c r="H14" s="17">
        <f t="shared" si="0"/>
        <v>163.86</v>
      </c>
    </row>
    <row r="15" spans="1:12" s="1" customFormat="1" ht="15.6" customHeight="1" x14ac:dyDescent="0.25">
      <c r="A15" s="15">
        <v>4</v>
      </c>
      <c r="B15" s="15"/>
      <c r="C15" s="16" t="s">
        <v>59</v>
      </c>
      <c r="D15" s="16" t="s">
        <v>60</v>
      </c>
      <c r="E15" s="15" t="s">
        <v>54</v>
      </c>
      <c r="F15" s="88">
        <v>17.387058649444697</v>
      </c>
      <c r="G15" s="17">
        <v>9.18</v>
      </c>
      <c r="H15" s="17">
        <f t="shared" si="0"/>
        <v>159.61000000000001</v>
      </c>
    </row>
    <row r="16" spans="1:12" s="1" customFormat="1" ht="15.6" customHeight="1" x14ac:dyDescent="0.25">
      <c r="A16" s="15">
        <v>5</v>
      </c>
      <c r="B16" s="15"/>
      <c r="C16" s="16" t="s">
        <v>61</v>
      </c>
      <c r="D16" s="16" t="s">
        <v>62</v>
      </c>
      <c r="E16" s="15" t="s">
        <v>54</v>
      </c>
      <c r="F16" s="88">
        <v>9.2857868302469999</v>
      </c>
      <c r="G16" s="17">
        <v>8.5299999999999994</v>
      </c>
      <c r="H16" s="17">
        <f t="shared" si="0"/>
        <v>79.209999999999994</v>
      </c>
    </row>
    <row r="17" spans="1:8" s="1" customFormat="1" ht="15.6" customHeight="1" x14ac:dyDescent="0.25">
      <c r="A17" s="15">
        <v>6</v>
      </c>
      <c r="B17" s="15"/>
      <c r="C17" s="16" t="s">
        <v>63</v>
      </c>
      <c r="D17" s="16" t="s">
        <v>64</v>
      </c>
      <c r="E17" s="15" t="s">
        <v>54</v>
      </c>
      <c r="F17" s="88">
        <v>9.5520951251115669</v>
      </c>
      <c r="G17" s="17">
        <v>8.17</v>
      </c>
      <c r="H17" s="17">
        <f t="shared" si="0"/>
        <v>78.040000000000006</v>
      </c>
    </row>
    <row r="18" spans="1:8" s="1" customFormat="1" ht="15.6" customHeight="1" x14ac:dyDescent="0.25">
      <c r="A18" s="15">
        <v>7</v>
      </c>
      <c r="B18" s="15"/>
      <c r="C18" s="16" t="s">
        <v>65</v>
      </c>
      <c r="D18" s="16" t="s">
        <v>66</v>
      </c>
      <c r="E18" s="15" t="s">
        <v>54</v>
      </c>
      <c r="F18" s="88">
        <v>4.944628858693954</v>
      </c>
      <c r="G18" s="17">
        <v>8.86</v>
      </c>
      <c r="H18" s="17">
        <f t="shared" si="0"/>
        <v>43.81</v>
      </c>
    </row>
    <row r="19" spans="1:8" s="1" customFormat="1" ht="15.6" customHeight="1" x14ac:dyDescent="0.25">
      <c r="A19" s="15">
        <v>8</v>
      </c>
      <c r="B19" s="15"/>
      <c r="C19" s="16" t="s">
        <v>67</v>
      </c>
      <c r="D19" s="16" t="s">
        <v>68</v>
      </c>
      <c r="E19" s="15" t="s">
        <v>54</v>
      </c>
      <c r="F19" s="88">
        <v>4.1326597696341683</v>
      </c>
      <c r="G19" s="17">
        <v>8.3800000000000008</v>
      </c>
      <c r="H19" s="17">
        <f t="shared" si="0"/>
        <v>34.630000000000003</v>
      </c>
    </row>
    <row r="20" spans="1:8" s="1" customFormat="1" ht="15.6" customHeight="1" x14ac:dyDescent="0.25">
      <c r="A20" s="15">
        <v>9</v>
      </c>
      <c r="B20" s="15"/>
      <c r="C20" s="16" t="s">
        <v>69</v>
      </c>
      <c r="D20" s="16" t="s">
        <v>70</v>
      </c>
      <c r="E20" s="15" t="s">
        <v>54</v>
      </c>
      <c r="F20" s="88">
        <v>1.4822196705161799</v>
      </c>
      <c r="G20" s="17">
        <v>9.07</v>
      </c>
      <c r="H20" s="17">
        <f t="shared" si="0"/>
        <v>13.44</v>
      </c>
    </row>
    <row r="21" spans="1:8" s="1" customFormat="1" ht="15.6" customHeight="1" x14ac:dyDescent="0.25">
      <c r="A21" s="15">
        <v>10</v>
      </c>
      <c r="B21" s="15"/>
      <c r="C21" s="16" t="s">
        <v>71</v>
      </c>
      <c r="D21" s="16" t="s">
        <v>72</v>
      </c>
      <c r="E21" s="15" t="s">
        <v>54</v>
      </c>
      <c r="F21" s="88">
        <v>0.35904944694310137</v>
      </c>
      <c r="G21" s="17">
        <v>9.4</v>
      </c>
      <c r="H21" s="17">
        <f t="shared" si="0"/>
        <v>3.38</v>
      </c>
    </row>
    <row r="22" spans="1:8" s="1" customFormat="1" ht="15.6" customHeight="1" x14ac:dyDescent="0.25">
      <c r="A22" s="15">
        <v>11</v>
      </c>
      <c r="B22" s="15"/>
      <c r="C22" s="16" t="s">
        <v>73</v>
      </c>
      <c r="D22" s="16" t="s">
        <v>74</v>
      </c>
      <c r="E22" s="15" t="s">
        <v>54</v>
      </c>
      <c r="F22" s="88">
        <v>0.34976342513491393</v>
      </c>
      <c r="G22" s="17">
        <v>8.31</v>
      </c>
      <c r="H22" s="17">
        <f t="shared" si="0"/>
        <v>2.91</v>
      </c>
    </row>
    <row r="23" spans="1:8" s="1" customFormat="1" ht="15.6" customHeight="1" x14ac:dyDescent="0.25">
      <c r="A23" s="15">
        <v>12</v>
      </c>
      <c r="B23" s="15"/>
      <c r="C23" s="16" t="s">
        <v>75</v>
      </c>
      <c r="D23" s="16" t="s">
        <v>76</v>
      </c>
      <c r="E23" s="15" t="s">
        <v>54</v>
      </c>
      <c r="F23" s="88">
        <v>0.28988736243119395</v>
      </c>
      <c r="G23" s="17">
        <v>9.6199999999999992</v>
      </c>
      <c r="H23" s="17">
        <f t="shared" si="0"/>
        <v>2.79</v>
      </c>
    </row>
    <row r="24" spans="1:8" s="1" customFormat="1" ht="15.6" customHeight="1" x14ac:dyDescent="0.25">
      <c r="A24" s="15">
        <v>13</v>
      </c>
      <c r="B24" s="15"/>
      <c r="C24" s="16" t="s">
        <v>77</v>
      </c>
      <c r="D24" s="16" t="s">
        <v>78</v>
      </c>
      <c r="E24" s="15" t="s">
        <v>54</v>
      </c>
      <c r="F24" s="88">
        <v>0.26331435373897943</v>
      </c>
      <c r="G24" s="17">
        <v>9.51</v>
      </c>
      <c r="H24" s="17">
        <f t="shared" si="0"/>
        <v>2.5</v>
      </c>
    </row>
    <row r="25" spans="1:8" s="1" customFormat="1" ht="15.6" customHeight="1" x14ac:dyDescent="0.25">
      <c r="A25" s="15">
        <v>14</v>
      </c>
      <c r="B25" s="15"/>
      <c r="C25" s="16" t="s">
        <v>79</v>
      </c>
      <c r="D25" s="16" t="s">
        <v>80</v>
      </c>
      <c r="E25" s="15" t="s">
        <v>54</v>
      </c>
      <c r="F25" s="88">
        <v>2.5920229610521539E-3</v>
      </c>
      <c r="G25" s="17">
        <v>8.64</v>
      </c>
      <c r="H25" s="17">
        <f t="shared" si="0"/>
        <v>0.02</v>
      </c>
    </row>
    <row r="26" spans="1:8" s="11" customFormat="1" ht="15.6" customHeight="1" x14ac:dyDescent="0.25">
      <c r="A26" s="97" t="s">
        <v>81</v>
      </c>
      <c r="B26" s="98"/>
      <c r="C26" s="99"/>
      <c r="D26" s="99"/>
      <c r="E26" s="98"/>
      <c r="F26" s="13">
        <v>21.058658158841499</v>
      </c>
      <c r="G26" s="14"/>
      <c r="H26" s="14">
        <f>SUM(H27:H27)</f>
        <v>277.76</v>
      </c>
    </row>
    <row r="27" spans="1:8" s="1" customFormat="1" ht="15.6" customHeight="1" x14ac:dyDescent="0.25">
      <c r="A27" s="15">
        <v>15</v>
      </c>
      <c r="B27" s="15"/>
      <c r="C27" s="16">
        <v>2</v>
      </c>
      <c r="D27" s="16" t="s">
        <v>81</v>
      </c>
      <c r="E27" s="15" t="s">
        <v>54</v>
      </c>
      <c r="F27" s="15">
        <v>21.058658158841499</v>
      </c>
      <c r="G27" s="17">
        <v>13.19</v>
      </c>
      <c r="H27" s="17">
        <f>ROUND(F27*G27,2)</f>
        <v>277.76</v>
      </c>
    </row>
    <row r="28" spans="1:8" s="11" customFormat="1" ht="15.6" customHeight="1" x14ac:dyDescent="0.25">
      <c r="A28" s="97" t="s">
        <v>82</v>
      </c>
      <c r="B28" s="98"/>
      <c r="C28" s="99"/>
      <c r="D28" s="99"/>
      <c r="E28" s="98"/>
      <c r="F28" s="13"/>
      <c r="G28" s="14"/>
      <c r="H28" s="14">
        <f>SUM(H29:H46)</f>
        <v>1561.9099999999999</v>
      </c>
    </row>
    <row r="29" spans="1:8" s="1" customFormat="1" ht="15.6" customHeight="1" x14ac:dyDescent="0.25">
      <c r="A29" s="15">
        <v>16</v>
      </c>
      <c r="B29" s="15"/>
      <c r="C29" s="18" t="s">
        <v>83</v>
      </c>
      <c r="D29" s="16" t="s">
        <v>84</v>
      </c>
      <c r="E29" s="15" t="s">
        <v>85</v>
      </c>
      <c r="F29" s="15">
        <v>4.8870423210134568</v>
      </c>
      <c r="G29" s="17">
        <v>100.1</v>
      </c>
      <c r="H29" s="17">
        <f t="shared" ref="H29:H46" si="1">ROUND(F29*G29,2)</f>
        <v>489.19</v>
      </c>
    </row>
    <row r="30" spans="1:8" s="1" customFormat="1" ht="15.6" customHeight="1" x14ac:dyDescent="0.25">
      <c r="A30" s="15">
        <v>17</v>
      </c>
      <c r="B30" s="15"/>
      <c r="C30" s="18" t="s">
        <v>86</v>
      </c>
      <c r="D30" s="16" t="s">
        <v>87</v>
      </c>
      <c r="E30" s="15" t="s">
        <v>85</v>
      </c>
      <c r="F30" s="15">
        <v>3.9982374270960057</v>
      </c>
      <c r="G30" s="17">
        <v>105.81</v>
      </c>
      <c r="H30" s="17">
        <f t="shared" si="1"/>
        <v>423.05</v>
      </c>
    </row>
    <row r="31" spans="1:8" s="1" customFormat="1" ht="46.9" customHeight="1" x14ac:dyDescent="0.25">
      <c r="A31" s="15">
        <v>18</v>
      </c>
      <c r="B31" s="15"/>
      <c r="C31" s="18" t="s">
        <v>88</v>
      </c>
      <c r="D31" s="16" t="s">
        <v>89</v>
      </c>
      <c r="E31" s="15" t="s">
        <v>85</v>
      </c>
      <c r="F31" s="15">
        <v>3.9982669129045063</v>
      </c>
      <c r="G31" s="17">
        <v>71</v>
      </c>
      <c r="H31" s="17">
        <f t="shared" si="1"/>
        <v>283.88</v>
      </c>
    </row>
    <row r="32" spans="1:8" s="1" customFormat="1" ht="31.5" customHeight="1" x14ac:dyDescent="0.25">
      <c r="A32" s="15">
        <v>19</v>
      </c>
      <c r="B32" s="15"/>
      <c r="C32" s="18" t="s">
        <v>90</v>
      </c>
      <c r="D32" s="16" t="s">
        <v>91</v>
      </c>
      <c r="E32" s="15" t="s">
        <v>85</v>
      </c>
      <c r="F32" s="15">
        <v>1.260978095308942</v>
      </c>
      <c r="G32" s="17">
        <v>112.36</v>
      </c>
      <c r="H32" s="17">
        <f t="shared" si="1"/>
        <v>141.68</v>
      </c>
    </row>
    <row r="33" spans="1:8" s="1" customFormat="1" ht="31.5" customHeight="1" x14ac:dyDescent="0.25">
      <c r="A33" s="15">
        <v>20</v>
      </c>
      <c r="B33" s="15"/>
      <c r="C33" s="18" t="s">
        <v>92</v>
      </c>
      <c r="D33" s="16" t="s">
        <v>93</v>
      </c>
      <c r="E33" s="15" t="s">
        <v>85</v>
      </c>
      <c r="F33" s="15">
        <v>0.69502762664889139</v>
      </c>
      <c r="G33" s="17">
        <v>115.4</v>
      </c>
      <c r="H33" s="17">
        <f t="shared" si="1"/>
        <v>80.209999999999994</v>
      </c>
    </row>
    <row r="34" spans="1:8" s="1" customFormat="1" ht="62.45" customHeight="1" x14ac:dyDescent="0.25">
      <c r="A34" s="15">
        <v>21</v>
      </c>
      <c r="B34" s="15"/>
      <c r="C34" s="18" t="s">
        <v>94</v>
      </c>
      <c r="D34" s="16" t="s">
        <v>95</v>
      </c>
      <c r="E34" s="15" t="s">
        <v>85</v>
      </c>
      <c r="F34" s="15">
        <v>2.182080138717557</v>
      </c>
      <c r="G34" s="17">
        <v>26.32</v>
      </c>
      <c r="H34" s="17">
        <f t="shared" si="1"/>
        <v>57.43</v>
      </c>
    </row>
    <row r="35" spans="1:8" s="1" customFormat="1" ht="15.6" customHeight="1" x14ac:dyDescent="0.25">
      <c r="A35" s="15">
        <v>22</v>
      </c>
      <c r="B35" s="15"/>
      <c r="C35" s="18" t="s">
        <v>96</v>
      </c>
      <c r="D35" s="16" t="s">
        <v>97</v>
      </c>
      <c r="E35" s="15" t="s">
        <v>85</v>
      </c>
      <c r="F35" s="15">
        <v>0.29764941863087085</v>
      </c>
      <c r="G35" s="17">
        <v>89.99</v>
      </c>
      <c r="H35" s="17">
        <f t="shared" si="1"/>
        <v>26.79</v>
      </c>
    </row>
    <row r="36" spans="1:8" s="1" customFormat="1" ht="15.6" customHeight="1" x14ac:dyDescent="0.25">
      <c r="A36" s="15">
        <v>23</v>
      </c>
      <c r="B36" s="15"/>
      <c r="C36" s="18" t="s">
        <v>98</v>
      </c>
      <c r="D36" s="16" t="s">
        <v>99</v>
      </c>
      <c r="E36" s="15" t="s">
        <v>85</v>
      </c>
      <c r="F36" s="15">
        <v>0.32954194585000124</v>
      </c>
      <c r="G36" s="17">
        <v>65.709999999999994</v>
      </c>
      <c r="H36" s="17">
        <f t="shared" si="1"/>
        <v>21.65</v>
      </c>
    </row>
    <row r="37" spans="1:8" s="1" customFormat="1" ht="31.5" customHeight="1" x14ac:dyDescent="0.25">
      <c r="A37" s="15">
        <v>24</v>
      </c>
      <c r="B37" s="15"/>
      <c r="C37" s="18" t="s">
        <v>100</v>
      </c>
      <c r="D37" s="16" t="s">
        <v>101</v>
      </c>
      <c r="E37" s="15" t="s">
        <v>85</v>
      </c>
      <c r="F37" s="15">
        <v>0.14784300232398889</v>
      </c>
      <c r="G37" s="17">
        <v>100</v>
      </c>
      <c r="H37" s="17">
        <f t="shared" si="1"/>
        <v>14.78</v>
      </c>
    </row>
    <row r="38" spans="1:8" s="1" customFormat="1" ht="15.6" customHeight="1" x14ac:dyDescent="0.25">
      <c r="A38" s="15">
        <v>25</v>
      </c>
      <c r="B38" s="15"/>
      <c r="C38" s="18" t="s">
        <v>102</v>
      </c>
      <c r="D38" s="16" t="s">
        <v>103</v>
      </c>
      <c r="E38" s="15" t="s">
        <v>85</v>
      </c>
      <c r="F38" s="15">
        <v>0.12826317192991799</v>
      </c>
      <c r="G38" s="17">
        <v>86.4</v>
      </c>
      <c r="H38" s="17">
        <f t="shared" si="1"/>
        <v>11.08</v>
      </c>
    </row>
    <row r="39" spans="1:8" s="1" customFormat="1" ht="15.6" customHeight="1" x14ac:dyDescent="0.25">
      <c r="A39" s="15">
        <v>26</v>
      </c>
      <c r="B39" s="15"/>
      <c r="C39" s="18" t="s">
        <v>104</v>
      </c>
      <c r="D39" s="16" t="s">
        <v>105</v>
      </c>
      <c r="E39" s="15" t="s">
        <v>85</v>
      </c>
      <c r="F39" s="15">
        <v>0.2530979350133154</v>
      </c>
      <c r="G39" s="17">
        <v>27.11</v>
      </c>
      <c r="H39" s="17">
        <f t="shared" si="1"/>
        <v>6.86</v>
      </c>
    </row>
    <row r="40" spans="1:8" s="1" customFormat="1" ht="31.5" customHeight="1" x14ac:dyDescent="0.25">
      <c r="A40" s="15">
        <v>27</v>
      </c>
      <c r="B40" s="15"/>
      <c r="C40" s="18" t="s">
        <v>106</v>
      </c>
      <c r="D40" s="16" t="s">
        <v>107</v>
      </c>
      <c r="E40" s="15" t="s">
        <v>85</v>
      </c>
      <c r="F40" s="15">
        <v>1.4415372107854615E-2</v>
      </c>
      <c r="G40" s="17">
        <v>239.44</v>
      </c>
      <c r="H40" s="17">
        <f t="shared" si="1"/>
        <v>3.45</v>
      </c>
    </row>
    <row r="41" spans="1:8" s="1" customFormat="1" ht="15.6" customHeight="1" x14ac:dyDescent="0.25">
      <c r="A41" s="15">
        <v>28</v>
      </c>
      <c r="B41" s="15"/>
      <c r="C41" s="18" t="s">
        <v>108</v>
      </c>
      <c r="D41" s="16" t="s">
        <v>109</v>
      </c>
      <c r="E41" s="15" t="s">
        <v>85</v>
      </c>
      <c r="F41" s="15">
        <v>2.3957976634375433E-2</v>
      </c>
      <c r="G41" s="17">
        <v>30</v>
      </c>
      <c r="H41" s="17">
        <f t="shared" si="1"/>
        <v>0.72</v>
      </c>
    </row>
    <row r="42" spans="1:8" s="1" customFormat="1" ht="15.6" customHeight="1" x14ac:dyDescent="0.25">
      <c r="A42" s="15">
        <v>29</v>
      </c>
      <c r="B42" s="15"/>
      <c r="C42" s="18" t="s">
        <v>110</v>
      </c>
      <c r="D42" s="16" t="s">
        <v>111</v>
      </c>
      <c r="E42" s="15" t="s">
        <v>85</v>
      </c>
      <c r="F42" s="15">
        <v>5.2244972013551017E-3</v>
      </c>
      <c r="G42" s="17">
        <v>94.38</v>
      </c>
      <c r="H42" s="17">
        <f t="shared" si="1"/>
        <v>0.49</v>
      </c>
    </row>
    <row r="43" spans="1:8" s="1" customFormat="1" ht="31.5" customHeight="1" x14ac:dyDescent="0.25">
      <c r="A43" s="15">
        <v>30</v>
      </c>
      <c r="B43" s="15"/>
      <c r="C43" s="18" t="s">
        <v>112</v>
      </c>
      <c r="D43" s="16" t="s">
        <v>113</v>
      </c>
      <c r="E43" s="15" t="s">
        <v>85</v>
      </c>
      <c r="F43" s="15">
        <v>8.4086981853408044E-2</v>
      </c>
      <c r="G43" s="17">
        <v>3.28</v>
      </c>
      <c r="H43" s="17">
        <f t="shared" si="1"/>
        <v>0.28000000000000003</v>
      </c>
    </row>
    <row r="44" spans="1:8" s="1" customFormat="1" ht="31.5" customHeight="1" x14ac:dyDescent="0.25">
      <c r="A44" s="15">
        <v>31</v>
      </c>
      <c r="B44" s="15"/>
      <c r="C44" s="18" t="s">
        <v>114</v>
      </c>
      <c r="D44" s="16" t="s">
        <v>115</v>
      </c>
      <c r="E44" s="15" t="s">
        <v>85</v>
      </c>
      <c r="F44" s="15">
        <v>2.1666824978949489E-2</v>
      </c>
      <c r="G44" s="17">
        <v>8.1</v>
      </c>
      <c r="H44" s="17">
        <f t="shared" si="1"/>
        <v>0.18</v>
      </c>
    </row>
    <row r="45" spans="1:8" s="1" customFormat="1" ht="31.5" customHeight="1" x14ac:dyDescent="0.25">
      <c r="A45" s="15">
        <v>32</v>
      </c>
      <c r="B45" s="15"/>
      <c r="C45" s="18" t="s">
        <v>116</v>
      </c>
      <c r="D45" s="16" t="s">
        <v>117</v>
      </c>
      <c r="E45" s="15" t="s">
        <v>85</v>
      </c>
      <c r="F45" s="15">
        <v>5.4982538110966185E-3</v>
      </c>
      <c r="G45" s="17">
        <v>19.760000000000002</v>
      </c>
      <c r="H45" s="17">
        <f t="shared" si="1"/>
        <v>0.11</v>
      </c>
    </row>
    <row r="46" spans="1:8" s="1" customFormat="1" ht="15.6" customHeight="1" x14ac:dyDescent="0.25">
      <c r="A46" s="15">
        <v>33</v>
      </c>
      <c r="B46" s="15"/>
      <c r="C46" s="18" t="s">
        <v>118</v>
      </c>
      <c r="D46" s="16" t="s">
        <v>119</v>
      </c>
      <c r="E46" s="15" t="s">
        <v>85</v>
      </c>
      <c r="F46" s="15">
        <v>4.3991649890269248E-2</v>
      </c>
      <c r="G46" s="17">
        <v>1.9</v>
      </c>
      <c r="H46" s="17">
        <f t="shared" si="1"/>
        <v>0.08</v>
      </c>
    </row>
    <row r="47" spans="1:8" s="11" customFormat="1" ht="15.6" customHeight="1" x14ac:dyDescent="0.25">
      <c r="A47" s="97" t="s">
        <v>120</v>
      </c>
      <c r="B47" s="98"/>
      <c r="C47" s="99"/>
      <c r="D47" s="99"/>
      <c r="E47" s="98"/>
      <c r="F47" s="13"/>
      <c r="G47" s="14"/>
      <c r="H47" s="14">
        <f>SUM(H48:H93)</f>
        <v>740513.52000000014</v>
      </c>
    </row>
    <row r="48" spans="1:8" s="1" customFormat="1" ht="46.9" customHeight="1" x14ac:dyDescent="0.25">
      <c r="A48" s="15">
        <v>34</v>
      </c>
      <c r="B48" s="15"/>
      <c r="C48" s="18" t="s">
        <v>343</v>
      </c>
      <c r="D48" s="16" t="s">
        <v>121</v>
      </c>
      <c r="E48" s="15" t="s">
        <v>122</v>
      </c>
      <c r="F48" s="15">
        <v>10</v>
      </c>
      <c r="G48" s="17">
        <v>31632.65</v>
      </c>
      <c r="H48" s="17">
        <f t="shared" ref="H48:H93" si="2">ROUND(F48*G48,2)</f>
        <v>316326.5</v>
      </c>
    </row>
    <row r="49" spans="1:8" s="1" customFormat="1" ht="15.6" customHeight="1" x14ac:dyDescent="0.25">
      <c r="A49" s="15">
        <v>35</v>
      </c>
      <c r="B49" s="15"/>
      <c r="C49" s="18" t="s">
        <v>123</v>
      </c>
      <c r="D49" s="16" t="s">
        <v>124</v>
      </c>
      <c r="E49" s="15" t="s">
        <v>125</v>
      </c>
      <c r="F49" s="15">
        <v>3748.0833254068598</v>
      </c>
      <c r="G49" s="17">
        <v>54.95</v>
      </c>
      <c r="H49" s="17">
        <f t="shared" si="2"/>
        <v>205957.18</v>
      </c>
    </row>
    <row r="50" spans="1:8" s="1" customFormat="1" ht="62.45" customHeight="1" x14ac:dyDescent="0.25">
      <c r="A50" s="15">
        <v>36</v>
      </c>
      <c r="B50" s="15"/>
      <c r="C50" s="18" t="s">
        <v>126</v>
      </c>
      <c r="D50" s="16" t="s">
        <v>127</v>
      </c>
      <c r="E50" s="15" t="s">
        <v>128</v>
      </c>
      <c r="F50" s="15">
        <v>4.0709999999999997</v>
      </c>
      <c r="G50" s="17">
        <v>20759.099999999999</v>
      </c>
      <c r="H50" s="17">
        <f t="shared" si="2"/>
        <v>84510.3</v>
      </c>
    </row>
    <row r="51" spans="1:8" s="1" customFormat="1" ht="15.6" customHeight="1" x14ac:dyDescent="0.25">
      <c r="A51" s="15">
        <v>37</v>
      </c>
      <c r="B51" s="15"/>
      <c r="C51" s="18" t="s">
        <v>129</v>
      </c>
      <c r="D51" s="16" t="s">
        <v>130</v>
      </c>
      <c r="E51" s="15" t="s">
        <v>131</v>
      </c>
      <c r="F51" s="15">
        <v>937.86283226491275</v>
      </c>
      <c r="G51" s="17">
        <v>35.53</v>
      </c>
      <c r="H51" s="17">
        <f t="shared" si="2"/>
        <v>33322.269999999997</v>
      </c>
    </row>
    <row r="52" spans="1:8" s="1" customFormat="1" ht="46.9" customHeight="1" x14ac:dyDescent="0.25">
      <c r="A52" s="15">
        <v>38</v>
      </c>
      <c r="B52" s="15"/>
      <c r="C52" s="18" t="s">
        <v>132</v>
      </c>
      <c r="D52" s="16" t="s">
        <v>133</v>
      </c>
      <c r="E52" s="15" t="s">
        <v>125</v>
      </c>
      <c r="F52" s="15">
        <v>36.193334624234225</v>
      </c>
      <c r="G52" s="17">
        <v>622.63</v>
      </c>
      <c r="H52" s="17">
        <f t="shared" si="2"/>
        <v>22535.06</v>
      </c>
    </row>
    <row r="53" spans="1:8" s="1" customFormat="1" ht="62.45" customHeight="1" x14ac:dyDescent="0.25">
      <c r="A53" s="15">
        <v>39</v>
      </c>
      <c r="B53" s="15"/>
      <c r="C53" s="18" t="s">
        <v>134</v>
      </c>
      <c r="D53" s="16" t="s">
        <v>135</v>
      </c>
      <c r="E53" s="15" t="s">
        <v>128</v>
      </c>
      <c r="F53" s="15">
        <v>21.24329211627585</v>
      </c>
      <c r="G53" s="17">
        <v>1019.54</v>
      </c>
      <c r="H53" s="17">
        <f t="shared" si="2"/>
        <v>21658.39</v>
      </c>
    </row>
    <row r="54" spans="1:8" s="1" customFormat="1" ht="62.45" customHeight="1" x14ac:dyDescent="0.25">
      <c r="A54" s="15">
        <v>40</v>
      </c>
      <c r="B54" s="15"/>
      <c r="C54" s="18" t="s">
        <v>136</v>
      </c>
      <c r="D54" s="16" t="s">
        <v>137</v>
      </c>
      <c r="E54" s="15" t="s">
        <v>128</v>
      </c>
      <c r="F54" s="15">
        <v>143.46926240285262</v>
      </c>
      <c r="G54" s="17">
        <v>148.57</v>
      </c>
      <c r="H54" s="17">
        <f t="shared" si="2"/>
        <v>21315.23</v>
      </c>
    </row>
    <row r="55" spans="1:8" s="1" customFormat="1" ht="62.45" customHeight="1" x14ac:dyDescent="0.25">
      <c r="A55" s="15">
        <v>41</v>
      </c>
      <c r="B55" s="15"/>
      <c r="C55" s="18" t="s">
        <v>138</v>
      </c>
      <c r="D55" s="16" t="s">
        <v>139</v>
      </c>
      <c r="E55" s="15" t="s">
        <v>128</v>
      </c>
      <c r="F55" s="15">
        <v>7.0342018426679234</v>
      </c>
      <c r="G55" s="17">
        <v>2072.58</v>
      </c>
      <c r="H55" s="17">
        <f t="shared" si="2"/>
        <v>14578.95</v>
      </c>
    </row>
    <row r="56" spans="1:8" s="1" customFormat="1" ht="62.45" customHeight="1" x14ac:dyDescent="0.25">
      <c r="A56" s="15">
        <v>42</v>
      </c>
      <c r="B56" s="15"/>
      <c r="C56" s="18" t="s">
        <v>140</v>
      </c>
      <c r="D56" s="16" t="s">
        <v>141</v>
      </c>
      <c r="E56" s="15" t="s">
        <v>128</v>
      </c>
      <c r="F56" s="15">
        <v>122.64596861918662</v>
      </c>
      <c r="G56" s="17">
        <v>41.6</v>
      </c>
      <c r="H56" s="17">
        <f t="shared" si="2"/>
        <v>5102.07</v>
      </c>
    </row>
    <row r="57" spans="1:8" s="1" customFormat="1" ht="46.9" customHeight="1" x14ac:dyDescent="0.25">
      <c r="A57" s="15">
        <v>43</v>
      </c>
      <c r="B57" s="15"/>
      <c r="C57" s="18" t="s">
        <v>142</v>
      </c>
      <c r="D57" s="16" t="s">
        <v>143</v>
      </c>
      <c r="E57" s="15" t="s">
        <v>125</v>
      </c>
      <c r="F57" s="15">
        <v>84.232040256758623</v>
      </c>
      <c r="G57" s="17">
        <v>55.26</v>
      </c>
      <c r="H57" s="17">
        <f t="shared" si="2"/>
        <v>4654.66</v>
      </c>
    </row>
    <row r="58" spans="1:8" s="1" customFormat="1" ht="15.6" customHeight="1" x14ac:dyDescent="0.25">
      <c r="A58" s="15">
        <v>44</v>
      </c>
      <c r="B58" s="15"/>
      <c r="C58" s="18" t="s">
        <v>144</v>
      </c>
      <c r="D58" s="16" t="s">
        <v>145</v>
      </c>
      <c r="E58" s="15" t="s">
        <v>122</v>
      </c>
      <c r="F58" s="15">
        <v>9.4718220313813823</v>
      </c>
      <c r="G58" s="17">
        <v>442.11</v>
      </c>
      <c r="H58" s="17">
        <f t="shared" si="2"/>
        <v>4187.59</v>
      </c>
    </row>
    <row r="59" spans="1:8" s="1" customFormat="1" ht="31.5" customHeight="1" x14ac:dyDescent="0.25">
      <c r="A59" s="15">
        <v>45</v>
      </c>
      <c r="B59" s="15"/>
      <c r="C59" s="18" t="s">
        <v>146</v>
      </c>
      <c r="D59" s="16" t="s">
        <v>147</v>
      </c>
      <c r="E59" s="15" t="s">
        <v>125</v>
      </c>
      <c r="F59" s="15">
        <v>4.5631713253351229</v>
      </c>
      <c r="G59" s="17">
        <v>490</v>
      </c>
      <c r="H59" s="17">
        <f t="shared" si="2"/>
        <v>2235.9499999999998</v>
      </c>
    </row>
    <row r="60" spans="1:8" s="1" customFormat="1" ht="31.5" customHeight="1" x14ac:dyDescent="0.25">
      <c r="A60" s="15">
        <v>46</v>
      </c>
      <c r="B60" s="15"/>
      <c r="C60" s="18" t="s">
        <v>148</v>
      </c>
      <c r="D60" s="16" t="s">
        <v>149</v>
      </c>
      <c r="E60" s="15" t="s">
        <v>122</v>
      </c>
      <c r="F60" s="15">
        <v>2.2286574023444992</v>
      </c>
      <c r="G60" s="17">
        <v>592.20000000000005</v>
      </c>
      <c r="H60" s="17">
        <f t="shared" si="2"/>
        <v>1319.81</v>
      </c>
    </row>
    <row r="61" spans="1:8" s="1" customFormat="1" ht="15.6" customHeight="1" x14ac:dyDescent="0.25">
      <c r="A61" s="15">
        <v>47</v>
      </c>
      <c r="B61" s="15"/>
      <c r="C61" s="18" t="s">
        <v>150</v>
      </c>
      <c r="D61" s="16" t="s">
        <v>151</v>
      </c>
      <c r="E61" s="15" t="s">
        <v>152</v>
      </c>
      <c r="F61" s="15">
        <v>0.213682238645272</v>
      </c>
      <c r="G61" s="17">
        <v>3390</v>
      </c>
      <c r="H61" s="17">
        <f t="shared" si="2"/>
        <v>724.38</v>
      </c>
    </row>
    <row r="62" spans="1:8" s="1" customFormat="1" ht="31.5" customHeight="1" x14ac:dyDescent="0.25">
      <c r="A62" s="15">
        <v>48</v>
      </c>
      <c r="B62" s="15"/>
      <c r="C62" s="18" t="s">
        <v>153</v>
      </c>
      <c r="D62" s="16" t="s">
        <v>154</v>
      </c>
      <c r="E62" s="15" t="s">
        <v>152</v>
      </c>
      <c r="F62" s="15">
        <v>8.2226155893486988E-2</v>
      </c>
      <c r="G62" s="17">
        <v>5520</v>
      </c>
      <c r="H62" s="17">
        <f t="shared" si="2"/>
        <v>453.89</v>
      </c>
    </row>
    <row r="63" spans="1:8" s="1" customFormat="1" ht="62.45" customHeight="1" x14ac:dyDescent="0.25">
      <c r="A63" s="15">
        <v>49</v>
      </c>
      <c r="B63" s="15"/>
      <c r="C63" s="18" t="s">
        <v>155</v>
      </c>
      <c r="D63" s="16" t="s">
        <v>156</v>
      </c>
      <c r="E63" s="15" t="s">
        <v>122</v>
      </c>
      <c r="F63" s="15">
        <v>1.1143384545996096</v>
      </c>
      <c r="G63" s="17">
        <v>257.08</v>
      </c>
      <c r="H63" s="17">
        <f t="shared" si="2"/>
        <v>286.47000000000003</v>
      </c>
    </row>
    <row r="64" spans="1:8" s="1" customFormat="1" ht="46.9" customHeight="1" x14ac:dyDescent="0.25">
      <c r="A64" s="15">
        <v>50</v>
      </c>
      <c r="B64" s="15"/>
      <c r="C64" s="18" t="s">
        <v>157</v>
      </c>
      <c r="D64" s="16" t="s">
        <v>158</v>
      </c>
      <c r="E64" s="15" t="s">
        <v>152</v>
      </c>
      <c r="F64" s="15">
        <v>4.0959505932160557E-2</v>
      </c>
      <c r="G64" s="17">
        <v>5950</v>
      </c>
      <c r="H64" s="17">
        <f t="shared" si="2"/>
        <v>243.71</v>
      </c>
    </row>
    <row r="65" spans="1:8" s="1" customFormat="1" ht="62.45" customHeight="1" x14ac:dyDescent="0.25">
      <c r="A65" s="15">
        <v>51</v>
      </c>
      <c r="B65" s="15"/>
      <c r="C65" s="18" t="s">
        <v>159</v>
      </c>
      <c r="D65" s="16" t="s">
        <v>160</v>
      </c>
      <c r="E65" s="15" t="s">
        <v>128</v>
      </c>
      <c r="F65" s="15">
        <v>4.9521706873075049</v>
      </c>
      <c r="G65" s="17">
        <v>49.1</v>
      </c>
      <c r="H65" s="17">
        <f t="shared" si="2"/>
        <v>243.15</v>
      </c>
    </row>
    <row r="66" spans="1:8" s="1" customFormat="1" ht="31.5" customHeight="1" x14ac:dyDescent="0.25">
      <c r="A66" s="15">
        <v>52</v>
      </c>
      <c r="B66" s="15"/>
      <c r="C66" s="18" t="s">
        <v>161</v>
      </c>
      <c r="D66" s="16" t="s">
        <v>162</v>
      </c>
      <c r="E66" s="15" t="s">
        <v>122</v>
      </c>
      <c r="F66" s="15">
        <v>2</v>
      </c>
      <c r="G66" s="17">
        <v>82.2</v>
      </c>
      <c r="H66" s="17">
        <f t="shared" si="2"/>
        <v>164.4</v>
      </c>
    </row>
    <row r="67" spans="1:8" s="1" customFormat="1" ht="31.5" customHeight="1" x14ac:dyDescent="0.25">
      <c r="A67" s="15">
        <v>53</v>
      </c>
      <c r="B67" s="15"/>
      <c r="C67" s="18" t="s">
        <v>163</v>
      </c>
      <c r="D67" s="16" t="s">
        <v>164</v>
      </c>
      <c r="E67" s="15" t="s">
        <v>122</v>
      </c>
      <c r="F67" s="15">
        <v>1</v>
      </c>
      <c r="G67" s="17">
        <v>65.13</v>
      </c>
      <c r="H67" s="17">
        <f t="shared" si="2"/>
        <v>65.13</v>
      </c>
    </row>
    <row r="68" spans="1:8" s="1" customFormat="1" ht="15.6" customHeight="1" x14ac:dyDescent="0.25">
      <c r="A68" s="15">
        <v>54</v>
      </c>
      <c r="B68" s="15"/>
      <c r="C68" s="18" t="s">
        <v>165</v>
      </c>
      <c r="D68" s="16" t="s">
        <v>166</v>
      </c>
      <c r="E68" s="15" t="s">
        <v>152</v>
      </c>
      <c r="F68" s="15">
        <v>1.4247233397187541E-2</v>
      </c>
      <c r="G68" s="17">
        <v>1946.91</v>
      </c>
      <c r="H68" s="17">
        <f t="shared" si="2"/>
        <v>27.74</v>
      </c>
    </row>
    <row r="69" spans="1:8" s="1" customFormat="1" ht="31.5" customHeight="1" x14ac:dyDescent="0.25">
      <c r="A69" s="15">
        <v>55</v>
      </c>
      <c r="B69" s="15"/>
      <c r="C69" s="18" t="s">
        <v>167</v>
      </c>
      <c r="D69" s="16" t="s">
        <v>168</v>
      </c>
      <c r="E69" s="15" t="s">
        <v>125</v>
      </c>
      <c r="F69" s="15">
        <v>4.8393196858455161E-2</v>
      </c>
      <c r="G69" s="17">
        <v>558.33000000000004</v>
      </c>
      <c r="H69" s="17">
        <f t="shared" si="2"/>
        <v>27.02</v>
      </c>
    </row>
    <row r="70" spans="1:8" s="1" customFormat="1" ht="46.9" customHeight="1" x14ac:dyDescent="0.25">
      <c r="A70" s="15">
        <v>56</v>
      </c>
      <c r="B70" s="15"/>
      <c r="C70" s="18" t="s">
        <v>169</v>
      </c>
      <c r="D70" s="16" t="s">
        <v>170</v>
      </c>
      <c r="E70" s="15" t="s">
        <v>152</v>
      </c>
      <c r="F70" s="15">
        <v>3.2768828310922407E-3</v>
      </c>
      <c r="G70" s="17">
        <v>7008.5</v>
      </c>
      <c r="H70" s="17">
        <f t="shared" si="2"/>
        <v>22.97</v>
      </c>
    </row>
    <row r="71" spans="1:8" s="1" customFormat="1" ht="31.5" customHeight="1" x14ac:dyDescent="0.25">
      <c r="A71" s="15">
        <v>57</v>
      </c>
      <c r="B71" s="15"/>
      <c r="C71" s="18" t="s">
        <v>171</v>
      </c>
      <c r="D71" s="16" t="s">
        <v>172</v>
      </c>
      <c r="E71" s="15" t="s">
        <v>125</v>
      </c>
      <c r="F71" s="15">
        <v>2.7943982584772157E-2</v>
      </c>
      <c r="G71" s="17">
        <v>550</v>
      </c>
      <c r="H71" s="17">
        <f t="shared" si="2"/>
        <v>15.37</v>
      </c>
    </row>
    <row r="72" spans="1:8" s="1" customFormat="1" ht="15.6" customHeight="1" x14ac:dyDescent="0.25">
      <c r="A72" s="15">
        <v>58</v>
      </c>
      <c r="B72" s="15"/>
      <c r="C72" s="18" t="s">
        <v>173</v>
      </c>
      <c r="D72" s="16" t="s">
        <v>174</v>
      </c>
      <c r="E72" s="15" t="s">
        <v>125</v>
      </c>
      <c r="F72" s="15">
        <v>3.3630846261692362</v>
      </c>
      <c r="G72" s="17">
        <v>2.44</v>
      </c>
      <c r="H72" s="17">
        <f t="shared" si="2"/>
        <v>8.2100000000000009</v>
      </c>
    </row>
    <row r="73" spans="1:8" s="1" customFormat="1" ht="31.5" customHeight="1" x14ac:dyDescent="0.25">
      <c r="A73" s="15">
        <v>59</v>
      </c>
      <c r="B73" s="15"/>
      <c r="C73" s="18" t="s">
        <v>175</v>
      </c>
      <c r="D73" s="16" t="s">
        <v>176</v>
      </c>
      <c r="E73" s="15" t="s">
        <v>152</v>
      </c>
      <c r="F73" s="15">
        <v>4.4576359236491456E-4</v>
      </c>
      <c r="G73" s="17">
        <v>14830</v>
      </c>
      <c r="H73" s="17">
        <f t="shared" si="2"/>
        <v>6.61</v>
      </c>
    </row>
    <row r="74" spans="1:8" s="1" customFormat="1" ht="15.6" customHeight="1" x14ac:dyDescent="0.25">
      <c r="A74" s="15">
        <v>60</v>
      </c>
      <c r="B74" s="15"/>
      <c r="C74" s="18" t="s">
        <v>177</v>
      </c>
      <c r="D74" s="16" t="s">
        <v>178</v>
      </c>
      <c r="E74" s="15" t="s">
        <v>152</v>
      </c>
      <c r="F74" s="15">
        <v>1.6725857871322867E-4</v>
      </c>
      <c r="G74" s="17">
        <v>30030</v>
      </c>
      <c r="H74" s="17">
        <f t="shared" si="2"/>
        <v>5.0199999999999996</v>
      </c>
    </row>
    <row r="75" spans="1:8" s="1" customFormat="1" ht="15.6" customHeight="1" x14ac:dyDescent="0.25">
      <c r="A75" s="15">
        <v>61</v>
      </c>
      <c r="B75" s="15"/>
      <c r="C75" s="18" t="s">
        <v>179</v>
      </c>
      <c r="D75" s="16" t="s">
        <v>180</v>
      </c>
      <c r="E75" s="15" t="s">
        <v>152</v>
      </c>
      <c r="F75" s="15">
        <v>2.7281089532618988E-4</v>
      </c>
      <c r="G75" s="17">
        <v>11978</v>
      </c>
      <c r="H75" s="17">
        <f t="shared" si="2"/>
        <v>3.27</v>
      </c>
    </row>
    <row r="76" spans="1:8" s="1" customFormat="1" ht="15.6" customHeight="1" x14ac:dyDescent="0.25">
      <c r="A76" s="15">
        <v>62</v>
      </c>
      <c r="B76" s="15"/>
      <c r="C76" s="18" t="s">
        <v>181</v>
      </c>
      <c r="D76" s="16" t="s">
        <v>182</v>
      </c>
      <c r="E76" s="15" t="s">
        <v>152</v>
      </c>
      <c r="F76" s="15">
        <v>1.6187244940070602E-4</v>
      </c>
      <c r="G76" s="17">
        <v>5989</v>
      </c>
      <c r="H76" s="17">
        <f t="shared" si="2"/>
        <v>0.97</v>
      </c>
    </row>
    <row r="77" spans="1:8" s="1" customFormat="1" ht="15.6" customHeight="1" x14ac:dyDescent="0.25">
      <c r="A77" s="15">
        <v>63</v>
      </c>
      <c r="B77" s="15"/>
      <c r="C77" s="18" t="s">
        <v>183</v>
      </c>
      <c r="D77" s="16" t="s">
        <v>184</v>
      </c>
      <c r="E77" s="15" t="s">
        <v>131</v>
      </c>
      <c r="F77" s="15">
        <v>1.2906430593730634E-2</v>
      </c>
      <c r="G77" s="17">
        <v>57.63</v>
      </c>
      <c r="H77" s="17">
        <f t="shared" si="2"/>
        <v>0.74</v>
      </c>
    </row>
    <row r="78" spans="1:8" s="1" customFormat="1" ht="15.6" customHeight="1" x14ac:dyDescent="0.25">
      <c r="A78" s="15">
        <v>64</v>
      </c>
      <c r="B78" s="15"/>
      <c r="C78" s="18" t="s">
        <v>185</v>
      </c>
      <c r="D78" s="16" t="s">
        <v>186</v>
      </c>
      <c r="E78" s="15" t="s">
        <v>187</v>
      </c>
      <c r="F78" s="15">
        <v>7.5004367006383257E-2</v>
      </c>
      <c r="G78" s="17">
        <v>7.8</v>
      </c>
      <c r="H78" s="17">
        <f t="shared" si="2"/>
        <v>0.59</v>
      </c>
    </row>
    <row r="79" spans="1:8" s="1" customFormat="1" ht="15.6" customHeight="1" x14ac:dyDescent="0.25">
      <c r="A79" s="15">
        <v>65</v>
      </c>
      <c r="B79" s="15"/>
      <c r="C79" s="18" t="s">
        <v>188</v>
      </c>
      <c r="D79" s="16" t="s">
        <v>189</v>
      </c>
      <c r="E79" s="15" t="s">
        <v>131</v>
      </c>
      <c r="F79" s="15">
        <v>7.7297943598568647E-2</v>
      </c>
      <c r="G79" s="17">
        <v>7.46</v>
      </c>
      <c r="H79" s="17">
        <f t="shared" si="2"/>
        <v>0.57999999999999996</v>
      </c>
    </row>
    <row r="80" spans="1:8" s="1" customFormat="1" ht="15.6" customHeight="1" x14ac:dyDescent="0.25">
      <c r="A80" s="15">
        <v>66</v>
      </c>
      <c r="B80" s="15"/>
      <c r="C80" s="18" t="s">
        <v>190</v>
      </c>
      <c r="D80" s="16" t="s">
        <v>191</v>
      </c>
      <c r="E80" s="15" t="s">
        <v>152</v>
      </c>
      <c r="F80" s="15">
        <v>2.1479274586897449E-4</v>
      </c>
      <c r="G80" s="17">
        <v>2606.9</v>
      </c>
      <c r="H80" s="17">
        <f t="shared" si="2"/>
        <v>0.56000000000000005</v>
      </c>
    </row>
    <row r="81" spans="1:8" s="1" customFormat="1" ht="15.6" customHeight="1" x14ac:dyDescent="0.25">
      <c r="A81" s="15">
        <v>67</v>
      </c>
      <c r="B81" s="15"/>
      <c r="C81" s="18" t="s">
        <v>192</v>
      </c>
      <c r="D81" s="16" t="s">
        <v>193</v>
      </c>
      <c r="E81" s="15" t="s">
        <v>187</v>
      </c>
      <c r="F81" s="15">
        <v>0.28475586271668613</v>
      </c>
      <c r="G81" s="17">
        <v>1.82</v>
      </c>
      <c r="H81" s="17">
        <f t="shared" si="2"/>
        <v>0.52</v>
      </c>
    </row>
    <row r="82" spans="1:8" s="1" customFormat="1" ht="31.5" customHeight="1" x14ac:dyDescent="0.25">
      <c r="A82" s="15">
        <v>68</v>
      </c>
      <c r="B82" s="15"/>
      <c r="C82" s="18" t="s">
        <v>194</v>
      </c>
      <c r="D82" s="16" t="s">
        <v>195</v>
      </c>
      <c r="E82" s="15" t="s">
        <v>187</v>
      </c>
      <c r="F82" s="15">
        <v>2.2079212850770157E-2</v>
      </c>
      <c r="G82" s="17">
        <v>23.09</v>
      </c>
      <c r="H82" s="17">
        <f t="shared" si="2"/>
        <v>0.51</v>
      </c>
    </row>
    <row r="83" spans="1:8" s="1" customFormat="1" ht="15.6" customHeight="1" x14ac:dyDescent="0.25">
      <c r="A83" s="15">
        <v>69</v>
      </c>
      <c r="B83" s="15"/>
      <c r="C83" s="18" t="s">
        <v>196</v>
      </c>
      <c r="D83" s="16" t="s">
        <v>197</v>
      </c>
      <c r="E83" s="15" t="s">
        <v>131</v>
      </c>
      <c r="F83" s="15">
        <v>0.1085250963100657</v>
      </c>
      <c r="G83" s="17">
        <v>3.62</v>
      </c>
      <c r="H83" s="17">
        <f t="shared" si="2"/>
        <v>0.39</v>
      </c>
    </row>
    <row r="84" spans="1:8" s="1" customFormat="1" ht="15.6" customHeight="1" x14ac:dyDescent="0.25">
      <c r="A84" s="15">
        <v>70</v>
      </c>
      <c r="B84" s="15"/>
      <c r="C84" s="18" t="s">
        <v>198</v>
      </c>
      <c r="D84" s="16" t="s">
        <v>199</v>
      </c>
      <c r="E84" s="15" t="s">
        <v>152</v>
      </c>
      <c r="F84" s="15">
        <v>1.7824702571039975E-5</v>
      </c>
      <c r="G84" s="17">
        <v>10315.01</v>
      </c>
      <c r="H84" s="17">
        <f t="shared" si="2"/>
        <v>0.18</v>
      </c>
    </row>
    <row r="85" spans="1:8" s="1" customFormat="1" ht="31.5" customHeight="1" x14ac:dyDescent="0.25">
      <c r="A85" s="15">
        <v>71</v>
      </c>
      <c r="B85" s="15"/>
      <c r="C85" s="18" t="s">
        <v>200</v>
      </c>
      <c r="D85" s="16" t="s">
        <v>201</v>
      </c>
      <c r="E85" s="15" t="s">
        <v>152</v>
      </c>
      <c r="F85" s="15">
        <v>3.5641472152833703E-5</v>
      </c>
      <c r="G85" s="17">
        <v>4455.2</v>
      </c>
      <c r="H85" s="17">
        <f t="shared" si="2"/>
        <v>0.16</v>
      </c>
    </row>
    <row r="86" spans="1:8" s="1" customFormat="1" ht="46.9" customHeight="1" x14ac:dyDescent="0.25">
      <c r="A86" s="15">
        <v>72</v>
      </c>
      <c r="B86" s="15"/>
      <c r="C86" s="18" t="s">
        <v>202</v>
      </c>
      <c r="D86" s="16" t="s">
        <v>203</v>
      </c>
      <c r="E86" s="15" t="s">
        <v>125</v>
      </c>
      <c r="F86" s="15">
        <v>1.4245504988158724E-4</v>
      </c>
      <c r="G86" s="17">
        <v>1056</v>
      </c>
      <c r="H86" s="17">
        <f t="shared" si="2"/>
        <v>0.15</v>
      </c>
    </row>
    <row r="87" spans="1:8" s="1" customFormat="1" ht="31.5" customHeight="1" x14ac:dyDescent="0.25">
      <c r="A87" s="15">
        <v>73</v>
      </c>
      <c r="B87" s="15"/>
      <c r="C87" s="18" t="s">
        <v>204</v>
      </c>
      <c r="D87" s="16" t="s">
        <v>205</v>
      </c>
      <c r="E87" s="15" t="s">
        <v>128</v>
      </c>
      <c r="F87" s="15">
        <v>2.4942953154154174E-3</v>
      </c>
      <c r="G87" s="17">
        <v>53.61</v>
      </c>
      <c r="H87" s="17">
        <f t="shared" si="2"/>
        <v>0.13</v>
      </c>
    </row>
    <row r="88" spans="1:8" s="1" customFormat="1" ht="62.45" customHeight="1" x14ac:dyDescent="0.25">
      <c r="A88" s="15">
        <v>74</v>
      </c>
      <c r="B88" s="15"/>
      <c r="C88" s="18" t="s">
        <v>206</v>
      </c>
      <c r="D88" s="16" t="s">
        <v>207</v>
      </c>
      <c r="E88" s="15" t="s">
        <v>122</v>
      </c>
      <c r="F88" s="15">
        <v>1</v>
      </c>
      <c r="G88" s="17">
        <v>506.63</v>
      </c>
      <c r="H88" s="17">
        <f t="shared" si="2"/>
        <v>506.63</v>
      </c>
    </row>
    <row r="89" spans="1:8" s="1" customFormat="1" ht="46.9" customHeight="1" x14ac:dyDescent="0.25">
      <c r="A89" s="15">
        <v>75</v>
      </c>
      <c r="B89" s="15"/>
      <c r="C89" s="18" t="s">
        <v>208</v>
      </c>
      <c r="D89" s="16" t="s">
        <v>209</v>
      </c>
      <c r="E89" s="15" t="s">
        <v>187</v>
      </c>
      <c r="F89" s="15">
        <v>9.4809995060880781E-3</v>
      </c>
      <c r="G89" s="17">
        <v>6.17</v>
      </c>
      <c r="H89" s="17">
        <f t="shared" si="2"/>
        <v>0.06</v>
      </c>
    </row>
    <row r="90" spans="1:8" s="1" customFormat="1" ht="15.6" customHeight="1" x14ac:dyDescent="0.25">
      <c r="A90" s="15">
        <v>76</v>
      </c>
      <c r="B90" s="15"/>
      <c r="C90" s="18" t="s">
        <v>210</v>
      </c>
      <c r="D90" s="16" t="s">
        <v>211</v>
      </c>
      <c r="E90" s="15" t="s">
        <v>152</v>
      </c>
      <c r="F90" s="15">
        <v>3.4134906438610418E-5</v>
      </c>
      <c r="G90" s="17">
        <v>734.5</v>
      </c>
      <c r="H90" s="17">
        <f t="shared" si="2"/>
        <v>0.03</v>
      </c>
    </row>
    <row r="91" spans="1:8" s="1" customFormat="1" ht="31.5" customHeight="1" x14ac:dyDescent="0.25">
      <c r="A91" s="15">
        <v>77</v>
      </c>
      <c r="B91" s="15"/>
      <c r="C91" s="18" t="s">
        <v>212</v>
      </c>
      <c r="D91" s="16" t="s">
        <v>213</v>
      </c>
      <c r="E91" s="15" t="s">
        <v>214</v>
      </c>
      <c r="F91" s="15">
        <v>2.4378307614329174E-5</v>
      </c>
      <c r="G91" s="17">
        <v>342.82</v>
      </c>
      <c r="H91" s="17">
        <f t="shared" si="2"/>
        <v>0.01</v>
      </c>
    </row>
    <row r="92" spans="1:8" s="1" customFormat="1" ht="15.6" customHeight="1" x14ac:dyDescent="0.25">
      <c r="A92" s="15">
        <v>78</v>
      </c>
      <c r="B92" s="15"/>
      <c r="C92" s="18" t="s">
        <v>215</v>
      </c>
      <c r="D92" s="16" t="s">
        <v>216</v>
      </c>
      <c r="E92" s="15" t="s">
        <v>217</v>
      </c>
      <c r="F92" s="15">
        <v>1.7834956318021783E-4</v>
      </c>
      <c r="G92" s="17">
        <v>46.86</v>
      </c>
      <c r="H92" s="17">
        <f t="shared" si="2"/>
        <v>0.01</v>
      </c>
    </row>
    <row r="93" spans="1:8" s="1" customFormat="1" ht="46.9" customHeight="1" x14ac:dyDescent="0.25">
      <c r="A93" s="15">
        <v>79</v>
      </c>
      <c r="B93" s="15"/>
      <c r="C93" s="18" t="s">
        <v>218</v>
      </c>
      <c r="D93" s="16" t="s">
        <v>219</v>
      </c>
      <c r="E93" s="15" t="s">
        <v>187</v>
      </c>
      <c r="F93" s="15">
        <v>1.228E-4</v>
      </c>
      <c r="G93" s="17">
        <v>15.09</v>
      </c>
      <c r="H93" s="17">
        <f t="shared" si="2"/>
        <v>0</v>
      </c>
    </row>
    <row r="94" spans="1:8" s="1" customFormat="1" ht="15.6" customHeight="1" x14ac:dyDescent="0.25"/>
    <row r="95" spans="1:8" s="1" customFormat="1" ht="15.6" customHeight="1" x14ac:dyDescent="0.25"/>
    <row r="96" spans="1:8" s="1" customFormat="1" ht="15.6" customHeight="1" x14ac:dyDescent="0.25"/>
    <row r="97" spans="2:2" s="1" customFormat="1" ht="15.6" customHeight="1" x14ac:dyDescent="0.25"/>
    <row r="98" spans="2:2" s="1" customFormat="1" ht="15.6" customHeight="1" x14ac:dyDescent="0.25">
      <c r="B98" s="1" t="s">
        <v>220</v>
      </c>
    </row>
    <row r="99" spans="2:2" s="1" customFormat="1" ht="15.6" customHeight="1" x14ac:dyDescent="0.25">
      <c r="B99" s="5" t="s">
        <v>35</v>
      </c>
    </row>
    <row r="100" spans="2:2" s="1" customFormat="1" ht="15.6" customHeight="1" x14ac:dyDescent="0.25"/>
    <row r="101" spans="2:2" s="1" customFormat="1" ht="15.6" customHeight="1" x14ac:dyDescent="0.25">
      <c r="B101" s="1" t="s">
        <v>221</v>
      </c>
    </row>
    <row r="102" spans="2:2" s="1" customFormat="1" ht="15.6" customHeight="1" x14ac:dyDescent="0.25">
      <c r="B102" s="5" t="s">
        <v>37</v>
      </c>
    </row>
    <row r="103" spans="2:2" s="1" customFormat="1" ht="15.6" customHeight="1" x14ac:dyDescent="0.25"/>
  </sheetData>
  <mergeCells count="15">
    <mergeCell ref="A11:E11"/>
    <mergeCell ref="A26:E26"/>
    <mergeCell ref="A28:E28"/>
    <mergeCell ref="A47:E47"/>
    <mergeCell ref="A2:H2"/>
    <mergeCell ref="A3:H3"/>
    <mergeCell ref="C4:H4"/>
    <mergeCell ref="A6:H6"/>
    <mergeCell ref="A8:A9"/>
    <mergeCell ref="B8:B9"/>
    <mergeCell ref="C8:C9"/>
    <mergeCell ref="D8:D9"/>
    <mergeCell ref="E8:E9"/>
    <mergeCell ref="F8:F9"/>
    <mergeCell ref="G8:H8"/>
  </mergeCells>
  <conditionalFormatting sqref="F10:F93">
    <cfRule type="expression" dxfId="1" priority="1" stopIfTrue="1">
      <formula>ROUND(F10*10000,0)/10000=F10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topLeftCell="A25" workbookViewId="0">
      <selection activeCell="J10" sqref="J10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11" max="11" width="13.42578125" customWidth="1"/>
  </cols>
  <sheetData>
    <row r="1" spans="1:5" ht="15.6" customHeight="1" x14ac:dyDescent="0.25">
      <c r="A1" s="40"/>
      <c r="B1" s="1"/>
      <c r="C1" s="1"/>
      <c r="D1" s="1"/>
      <c r="E1" s="1"/>
    </row>
    <row r="2" spans="1:5" ht="15.6" customHeight="1" x14ac:dyDescent="0.25">
      <c r="B2" s="1"/>
      <c r="C2" s="1"/>
      <c r="D2" s="1"/>
      <c r="E2" s="37" t="s">
        <v>222</v>
      </c>
    </row>
    <row r="3" spans="1:5" ht="15.6" customHeight="1" x14ac:dyDescent="0.25">
      <c r="B3" s="1"/>
      <c r="C3" s="1"/>
      <c r="D3" s="1"/>
      <c r="E3" s="1"/>
    </row>
    <row r="4" spans="1:5" ht="15.6" customHeight="1" x14ac:dyDescent="0.25">
      <c r="B4" s="1"/>
      <c r="C4" s="1"/>
      <c r="D4" s="1"/>
      <c r="E4" s="1"/>
    </row>
    <row r="5" spans="1:5" ht="15.6" customHeight="1" x14ac:dyDescent="0.25">
      <c r="B5" s="90" t="s">
        <v>223</v>
      </c>
      <c r="C5" s="90"/>
      <c r="D5" s="90"/>
      <c r="E5" s="90"/>
    </row>
    <row r="6" spans="1:5" ht="15.6" customHeight="1" x14ac:dyDescent="0.25">
      <c r="B6" s="2"/>
      <c r="C6" s="1"/>
      <c r="D6" s="1"/>
      <c r="E6" s="1"/>
    </row>
    <row r="7" spans="1:5" ht="15.6" customHeight="1" x14ac:dyDescent="0.25">
      <c r="B7" s="92" t="s">
        <v>339</v>
      </c>
      <c r="C7" s="92"/>
      <c r="D7" s="92"/>
      <c r="E7" s="92"/>
    </row>
    <row r="8" spans="1:5" ht="15.6" customHeight="1" x14ac:dyDescent="0.25">
      <c r="B8" s="92" t="str">
        <f>'Прил.2 Расч стоим'!B7:K7</f>
        <v>Единица измерения  — 1 ПС</v>
      </c>
      <c r="C8" s="92"/>
      <c r="D8" s="92"/>
      <c r="E8" s="92"/>
    </row>
    <row r="9" spans="1:5" x14ac:dyDescent="0.25">
      <c r="B9" s="41"/>
      <c r="C9" s="22"/>
      <c r="D9" s="22"/>
      <c r="E9" s="22"/>
    </row>
    <row r="10" spans="1:5" s="1" customFormat="1" ht="62.45" customHeight="1" x14ac:dyDescent="0.25">
      <c r="B10" s="4" t="s">
        <v>224</v>
      </c>
      <c r="C10" s="4" t="s">
        <v>225</v>
      </c>
      <c r="D10" s="4" t="s">
        <v>226</v>
      </c>
      <c r="E10" s="4" t="s">
        <v>227</v>
      </c>
    </row>
    <row r="11" spans="1:5" s="1" customFormat="1" ht="15" customHeight="1" x14ac:dyDescent="0.25">
      <c r="B11" s="26" t="s">
        <v>228</v>
      </c>
      <c r="C11" s="42">
        <f>'Прил.5 Расчет СМР и ОБ'!J14</f>
        <v>48441.49</v>
      </c>
      <c r="D11" s="43">
        <f>C11/C24</f>
        <v>7.9122758747841304E-3</v>
      </c>
      <c r="E11" s="43">
        <f>C11/C40</f>
        <v>7.0758316913098881E-3</v>
      </c>
    </row>
    <row r="12" spans="1:5" s="1" customFormat="1" ht="15" customHeight="1" x14ac:dyDescent="0.25">
      <c r="B12" s="26" t="s">
        <v>229</v>
      </c>
      <c r="C12" s="42">
        <f>'Прил.5 Расчет СМР и ОБ'!J23</f>
        <v>18020.27</v>
      </c>
      <c r="D12" s="43">
        <f>C12/C24</f>
        <v>2.9433724598086526E-3</v>
      </c>
      <c r="E12" s="43">
        <f>C12/C40</f>
        <v>2.6322146067753252E-3</v>
      </c>
    </row>
    <row r="13" spans="1:5" s="1" customFormat="1" ht="15" customHeight="1" x14ac:dyDescent="0.25">
      <c r="B13" s="26" t="s">
        <v>230</v>
      </c>
      <c r="C13" s="42">
        <f>'Прил.5 Расчет СМР и ОБ'!J38</f>
        <v>3018.77</v>
      </c>
      <c r="D13" s="43">
        <f>C13/C24</f>
        <v>4.9307610155100703E-4</v>
      </c>
      <c r="E13" s="43">
        <f>C13/C40</f>
        <v>4.4095068988950491E-4</v>
      </c>
    </row>
    <row r="14" spans="1:5" s="1" customFormat="1" ht="15" customHeight="1" x14ac:dyDescent="0.25">
      <c r="B14" s="26" t="s">
        <v>231</v>
      </c>
      <c r="C14" s="42">
        <f>C13+C12</f>
        <v>21039.040000000001</v>
      </c>
      <c r="D14" s="43">
        <f>C14/C24</f>
        <v>3.4364485613596596E-3</v>
      </c>
      <c r="E14" s="43">
        <f>C14/C40</f>
        <v>3.0731652966648304E-3</v>
      </c>
    </row>
    <row r="15" spans="1:5" s="1" customFormat="1" ht="15" customHeight="1" x14ac:dyDescent="0.25">
      <c r="B15" s="26" t="s">
        <v>232</v>
      </c>
      <c r="C15" s="42">
        <f>'Прил.5 Расчет СМР и ОБ'!J16</f>
        <v>12302.26</v>
      </c>
      <c r="D15" s="43">
        <f>C15/C24</f>
        <v>2.0094112506308503E-3</v>
      </c>
      <c r="E15" s="43">
        <f>C15/C40</f>
        <v>1.7969868635901577E-3</v>
      </c>
    </row>
    <row r="16" spans="1:5" s="1" customFormat="1" ht="15" customHeight="1" x14ac:dyDescent="0.25">
      <c r="B16" s="26" t="s">
        <v>233</v>
      </c>
      <c r="C16" s="42">
        <f>'Прил.5 Расчет СМР и ОБ'!J53</f>
        <v>5146540.9700000007</v>
      </c>
      <c r="D16" s="43">
        <f>C16/C24</f>
        <v>0.84061931116320177</v>
      </c>
      <c r="E16" s="43">
        <f>C16/C40</f>
        <v>0.75175345960974238</v>
      </c>
    </row>
    <row r="17" spans="2:5" s="1" customFormat="1" ht="15" customHeight="1" x14ac:dyDescent="0.25">
      <c r="B17" s="26" t="s">
        <v>234</v>
      </c>
      <c r="C17" s="42">
        <f>'Прил.5 Расчет СМР и ОБ'!J96</f>
        <v>806903.25999999989</v>
      </c>
      <c r="D17" s="43">
        <f>C17/C24</f>
        <v>0.13179696160012144</v>
      </c>
      <c r="E17" s="43">
        <f>C17/C40</f>
        <v>0.11786408012902291</v>
      </c>
    </row>
    <row r="18" spans="2:5" s="1" customFormat="1" ht="15" customHeight="1" x14ac:dyDescent="0.25">
      <c r="B18" s="26" t="s">
        <v>235</v>
      </c>
      <c r="C18" s="42">
        <f>C17+C16</f>
        <v>5953444.2300000004</v>
      </c>
      <c r="D18" s="43">
        <f>C18/C24</f>
        <v>0.97241627276332321</v>
      </c>
      <c r="E18" s="43">
        <f>C18/C40</f>
        <v>0.86961753973876532</v>
      </c>
    </row>
    <row r="19" spans="2:5" s="1" customFormat="1" ht="15" customHeight="1" x14ac:dyDescent="0.25">
      <c r="B19" s="26" t="s">
        <v>236</v>
      </c>
      <c r="C19" s="42">
        <f>C18+C14+C11</f>
        <v>6022924.7600000007</v>
      </c>
      <c r="D19" s="43">
        <f>C19/C24</f>
        <v>0.98376499719946697</v>
      </c>
      <c r="E19" s="44">
        <f>C19/C40</f>
        <v>0.87976653672673999</v>
      </c>
    </row>
    <row r="20" spans="2:5" s="1" customFormat="1" ht="15" customHeight="1" x14ac:dyDescent="0.25">
      <c r="B20" s="26" t="s">
        <v>237</v>
      </c>
      <c r="C20" s="42">
        <f>'Прил.5 Расчет СМР и ОБ'!J100</f>
        <v>36166.571323206001</v>
      </c>
      <c r="D20" s="43">
        <f>C20/C24</f>
        <v>5.9073304672144153E-3</v>
      </c>
      <c r="E20" s="43">
        <f>C20/C40</f>
        <v>5.2828385653447161E-3</v>
      </c>
    </row>
    <row r="21" spans="2:5" s="1" customFormat="1" ht="15" customHeight="1" x14ac:dyDescent="0.25">
      <c r="B21" s="26" t="s">
        <v>238</v>
      </c>
      <c r="C21" s="45">
        <f>C20/(C11+C15)</f>
        <v>0.59539576208591005</v>
      </c>
      <c r="D21" s="43"/>
      <c r="E21" s="44"/>
    </row>
    <row r="22" spans="2:5" s="1" customFormat="1" ht="15" customHeight="1" x14ac:dyDescent="0.25">
      <c r="B22" s="26" t="s">
        <v>239</v>
      </c>
      <c r="C22" s="42">
        <f>'Прил.5 Расчет СМР и ОБ'!J99</f>
        <v>63229.321623139083</v>
      </c>
      <c r="D22" s="43">
        <f>C22/C24</f>
        <v>1.0327672333318607E-2</v>
      </c>
      <c r="E22" s="43">
        <f>C22/C40</f>
        <v>9.2358851422826415E-3</v>
      </c>
    </row>
    <row r="23" spans="2:5" s="1" customFormat="1" ht="15" customHeight="1" x14ac:dyDescent="0.25">
      <c r="B23" s="26" t="s">
        <v>240</v>
      </c>
      <c r="C23" s="45">
        <f>C22/(C11+C15)</f>
        <v>1.0409189689991001</v>
      </c>
      <c r="D23" s="43"/>
      <c r="E23" s="44"/>
    </row>
    <row r="24" spans="2:5" s="1" customFormat="1" ht="15" customHeight="1" x14ac:dyDescent="0.25">
      <c r="B24" s="26" t="s">
        <v>241</v>
      </c>
      <c r="C24" s="42">
        <f>C19+C20+C22</f>
        <v>6122320.6529463455</v>
      </c>
      <c r="D24" s="43">
        <f>C24/C24</f>
        <v>1</v>
      </c>
      <c r="E24" s="43">
        <f>C24/C40</f>
        <v>0.8942852604343674</v>
      </c>
    </row>
    <row r="25" spans="2:5" s="1" customFormat="1" ht="31.5" customHeight="1" x14ac:dyDescent="0.25">
      <c r="B25" s="26" t="s">
        <v>242</v>
      </c>
      <c r="C25" s="42">
        <f>'Прил.5 Расчет СМР и ОБ'!J45</f>
        <v>0</v>
      </c>
      <c r="D25" s="43"/>
      <c r="E25" s="43">
        <f>C25/C40</f>
        <v>0</v>
      </c>
    </row>
    <row r="26" spans="2:5" s="1" customFormat="1" ht="31.5" customHeight="1" x14ac:dyDescent="0.25">
      <c r="B26" s="26" t="s">
        <v>243</v>
      </c>
      <c r="C26" s="42">
        <f>C25</f>
        <v>0</v>
      </c>
      <c r="D26" s="43"/>
      <c r="E26" s="43">
        <f>C26/C40</f>
        <v>0</v>
      </c>
    </row>
    <row r="27" spans="2:5" s="1" customFormat="1" ht="15" customHeight="1" x14ac:dyDescent="0.25">
      <c r="B27" s="26" t="s">
        <v>244</v>
      </c>
      <c r="C27" s="46">
        <f>C24+C25</f>
        <v>6122320.6529463455</v>
      </c>
      <c r="D27" s="43"/>
      <c r="E27" s="43">
        <f>C27/C40</f>
        <v>0.8942852604343674</v>
      </c>
    </row>
    <row r="28" spans="2:5" s="1" customFormat="1" ht="33" customHeight="1" x14ac:dyDescent="0.25">
      <c r="B28" s="26" t="s">
        <v>245</v>
      </c>
      <c r="C28" s="26"/>
      <c r="D28" s="44"/>
      <c r="E28" s="44"/>
    </row>
    <row r="29" spans="2:5" s="1" customFormat="1" ht="31.5" customHeight="1" x14ac:dyDescent="0.25">
      <c r="B29" s="26" t="s">
        <v>246</v>
      </c>
      <c r="C29" s="46">
        <f>ROUND(C24*0.039,2)</f>
        <v>238770.51</v>
      </c>
      <c r="D29" s="44"/>
      <c r="E29" s="43">
        <f>C29/C40</f>
        <v>3.4877125819379726E-2</v>
      </c>
    </row>
    <row r="30" spans="2:5" s="1" customFormat="1" ht="62.45" customHeight="1" x14ac:dyDescent="0.25">
      <c r="B30" s="26" t="s">
        <v>247</v>
      </c>
      <c r="C30" s="46">
        <f>ROUND((C24+C29)*0.021,2)</f>
        <v>133582.91</v>
      </c>
      <c r="D30" s="44"/>
      <c r="E30" s="43">
        <f>C30/C40</f>
        <v>1.9512409465427191E-2</v>
      </c>
    </row>
    <row r="31" spans="2:5" s="1" customFormat="1" ht="15.6" customHeight="1" x14ac:dyDescent="0.25">
      <c r="B31" s="26" t="s">
        <v>248</v>
      </c>
      <c r="C31" s="46">
        <f>ROUND(C25*80%*7%,2)</f>
        <v>0</v>
      </c>
      <c r="D31" s="44"/>
      <c r="E31" s="43">
        <f>C31/C40</f>
        <v>0</v>
      </c>
    </row>
    <row r="32" spans="2:5" s="1" customFormat="1" ht="31.5" customHeight="1" x14ac:dyDescent="0.25">
      <c r="B32" s="26" t="s">
        <v>249</v>
      </c>
      <c r="C32" s="46">
        <v>0</v>
      </c>
      <c r="D32" s="44"/>
      <c r="E32" s="43">
        <f>C32/C40</f>
        <v>0</v>
      </c>
    </row>
    <row r="33" spans="2:11" s="1" customFormat="1" ht="46.9" customHeight="1" x14ac:dyDescent="0.25">
      <c r="B33" s="26" t="s">
        <v>250</v>
      </c>
      <c r="C33" s="46">
        <v>0</v>
      </c>
      <c r="D33" s="44"/>
      <c r="E33" s="43">
        <f>C33/C40</f>
        <v>0</v>
      </c>
    </row>
    <row r="34" spans="2:11" s="1" customFormat="1" ht="62.45" customHeight="1" x14ac:dyDescent="0.25">
      <c r="B34" s="26" t="s">
        <v>251</v>
      </c>
      <c r="C34" s="46">
        <v>0</v>
      </c>
      <c r="D34" s="44"/>
      <c r="E34" s="43">
        <f>C34/C40</f>
        <v>0</v>
      </c>
    </row>
    <row r="35" spans="2:11" s="1" customFormat="1" ht="93.6" customHeight="1" x14ac:dyDescent="0.25">
      <c r="B35" s="26" t="s">
        <v>252</v>
      </c>
      <c r="C35" s="46">
        <v>0</v>
      </c>
      <c r="D35" s="44"/>
      <c r="E35" s="43">
        <f>C35/C40</f>
        <v>0</v>
      </c>
    </row>
    <row r="36" spans="2:11" s="1" customFormat="1" ht="46.9" customHeight="1" x14ac:dyDescent="0.25">
      <c r="B36" s="47" t="s">
        <v>253</v>
      </c>
      <c r="C36" s="48">
        <f>ROUND((C27+C29+C31+C30)*0.0214,2)</f>
        <v>138986.03</v>
      </c>
      <c r="D36" s="49"/>
      <c r="E36" s="50">
        <f>C36/C40</f>
        <v>2.0301641335213821E-2</v>
      </c>
      <c r="K36" s="36"/>
    </row>
    <row r="37" spans="2:11" s="1" customFormat="1" ht="15.6" customHeight="1" x14ac:dyDescent="0.25">
      <c r="B37" s="27" t="s">
        <v>254</v>
      </c>
      <c r="C37" s="27">
        <f>ROUND((C27+C29+C30+C31)*0.002,2)</f>
        <v>12989.35</v>
      </c>
      <c r="D37" s="51"/>
      <c r="E37" s="51">
        <f>C37/C40</f>
        <v>1.897349862267162E-3</v>
      </c>
    </row>
    <row r="38" spans="2:11" s="1" customFormat="1" ht="62.45" customHeight="1" x14ac:dyDescent="0.25">
      <c r="B38" s="52" t="s">
        <v>255</v>
      </c>
      <c r="C38" s="53">
        <f>C27+C29+C30+C31+C36+C37</f>
        <v>6646649.4529463453</v>
      </c>
      <c r="D38" s="54"/>
      <c r="E38" s="55">
        <f>C38/C40</f>
        <v>0.97087378691665527</v>
      </c>
    </row>
    <row r="39" spans="2:11" s="1" customFormat="1" ht="15.6" customHeight="1" x14ac:dyDescent="0.25">
      <c r="B39" s="26" t="s">
        <v>256</v>
      </c>
      <c r="C39" s="42">
        <f>ROUND(C38*0.03,2)</f>
        <v>199399.48</v>
      </c>
      <c r="D39" s="44"/>
      <c r="E39" s="43">
        <f>C39/C40</f>
        <v>2.9126213083344718E-2</v>
      </c>
    </row>
    <row r="40" spans="2:11" s="1" customFormat="1" ht="15.6" customHeight="1" x14ac:dyDescent="0.25">
      <c r="B40" s="26" t="s">
        <v>257</v>
      </c>
      <c r="C40" s="42">
        <f>C39+C38</f>
        <v>6846048.9329463458</v>
      </c>
      <c r="D40" s="44"/>
      <c r="E40" s="43">
        <f>C40/C40</f>
        <v>1</v>
      </c>
    </row>
    <row r="41" spans="2:11" s="1" customFormat="1" ht="31.5" customHeight="1" x14ac:dyDescent="0.25">
      <c r="B41" s="26" t="s">
        <v>258</v>
      </c>
      <c r="C41" s="42">
        <f>C40/'Прил.5 Расчет СМР и ОБ'!E103</f>
        <v>6846048.9329463458</v>
      </c>
      <c r="D41" s="44"/>
      <c r="E41" s="44"/>
    </row>
    <row r="42" spans="2:11" s="1" customFormat="1" ht="15.6" customHeight="1" x14ac:dyDescent="0.25">
      <c r="B42" s="5"/>
    </row>
    <row r="43" spans="2:11" s="1" customFormat="1" ht="15.6" customHeight="1" x14ac:dyDescent="0.25">
      <c r="B43" s="5" t="s">
        <v>259</v>
      </c>
    </row>
    <row r="44" spans="2:11" s="1" customFormat="1" ht="15.6" customHeight="1" x14ac:dyDescent="0.25">
      <c r="B44" s="5" t="s">
        <v>260</v>
      </c>
    </row>
    <row r="45" spans="2:11" s="1" customFormat="1" ht="15.6" customHeight="1" x14ac:dyDescent="0.25">
      <c r="B45" s="5"/>
    </row>
    <row r="46" spans="2:11" s="1" customFormat="1" ht="15.6" customHeight="1" x14ac:dyDescent="0.25">
      <c r="B46" s="5" t="s">
        <v>261</v>
      </c>
    </row>
    <row r="47" spans="2:11" s="1" customFormat="1" ht="15.6" customHeight="1" x14ac:dyDescent="0.25">
      <c r="B47" s="56" t="s">
        <v>262</v>
      </c>
      <c r="C47" s="56"/>
    </row>
    <row r="48" spans="2:11" s="1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0"/>
  <sheetViews>
    <sheetView workbookViewId="0">
      <selection activeCell="I13" sqref="I13"/>
    </sheetView>
  </sheetViews>
  <sheetFormatPr defaultColWidth="9.140625" defaultRowHeight="15" outlineLevelRow="1" x14ac:dyDescent="0.25"/>
  <cols>
    <col min="1" max="1" width="5.5703125" style="23" customWidth="1"/>
    <col min="2" max="2" width="22.42578125" style="23" customWidth="1"/>
    <col min="3" max="3" width="39.140625" style="23" customWidth="1"/>
    <col min="4" max="4" width="10.5703125" style="23" customWidth="1"/>
    <col min="5" max="5" width="12.5703125" style="23" customWidth="1"/>
    <col min="6" max="6" width="14.42578125" style="23" customWidth="1"/>
    <col min="7" max="7" width="13.42578125" style="23" customWidth="1"/>
    <col min="8" max="8" width="12.5703125" style="23" customWidth="1"/>
    <col min="9" max="9" width="14.42578125" style="23" customWidth="1"/>
    <col min="10" max="10" width="15.140625" style="23" customWidth="1"/>
    <col min="11" max="11" width="22.42578125" style="23" customWidth="1"/>
    <col min="12" max="12" width="16.42578125" style="23" customWidth="1"/>
    <col min="13" max="13" width="10.85546875" style="23" customWidth="1"/>
    <col min="14" max="14" width="9.140625" style="23"/>
  </cols>
  <sheetData>
    <row r="1" spans="1:11" s="23" customFormat="1" ht="13.7" customHeight="1" x14ac:dyDescent="0.2">
      <c r="A1" s="22"/>
    </row>
    <row r="2" spans="1:11" s="23" customFormat="1" ht="15.6" customHeight="1" x14ac:dyDescent="0.25">
      <c r="A2" s="1"/>
      <c r="B2" s="1"/>
      <c r="C2" s="1"/>
      <c r="D2" s="1"/>
      <c r="E2" s="1"/>
      <c r="F2" s="1"/>
      <c r="G2" s="1"/>
      <c r="H2" s="108" t="s">
        <v>263</v>
      </c>
      <c r="I2" s="108"/>
      <c r="J2" s="108"/>
    </row>
    <row r="3" spans="1:11" s="23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2" customFormat="1" ht="15.6" customHeight="1" x14ac:dyDescent="0.2">
      <c r="A4" s="90" t="s">
        <v>264</v>
      </c>
      <c r="B4" s="90"/>
      <c r="C4" s="90"/>
      <c r="D4" s="90"/>
      <c r="E4" s="90"/>
      <c r="F4" s="90"/>
      <c r="G4" s="90"/>
      <c r="H4" s="90"/>
      <c r="I4" s="24"/>
      <c r="J4" s="24"/>
    </row>
    <row r="5" spans="1:11" s="22" customFormat="1" ht="15.6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</row>
    <row r="6" spans="1:11" s="22" customFormat="1" x14ac:dyDescent="0.2">
      <c r="A6" s="109" t="s">
        <v>265</v>
      </c>
      <c r="B6" s="110"/>
      <c r="C6" s="110"/>
      <c r="D6" s="109" t="s">
        <v>341</v>
      </c>
      <c r="E6" s="111"/>
      <c r="F6" s="111"/>
      <c r="G6" s="111"/>
      <c r="H6" s="111"/>
      <c r="I6" s="111"/>
      <c r="J6" s="111"/>
    </row>
    <row r="7" spans="1:11" s="22" customFormat="1" ht="15.6" customHeight="1" x14ac:dyDescent="0.2">
      <c r="A7" s="92" t="s">
        <v>336</v>
      </c>
      <c r="B7" s="92"/>
      <c r="C7" s="92"/>
      <c r="D7" s="92"/>
      <c r="E7" s="25"/>
      <c r="F7" s="25"/>
      <c r="G7" s="25"/>
      <c r="H7" s="25"/>
      <c r="I7" s="25"/>
      <c r="J7" s="25"/>
    </row>
    <row r="8" spans="1:11" s="22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12" t="s">
        <v>266</v>
      </c>
      <c r="B9" s="93" t="s">
        <v>43</v>
      </c>
      <c r="C9" s="93" t="s">
        <v>224</v>
      </c>
      <c r="D9" s="93" t="s">
        <v>45</v>
      </c>
      <c r="E9" s="93" t="s">
        <v>267</v>
      </c>
      <c r="F9" s="93" t="s">
        <v>47</v>
      </c>
      <c r="G9" s="93"/>
      <c r="H9" s="93" t="s">
        <v>268</v>
      </c>
      <c r="I9" s="93" t="s">
        <v>269</v>
      </c>
      <c r="J9" s="93"/>
      <c r="K9" s="3"/>
    </row>
    <row r="10" spans="1:11" s="1" customFormat="1" ht="28.5" customHeight="1" x14ac:dyDescent="0.25">
      <c r="A10" s="112"/>
      <c r="B10" s="93"/>
      <c r="C10" s="93"/>
      <c r="D10" s="93"/>
      <c r="E10" s="93"/>
      <c r="F10" s="4" t="s">
        <v>270</v>
      </c>
      <c r="G10" s="4" t="s">
        <v>49</v>
      </c>
      <c r="H10" s="93"/>
      <c r="I10" s="4" t="s">
        <v>270</v>
      </c>
      <c r="J10" s="4" t="s">
        <v>49</v>
      </c>
    </row>
    <row r="11" spans="1:11" s="1" customFormat="1" ht="15.6" customHeight="1" x14ac:dyDescent="0.25">
      <c r="A11" s="26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1" s="1" customFormat="1" ht="15.6" customHeight="1" x14ac:dyDescent="0.25">
      <c r="A12" s="27"/>
      <c r="B12" s="103" t="s">
        <v>271</v>
      </c>
      <c r="C12" s="104"/>
      <c r="D12" s="105"/>
      <c r="E12" s="105"/>
      <c r="F12" s="105"/>
      <c r="G12" s="105"/>
      <c r="H12" s="105"/>
      <c r="I12" s="27"/>
      <c r="J12" s="27"/>
    </row>
    <row r="13" spans="1:11" s="1" customFormat="1" ht="31.5" customHeight="1" x14ac:dyDescent="0.25">
      <c r="A13" s="15">
        <v>1</v>
      </c>
      <c r="B13" s="15" t="s">
        <v>73</v>
      </c>
      <c r="C13" s="16" t="s">
        <v>272</v>
      </c>
      <c r="D13" s="15" t="s">
        <v>54</v>
      </c>
      <c r="E13" s="15">
        <v>131.61661349276</v>
      </c>
      <c r="F13" s="17">
        <v>8.31</v>
      </c>
      <c r="G13" s="17">
        <f>ROUND(E13*F13,2)</f>
        <v>1093.73</v>
      </c>
      <c r="H13" s="28">
        <f>G13/G14</f>
        <v>1</v>
      </c>
      <c r="I13" s="17">
        <f>ROUND(F13*'Прил. 10'!$D$10,2)</f>
        <v>368.05</v>
      </c>
      <c r="J13" s="17">
        <f>ROUND(E13*I13,2)</f>
        <v>48441.49</v>
      </c>
    </row>
    <row r="14" spans="1:11" s="1" customFormat="1" ht="31.5" customHeight="1" x14ac:dyDescent="0.25">
      <c r="A14" s="15"/>
      <c r="B14" s="15"/>
      <c r="C14" s="16" t="s">
        <v>273</v>
      </c>
      <c r="D14" s="15" t="s">
        <v>54</v>
      </c>
      <c r="E14" s="15">
        <f>SUM(E13:E13)</f>
        <v>131.61661349276</v>
      </c>
      <c r="F14" s="17"/>
      <c r="G14" s="17">
        <f>SUM(G13:G13)</f>
        <v>1093.73</v>
      </c>
      <c r="H14" s="28">
        <v>1</v>
      </c>
      <c r="I14" s="17"/>
      <c r="J14" s="17">
        <f>SUM(J13:J13)</f>
        <v>48441.49</v>
      </c>
    </row>
    <row r="15" spans="1:11" s="1" customFormat="1" ht="15.6" customHeight="1" x14ac:dyDescent="0.25">
      <c r="A15" s="15"/>
      <c r="B15" s="98" t="s">
        <v>81</v>
      </c>
      <c r="C15" s="99"/>
      <c r="D15" s="98"/>
      <c r="E15" s="98"/>
      <c r="F15" s="102"/>
      <c r="G15" s="102"/>
      <c r="H15" s="98"/>
      <c r="I15" s="17"/>
      <c r="J15" s="17"/>
    </row>
    <row r="16" spans="1:11" s="1" customFormat="1" ht="15.6" customHeight="1" x14ac:dyDescent="0.25">
      <c r="A16" s="15">
        <v>2</v>
      </c>
      <c r="B16" s="15">
        <v>2</v>
      </c>
      <c r="C16" s="16" t="s">
        <v>81</v>
      </c>
      <c r="D16" s="15" t="s">
        <v>54</v>
      </c>
      <c r="E16" s="15">
        <v>21.058658158841499</v>
      </c>
      <c r="F16" s="17">
        <v>13.19</v>
      </c>
      <c r="G16" s="17">
        <f>ROUND(E16*F16,2)</f>
        <v>277.76</v>
      </c>
      <c r="H16" s="28">
        <v>1</v>
      </c>
      <c r="I16" s="17">
        <f>ROUND(F16*'Прил. 10'!$D$10,2)</f>
        <v>584.19000000000005</v>
      </c>
      <c r="J16" s="17">
        <f>ROUND(E16*I16,2)</f>
        <v>12302.26</v>
      </c>
    </row>
    <row r="17" spans="1:10" s="1" customFormat="1" ht="15.6" customHeight="1" x14ac:dyDescent="0.25">
      <c r="A17" s="15"/>
      <c r="B17" s="97" t="s">
        <v>82</v>
      </c>
      <c r="C17" s="99"/>
      <c r="D17" s="98"/>
      <c r="E17" s="98"/>
      <c r="F17" s="102"/>
      <c r="G17" s="102"/>
      <c r="H17" s="98"/>
      <c r="I17" s="17"/>
      <c r="J17" s="17"/>
    </row>
    <row r="18" spans="1:10" s="1" customFormat="1" ht="15.6" customHeight="1" x14ac:dyDescent="0.25">
      <c r="A18" s="15"/>
      <c r="B18" s="98" t="s">
        <v>274</v>
      </c>
      <c r="C18" s="99"/>
      <c r="D18" s="98"/>
      <c r="E18" s="98"/>
      <c r="F18" s="102"/>
      <c r="G18" s="102"/>
      <c r="H18" s="98"/>
      <c r="I18" s="17"/>
      <c r="J18" s="17"/>
    </row>
    <row r="19" spans="1:10" s="1" customFormat="1" ht="31.5" customHeight="1" x14ac:dyDescent="0.25">
      <c r="A19" s="15">
        <v>3</v>
      </c>
      <c r="B19" s="29" t="s">
        <v>83</v>
      </c>
      <c r="C19" s="19" t="s">
        <v>84</v>
      </c>
      <c r="D19" s="20" t="s">
        <v>85</v>
      </c>
      <c r="E19" s="30">
        <v>4.8870423210134568</v>
      </c>
      <c r="F19" s="31">
        <v>100.1</v>
      </c>
      <c r="G19" s="31">
        <f>ROUND(E19*F19,2)</f>
        <v>489.19</v>
      </c>
      <c r="H19" s="28">
        <f>G19/G39</f>
        <v>0.31319986426874785</v>
      </c>
      <c r="I19" s="17">
        <f>ROUND(F19*'Прил. 10'!$D$11,2)</f>
        <v>1348.35</v>
      </c>
      <c r="J19" s="17">
        <f>ROUND(E19*I19,2)</f>
        <v>6589.44</v>
      </c>
    </row>
    <row r="20" spans="1:10" s="1" customFormat="1" ht="31.5" customHeight="1" x14ac:dyDescent="0.25">
      <c r="A20" s="15">
        <v>4</v>
      </c>
      <c r="B20" s="29" t="s">
        <v>86</v>
      </c>
      <c r="C20" s="19" t="s">
        <v>87</v>
      </c>
      <c r="D20" s="20" t="s">
        <v>85</v>
      </c>
      <c r="E20" s="30">
        <v>3.9982374270960057</v>
      </c>
      <c r="F20" s="31">
        <v>105.81</v>
      </c>
      <c r="G20" s="31">
        <f>ROUND(E20*F20,2)</f>
        <v>423.05</v>
      </c>
      <c r="H20" s="28">
        <f>G20/G39</f>
        <v>0.27085427457407918</v>
      </c>
      <c r="I20" s="17">
        <f>ROUND(F20*'Прил. 10'!$D$11,2)</f>
        <v>1425.26</v>
      </c>
      <c r="J20" s="17">
        <f>ROUND(E20*I20,2)</f>
        <v>5698.53</v>
      </c>
    </row>
    <row r="21" spans="1:10" s="1" customFormat="1" ht="46.9" customHeight="1" x14ac:dyDescent="0.25">
      <c r="A21" s="15">
        <v>5</v>
      </c>
      <c r="B21" s="29" t="s">
        <v>88</v>
      </c>
      <c r="C21" s="19" t="s">
        <v>89</v>
      </c>
      <c r="D21" s="20" t="s">
        <v>85</v>
      </c>
      <c r="E21" s="30">
        <v>3.9982669129045063</v>
      </c>
      <c r="F21" s="31">
        <v>71</v>
      </c>
      <c r="G21" s="31">
        <f>ROUND(E21*F21,2)</f>
        <v>283.88</v>
      </c>
      <c r="H21" s="28">
        <f>G21/G39</f>
        <v>0.18175182949081573</v>
      </c>
      <c r="I21" s="17">
        <f>ROUND(F21*'Прил. 10'!$D$11,2)</f>
        <v>956.37</v>
      </c>
      <c r="J21" s="17">
        <f>ROUND(E21*I21,2)</f>
        <v>3823.82</v>
      </c>
    </row>
    <row r="22" spans="1:10" s="1" customFormat="1" ht="46.9" customHeight="1" x14ac:dyDescent="0.25">
      <c r="A22" s="15">
        <v>6</v>
      </c>
      <c r="B22" s="29" t="s">
        <v>90</v>
      </c>
      <c r="C22" s="19" t="s">
        <v>91</v>
      </c>
      <c r="D22" s="20" t="s">
        <v>85</v>
      </c>
      <c r="E22" s="30">
        <v>1.260978095308942</v>
      </c>
      <c r="F22" s="31">
        <v>112.36</v>
      </c>
      <c r="G22" s="31">
        <f>ROUND(E22*F22,2)</f>
        <v>141.68</v>
      </c>
      <c r="H22" s="28">
        <f>G22/G39</f>
        <v>9.0709451889033302E-2</v>
      </c>
      <c r="I22" s="17">
        <f>ROUND(F22*'Прил. 10'!$D$11,2)</f>
        <v>1513.49</v>
      </c>
      <c r="J22" s="17">
        <f>ROUND(E22*I22,2)</f>
        <v>1908.48</v>
      </c>
    </row>
    <row r="23" spans="1:10" s="1" customFormat="1" ht="15.6" customHeight="1" x14ac:dyDescent="0.25">
      <c r="A23" s="15"/>
      <c r="B23" s="106" t="s">
        <v>275</v>
      </c>
      <c r="C23" s="98"/>
      <c r="D23" s="98"/>
      <c r="E23" s="98"/>
      <c r="F23" s="102"/>
      <c r="G23" s="31">
        <f>SUM(G19:G22)</f>
        <v>1337.8</v>
      </c>
      <c r="H23" s="28">
        <f>SUM(H19:H22)</f>
        <v>0.85651542022267613</v>
      </c>
      <c r="I23" s="17"/>
      <c r="J23" s="17">
        <f>SUM(J19:J22)</f>
        <v>18020.27</v>
      </c>
    </row>
    <row r="24" spans="1:10" s="1" customFormat="1" ht="31.5" customHeight="1" outlineLevel="1" x14ac:dyDescent="0.25">
      <c r="A24" s="15">
        <v>7</v>
      </c>
      <c r="B24" s="29" t="s">
        <v>92</v>
      </c>
      <c r="C24" s="19" t="s">
        <v>93</v>
      </c>
      <c r="D24" s="20" t="s">
        <v>85</v>
      </c>
      <c r="E24" s="30">
        <v>0.69502762664889139</v>
      </c>
      <c r="F24" s="31">
        <v>115.4</v>
      </c>
      <c r="G24" s="31">
        <f t="shared" ref="G24:G37" si="0">ROUND(E24*F24,2)</f>
        <v>80.209999999999994</v>
      </c>
      <c r="H24" s="28">
        <f>G24/G39</f>
        <v>5.1353791191553921E-2</v>
      </c>
      <c r="I24" s="17">
        <f>ROUND(F24*'Прил. 10'!$D$11,2)</f>
        <v>1554.44</v>
      </c>
      <c r="J24" s="17">
        <f t="shared" ref="J24:J37" si="1">ROUND(E24*I24,2)</f>
        <v>1080.3800000000001</v>
      </c>
    </row>
    <row r="25" spans="1:10" s="1" customFormat="1" ht="93.6" customHeight="1" outlineLevel="1" x14ac:dyDescent="0.25">
      <c r="A25" s="15">
        <v>8</v>
      </c>
      <c r="B25" s="29" t="s">
        <v>94</v>
      </c>
      <c r="C25" s="19" t="s">
        <v>95</v>
      </c>
      <c r="D25" s="20" t="s">
        <v>85</v>
      </c>
      <c r="E25" s="30">
        <v>2.182080138717557</v>
      </c>
      <c r="F25" s="31">
        <v>26.32</v>
      </c>
      <c r="G25" s="31">
        <f t="shared" si="0"/>
        <v>57.43</v>
      </c>
      <c r="H25" s="28">
        <f>G25/G39</f>
        <v>3.6769084006120709E-2</v>
      </c>
      <c r="I25" s="17">
        <f>ROUND(F25*'Прил. 10'!$D$11,2)</f>
        <v>354.53</v>
      </c>
      <c r="J25" s="17">
        <f t="shared" si="1"/>
        <v>773.61</v>
      </c>
    </row>
    <row r="26" spans="1:10" s="1" customFormat="1" ht="15.6" customHeight="1" outlineLevel="1" x14ac:dyDescent="0.25">
      <c r="A26" s="15">
        <v>9</v>
      </c>
      <c r="B26" s="29" t="s">
        <v>96</v>
      </c>
      <c r="C26" s="19" t="s">
        <v>97</v>
      </c>
      <c r="D26" s="20" t="s">
        <v>85</v>
      </c>
      <c r="E26" s="30">
        <v>0.29764941863087085</v>
      </c>
      <c r="F26" s="31">
        <v>89.99</v>
      </c>
      <c r="G26" s="31">
        <f t="shared" si="0"/>
        <v>26.79</v>
      </c>
      <c r="H26" s="28">
        <f>G26/G39</f>
        <v>1.7152076624133272E-2</v>
      </c>
      <c r="I26" s="17">
        <f>ROUND(F26*'Прил. 10'!$D$11,2)</f>
        <v>1212.17</v>
      </c>
      <c r="J26" s="17">
        <f t="shared" si="1"/>
        <v>360.8</v>
      </c>
    </row>
    <row r="27" spans="1:10" s="1" customFormat="1" ht="31.5" customHeight="1" outlineLevel="1" x14ac:dyDescent="0.25">
      <c r="A27" s="15">
        <v>10</v>
      </c>
      <c r="B27" s="29" t="s">
        <v>98</v>
      </c>
      <c r="C27" s="19" t="s">
        <v>99</v>
      </c>
      <c r="D27" s="20" t="s">
        <v>85</v>
      </c>
      <c r="E27" s="30">
        <v>0.32954194585000124</v>
      </c>
      <c r="F27" s="31">
        <v>65.709999999999994</v>
      </c>
      <c r="G27" s="31">
        <f t="shared" si="0"/>
        <v>21.65</v>
      </c>
      <c r="H27" s="28">
        <f>G27/G39</f>
        <v>1.3861234001959138E-2</v>
      </c>
      <c r="I27" s="17">
        <f>ROUND(F27*'Прил. 10'!$D$11,2)</f>
        <v>885.11</v>
      </c>
      <c r="J27" s="17">
        <f t="shared" si="1"/>
        <v>291.68</v>
      </c>
    </row>
    <row r="28" spans="1:10" s="1" customFormat="1" ht="46.9" customHeight="1" outlineLevel="1" x14ac:dyDescent="0.25">
      <c r="A28" s="15">
        <v>11</v>
      </c>
      <c r="B28" s="29" t="s">
        <v>100</v>
      </c>
      <c r="C28" s="19" t="s">
        <v>101</v>
      </c>
      <c r="D28" s="20" t="s">
        <v>85</v>
      </c>
      <c r="E28" s="30">
        <v>0.14784300232398889</v>
      </c>
      <c r="F28" s="31">
        <v>100</v>
      </c>
      <c r="G28" s="31">
        <f t="shared" si="0"/>
        <v>14.78</v>
      </c>
      <c r="H28" s="28">
        <f>G28/G39</f>
        <v>9.4627731431388487E-3</v>
      </c>
      <c r="I28" s="17">
        <f>ROUND(F28*'Прил. 10'!$D$11,2)</f>
        <v>1347</v>
      </c>
      <c r="J28" s="17">
        <f t="shared" si="1"/>
        <v>199.14</v>
      </c>
    </row>
    <row r="29" spans="1:10" s="1" customFormat="1" ht="31.5" customHeight="1" outlineLevel="1" x14ac:dyDescent="0.25">
      <c r="A29" s="15">
        <v>12</v>
      </c>
      <c r="B29" s="29" t="s">
        <v>102</v>
      </c>
      <c r="C29" s="19" t="s">
        <v>103</v>
      </c>
      <c r="D29" s="20" t="s">
        <v>85</v>
      </c>
      <c r="E29" s="30">
        <v>0.12826317192991799</v>
      </c>
      <c r="F29" s="31">
        <v>86.4</v>
      </c>
      <c r="G29" s="31">
        <f t="shared" si="0"/>
        <v>11.08</v>
      </c>
      <c r="H29" s="28">
        <f>G29/G39</f>
        <v>7.0938786485777025E-3</v>
      </c>
      <c r="I29" s="17">
        <f>ROUND(F29*'Прил. 10'!$D$11,2)</f>
        <v>1163.81</v>
      </c>
      <c r="J29" s="17">
        <f t="shared" si="1"/>
        <v>149.27000000000001</v>
      </c>
    </row>
    <row r="30" spans="1:10" s="1" customFormat="1" ht="31.5" customHeight="1" outlineLevel="1" x14ac:dyDescent="0.25">
      <c r="A30" s="15">
        <v>13</v>
      </c>
      <c r="B30" s="29" t="s">
        <v>104</v>
      </c>
      <c r="C30" s="19" t="s">
        <v>105</v>
      </c>
      <c r="D30" s="20" t="s">
        <v>85</v>
      </c>
      <c r="E30" s="30">
        <v>0.2530979350133154</v>
      </c>
      <c r="F30" s="31">
        <v>27.11</v>
      </c>
      <c r="G30" s="31">
        <f t="shared" si="0"/>
        <v>6.86</v>
      </c>
      <c r="H30" s="28">
        <f>G30/G39</f>
        <v>4.3920584412674227E-3</v>
      </c>
      <c r="I30" s="17">
        <f>ROUND(F30*'Прил. 10'!$D$11,2)</f>
        <v>365.17</v>
      </c>
      <c r="J30" s="17">
        <f t="shared" si="1"/>
        <v>92.42</v>
      </c>
    </row>
    <row r="31" spans="1:10" s="1" customFormat="1" ht="31.5" customHeight="1" outlineLevel="1" x14ac:dyDescent="0.25">
      <c r="A31" s="15">
        <v>14</v>
      </c>
      <c r="B31" s="29" t="s">
        <v>106</v>
      </c>
      <c r="C31" s="19" t="s">
        <v>107</v>
      </c>
      <c r="D31" s="20" t="s">
        <v>85</v>
      </c>
      <c r="E31" s="30">
        <v>1.4415372107854615E-2</v>
      </c>
      <c r="F31" s="31">
        <v>239.44</v>
      </c>
      <c r="G31" s="31">
        <f t="shared" si="0"/>
        <v>3.45</v>
      </c>
      <c r="H31" s="28">
        <f>G31/G39</f>
        <v>2.2088340557394471E-3</v>
      </c>
      <c r="I31" s="17">
        <f>ROUND(F31*'Прил. 10'!$D$11,2)</f>
        <v>3225.26</v>
      </c>
      <c r="J31" s="17">
        <f t="shared" si="1"/>
        <v>46.49</v>
      </c>
    </row>
    <row r="32" spans="1:10" s="1" customFormat="1" ht="15.6" customHeight="1" outlineLevel="1" x14ac:dyDescent="0.25">
      <c r="A32" s="15">
        <v>15</v>
      </c>
      <c r="B32" s="29" t="s">
        <v>108</v>
      </c>
      <c r="C32" s="19" t="s">
        <v>109</v>
      </c>
      <c r="D32" s="20" t="s">
        <v>85</v>
      </c>
      <c r="E32" s="30">
        <v>2.3957976634375433E-2</v>
      </c>
      <c r="F32" s="31">
        <v>30</v>
      </c>
      <c r="G32" s="31">
        <f t="shared" si="0"/>
        <v>0.72</v>
      </c>
      <c r="H32" s="28">
        <f>G32/G39</f>
        <v>4.609740638064933E-4</v>
      </c>
      <c r="I32" s="17">
        <f>ROUND(F32*'Прил. 10'!$D$11,2)</f>
        <v>404.1</v>
      </c>
      <c r="J32" s="17">
        <f t="shared" si="1"/>
        <v>9.68</v>
      </c>
    </row>
    <row r="33" spans="1:10" s="1" customFormat="1" ht="31.5" customHeight="1" outlineLevel="1" x14ac:dyDescent="0.25">
      <c r="A33" s="15">
        <v>16</v>
      </c>
      <c r="B33" s="29" t="s">
        <v>110</v>
      </c>
      <c r="C33" s="19" t="s">
        <v>111</v>
      </c>
      <c r="D33" s="20" t="s">
        <v>85</v>
      </c>
      <c r="E33" s="30">
        <v>5.2244972013551017E-3</v>
      </c>
      <c r="F33" s="31">
        <v>94.38</v>
      </c>
      <c r="G33" s="31">
        <f t="shared" si="0"/>
        <v>0.49</v>
      </c>
      <c r="H33" s="28">
        <f>G33/G39</f>
        <v>3.1371846009053018E-4</v>
      </c>
      <c r="I33" s="17">
        <f>ROUND(F33*'Прил. 10'!$D$11,2)</f>
        <v>1271.3</v>
      </c>
      <c r="J33" s="17">
        <f t="shared" si="1"/>
        <v>6.64</v>
      </c>
    </row>
    <row r="34" spans="1:10" s="1" customFormat="1" ht="31.5" customHeight="1" outlineLevel="1" x14ac:dyDescent="0.25">
      <c r="A34" s="15">
        <v>17</v>
      </c>
      <c r="B34" s="29" t="s">
        <v>112</v>
      </c>
      <c r="C34" s="19" t="s">
        <v>113</v>
      </c>
      <c r="D34" s="20" t="s">
        <v>85</v>
      </c>
      <c r="E34" s="30">
        <v>8.4086981853408044E-2</v>
      </c>
      <c r="F34" s="31">
        <v>3.28</v>
      </c>
      <c r="G34" s="31">
        <f t="shared" si="0"/>
        <v>0.28000000000000003</v>
      </c>
      <c r="H34" s="28">
        <f>G34/G39</f>
        <v>1.7926769148030297E-4</v>
      </c>
      <c r="I34" s="17">
        <f>ROUND(F34*'Прил. 10'!$D$11,2)</f>
        <v>44.18</v>
      </c>
      <c r="J34" s="17">
        <f t="shared" si="1"/>
        <v>3.71</v>
      </c>
    </row>
    <row r="35" spans="1:10" s="1" customFormat="1" ht="31.5" customHeight="1" outlineLevel="1" x14ac:dyDescent="0.25">
      <c r="A35" s="15">
        <v>18</v>
      </c>
      <c r="B35" s="29" t="s">
        <v>114</v>
      </c>
      <c r="C35" s="19" t="s">
        <v>115</v>
      </c>
      <c r="D35" s="20" t="s">
        <v>85</v>
      </c>
      <c r="E35" s="30">
        <v>2.1666824978949489E-2</v>
      </c>
      <c r="F35" s="31">
        <v>8.1</v>
      </c>
      <c r="G35" s="31">
        <f t="shared" si="0"/>
        <v>0.18</v>
      </c>
      <c r="H35" s="28">
        <f>G35/G39</f>
        <v>1.1524351595162333E-4</v>
      </c>
      <c r="I35" s="17">
        <f>ROUND(F35*'Прил. 10'!$D$11,2)</f>
        <v>109.11</v>
      </c>
      <c r="J35" s="17">
        <f t="shared" si="1"/>
        <v>2.36</v>
      </c>
    </row>
    <row r="36" spans="1:10" s="1" customFormat="1" ht="31.5" customHeight="1" outlineLevel="1" x14ac:dyDescent="0.25">
      <c r="A36" s="15">
        <v>19</v>
      </c>
      <c r="B36" s="29" t="s">
        <v>116</v>
      </c>
      <c r="C36" s="19" t="s">
        <v>117</v>
      </c>
      <c r="D36" s="20" t="s">
        <v>85</v>
      </c>
      <c r="E36" s="30">
        <v>5.4982538110966185E-3</v>
      </c>
      <c r="F36" s="31">
        <v>19.760000000000002</v>
      </c>
      <c r="G36" s="31">
        <f t="shared" si="0"/>
        <v>0.11</v>
      </c>
      <c r="H36" s="28">
        <f>G36/G39</f>
        <v>7.0426593081547584E-5</v>
      </c>
      <c r="I36" s="17">
        <f>ROUND(F36*'Прил. 10'!$D$11,2)</f>
        <v>266.17</v>
      </c>
      <c r="J36" s="17">
        <f t="shared" si="1"/>
        <v>1.46</v>
      </c>
    </row>
    <row r="37" spans="1:10" s="1" customFormat="1" ht="15.6" customHeight="1" outlineLevel="1" x14ac:dyDescent="0.25">
      <c r="A37" s="15">
        <v>20</v>
      </c>
      <c r="B37" s="29" t="s">
        <v>118</v>
      </c>
      <c r="C37" s="19" t="s">
        <v>119</v>
      </c>
      <c r="D37" s="20" t="s">
        <v>85</v>
      </c>
      <c r="E37" s="30">
        <v>4.3991649890269248E-2</v>
      </c>
      <c r="F37" s="31">
        <v>1.9</v>
      </c>
      <c r="G37" s="31">
        <f t="shared" si="0"/>
        <v>0.08</v>
      </c>
      <c r="H37" s="28">
        <f>G37/G39</f>
        <v>5.1219340422943699E-5</v>
      </c>
      <c r="I37" s="17">
        <f>ROUND(F37*'Прил. 10'!$D$11,2)</f>
        <v>25.59</v>
      </c>
      <c r="J37" s="17">
        <f t="shared" si="1"/>
        <v>1.1299999999999999</v>
      </c>
    </row>
    <row r="38" spans="1:10" s="1" customFormat="1" ht="15.6" customHeight="1" x14ac:dyDescent="0.25">
      <c r="A38" s="15"/>
      <c r="B38" s="98" t="s">
        <v>276</v>
      </c>
      <c r="C38" s="98"/>
      <c r="D38" s="98"/>
      <c r="E38" s="98"/>
      <c r="F38" s="102"/>
      <c r="G38" s="17">
        <f>SUM(G24:G37)</f>
        <v>224.11000000000004</v>
      </c>
      <c r="H38" s="28">
        <f>SUM(H24:H37)</f>
        <v>0.14348457977732387</v>
      </c>
      <c r="I38" s="17"/>
      <c r="J38" s="17">
        <f>SUM(J24:J37)</f>
        <v>3018.77</v>
      </c>
    </row>
    <row r="39" spans="1:10" s="1" customFormat="1" ht="15.6" customHeight="1" x14ac:dyDescent="0.25">
      <c r="A39" s="15"/>
      <c r="B39" s="98" t="s">
        <v>277</v>
      </c>
      <c r="C39" s="99"/>
      <c r="D39" s="98"/>
      <c r="E39" s="98"/>
      <c r="F39" s="102"/>
      <c r="G39" s="17">
        <f>G23+G38</f>
        <v>1561.91</v>
      </c>
      <c r="H39" s="28">
        <f>H23+H38</f>
        <v>1</v>
      </c>
      <c r="I39" s="17"/>
      <c r="J39" s="17">
        <f>J23+J38</f>
        <v>21039.040000000001</v>
      </c>
    </row>
    <row r="40" spans="1:10" s="1" customFormat="1" ht="15.6" customHeight="1" x14ac:dyDescent="0.25">
      <c r="A40" s="27"/>
      <c r="B40" s="103" t="s">
        <v>30</v>
      </c>
      <c r="C40" s="105"/>
      <c r="D40" s="105"/>
      <c r="E40" s="105"/>
      <c r="F40" s="107"/>
      <c r="G40" s="107"/>
      <c r="H40" s="105"/>
      <c r="I40" s="107"/>
      <c r="J40" s="107"/>
    </row>
    <row r="41" spans="1:10" s="1" customFormat="1" ht="15.6" customHeight="1" x14ac:dyDescent="0.25">
      <c r="A41" s="27"/>
      <c r="B41" s="105" t="s">
        <v>278</v>
      </c>
      <c r="C41" s="105"/>
      <c r="D41" s="105"/>
      <c r="E41" s="105"/>
      <c r="F41" s="107"/>
      <c r="G41" s="107"/>
      <c r="H41" s="105"/>
      <c r="I41" s="107"/>
      <c r="J41" s="107"/>
    </row>
    <row r="42" spans="1:10" s="1" customFormat="1" ht="15.6" customHeight="1" outlineLevel="1" x14ac:dyDescent="0.25">
      <c r="A42" s="27"/>
      <c r="B42" s="27"/>
      <c r="C42" s="27" t="s">
        <v>279</v>
      </c>
      <c r="D42" s="27"/>
      <c r="E42" s="27"/>
      <c r="F42" s="32"/>
      <c r="G42" s="32">
        <v>0</v>
      </c>
      <c r="H42" s="27">
        <v>0</v>
      </c>
      <c r="I42" s="32"/>
      <c r="J42" s="32">
        <v>0</v>
      </c>
    </row>
    <row r="43" spans="1:10" s="1" customFormat="1" ht="15.6" customHeight="1" x14ac:dyDescent="0.25">
      <c r="A43" s="27"/>
      <c r="B43" s="105" t="s">
        <v>280</v>
      </c>
      <c r="C43" s="105"/>
      <c r="D43" s="105"/>
      <c r="E43" s="105"/>
      <c r="F43" s="107"/>
      <c r="G43" s="107"/>
      <c r="H43" s="105"/>
      <c r="I43" s="107"/>
      <c r="J43" s="107"/>
    </row>
    <row r="44" spans="1:10" s="1" customFormat="1" ht="15.6" customHeight="1" outlineLevel="1" x14ac:dyDescent="0.25">
      <c r="A44" s="27"/>
      <c r="B44" s="27"/>
      <c r="C44" s="27" t="s">
        <v>281</v>
      </c>
      <c r="D44" s="27"/>
      <c r="E44" s="27"/>
      <c r="F44" s="32"/>
      <c r="G44" s="32">
        <v>0</v>
      </c>
      <c r="H44" s="27">
        <v>0</v>
      </c>
      <c r="I44" s="32"/>
      <c r="J44" s="32">
        <v>0</v>
      </c>
    </row>
    <row r="45" spans="1:10" s="1" customFormat="1" ht="15.6" customHeight="1" outlineLevel="1" x14ac:dyDescent="0.25">
      <c r="A45" s="27"/>
      <c r="B45" s="27"/>
      <c r="C45" s="33" t="s">
        <v>282</v>
      </c>
      <c r="D45" s="27"/>
      <c r="E45" s="27"/>
      <c r="F45" s="32"/>
      <c r="G45" s="32">
        <v>0</v>
      </c>
      <c r="H45" s="27">
        <v>0</v>
      </c>
      <c r="I45" s="32"/>
      <c r="J45" s="32">
        <v>0</v>
      </c>
    </row>
    <row r="46" spans="1:10" s="1" customFormat="1" ht="15.6" customHeight="1" outlineLevel="1" x14ac:dyDescent="0.25">
      <c r="A46" s="27"/>
      <c r="B46" s="27"/>
      <c r="C46" s="27" t="s">
        <v>283</v>
      </c>
      <c r="D46" s="27"/>
      <c r="E46" s="27"/>
      <c r="F46" s="32"/>
      <c r="G46" s="32">
        <v>0</v>
      </c>
      <c r="H46" s="27"/>
      <c r="I46" s="32"/>
      <c r="J46" s="32">
        <v>0</v>
      </c>
    </row>
    <row r="47" spans="1:10" s="1" customFormat="1" ht="15.6" customHeight="1" x14ac:dyDescent="0.25">
      <c r="A47" s="15"/>
      <c r="B47" s="97" t="s">
        <v>120</v>
      </c>
      <c r="C47" s="99"/>
      <c r="D47" s="98"/>
      <c r="E47" s="98"/>
      <c r="F47" s="102"/>
      <c r="G47" s="102"/>
      <c r="H47" s="98"/>
      <c r="I47" s="17"/>
      <c r="J47" s="17"/>
    </row>
    <row r="48" spans="1:10" s="1" customFormat="1" ht="15.6" customHeight="1" x14ac:dyDescent="0.25">
      <c r="A48" s="15"/>
      <c r="B48" s="98" t="s">
        <v>284</v>
      </c>
      <c r="C48" s="99"/>
      <c r="D48" s="98"/>
      <c r="E48" s="98"/>
      <c r="F48" s="102"/>
      <c r="G48" s="102"/>
      <c r="H48" s="98"/>
      <c r="I48" s="17"/>
      <c r="J48" s="17"/>
    </row>
    <row r="49" spans="1:10" s="1" customFormat="1" ht="46.9" customHeight="1" x14ac:dyDescent="0.25">
      <c r="A49" s="15">
        <v>21</v>
      </c>
      <c r="B49" s="29" t="s">
        <v>343</v>
      </c>
      <c r="C49" s="19" t="s">
        <v>121</v>
      </c>
      <c r="D49" s="20" t="s">
        <v>122</v>
      </c>
      <c r="E49" s="30">
        <v>10</v>
      </c>
      <c r="F49" s="21">
        <v>31632.65</v>
      </c>
      <c r="G49" s="31">
        <f>ROUND(E49*F49,2)</f>
        <v>316326.5</v>
      </c>
      <c r="H49" s="28">
        <f>G49/G97</f>
        <v>0.42719260587361291</v>
      </c>
      <c r="I49" s="17">
        <f>ROUND(F49*'Прил. 10'!$D$12,2)</f>
        <v>254326.51</v>
      </c>
      <c r="J49" s="17">
        <f>ROUND(E49*I49,2)</f>
        <v>2543265.1</v>
      </c>
    </row>
    <row r="50" spans="1:10" s="1" customFormat="1" ht="31.5" customHeight="1" x14ac:dyDescent="0.25">
      <c r="A50" s="15">
        <v>22</v>
      </c>
      <c r="B50" s="29" t="s">
        <v>123</v>
      </c>
      <c r="C50" s="19" t="s">
        <v>124</v>
      </c>
      <c r="D50" s="20" t="s">
        <v>125</v>
      </c>
      <c r="E50" s="30">
        <v>3748.0833254068598</v>
      </c>
      <c r="F50" s="31">
        <v>54.95</v>
      </c>
      <c r="G50" s="31">
        <f>ROUND(E50*F50,2)</f>
        <v>205957.18</v>
      </c>
      <c r="H50" s="28">
        <f>G50/G97</f>
        <v>0.27814104863987288</v>
      </c>
      <c r="I50" s="17">
        <f>ROUND(F50*'Прил. 10'!$D$12,2)</f>
        <v>441.8</v>
      </c>
      <c r="J50" s="17">
        <f>ROUND(E50*I50,2)</f>
        <v>1655903.21</v>
      </c>
    </row>
    <row r="51" spans="1:10" s="1" customFormat="1" ht="78" customHeight="1" x14ac:dyDescent="0.25">
      <c r="A51" s="15">
        <v>23</v>
      </c>
      <c r="B51" s="29" t="s">
        <v>126</v>
      </c>
      <c r="C51" s="19" t="s">
        <v>127</v>
      </c>
      <c r="D51" s="20" t="s">
        <v>128</v>
      </c>
      <c r="E51" s="30">
        <v>4.0709999999999997</v>
      </c>
      <c r="F51" s="31">
        <v>20759.099999999999</v>
      </c>
      <c r="G51" s="31">
        <f>ROUND(E51*F51,2)</f>
        <v>84510.3</v>
      </c>
      <c r="H51" s="28">
        <f>G51/G97</f>
        <v>0.11412946838206976</v>
      </c>
      <c r="I51" s="17">
        <f>ROUND(F51*'Прил. 10'!$D$12,2)</f>
        <v>166903.16</v>
      </c>
      <c r="J51" s="17">
        <f>ROUND(E51*I51,2)</f>
        <v>679462.76</v>
      </c>
    </row>
    <row r="52" spans="1:10" s="1" customFormat="1" ht="15.6" customHeight="1" x14ac:dyDescent="0.25">
      <c r="A52" s="15">
        <v>24</v>
      </c>
      <c r="B52" s="29" t="s">
        <v>129</v>
      </c>
      <c r="C52" s="19" t="s">
        <v>130</v>
      </c>
      <c r="D52" s="20" t="s">
        <v>131</v>
      </c>
      <c r="E52" s="30">
        <v>937.86283226491275</v>
      </c>
      <c r="F52" s="31">
        <v>35.53</v>
      </c>
      <c r="G52" s="31">
        <f>ROUND(E52*F52,2)</f>
        <v>33322.269999999997</v>
      </c>
      <c r="H52" s="28">
        <f>G52/G97</f>
        <v>4.5001058573733509E-2</v>
      </c>
      <c r="I52" s="17">
        <f>ROUND(F52*'Прил. 10'!$D$12,2)</f>
        <v>285.66000000000003</v>
      </c>
      <c r="J52" s="17">
        <f>ROUND(E52*I52,2)</f>
        <v>267909.90000000002</v>
      </c>
    </row>
    <row r="53" spans="1:10" s="1" customFormat="1" ht="15.6" customHeight="1" x14ac:dyDescent="0.25">
      <c r="A53" s="15"/>
      <c r="B53" s="106" t="s">
        <v>285</v>
      </c>
      <c r="C53" s="98"/>
      <c r="D53" s="98"/>
      <c r="E53" s="98"/>
      <c r="F53" s="102"/>
      <c r="G53" s="31">
        <f>SUM(G49:G52)</f>
        <v>640116.25</v>
      </c>
      <c r="H53" s="28">
        <f>SUM(H49:H52)</f>
        <v>0.86446418146928905</v>
      </c>
      <c r="I53" s="17"/>
      <c r="J53" s="17">
        <f>SUM(J49:J52)</f>
        <v>5146540.9700000007</v>
      </c>
    </row>
    <row r="54" spans="1:10" s="1" customFormat="1" ht="46.9" customHeight="1" outlineLevel="1" x14ac:dyDescent="0.25">
      <c r="A54" s="15">
        <v>25</v>
      </c>
      <c r="B54" s="29" t="s">
        <v>132</v>
      </c>
      <c r="C54" s="19" t="s">
        <v>133</v>
      </c>
      <c r="D54" s="20" t="s">
        <v>125</v>
      </c>
      <c r="E54" s="30">
        <v>36.193334624234225</v>
      </c>
      <c r="F54" s="31">
        <v>622.63</v>
      </c>
      <c r="G54" s="31">
        <f t="shared" ref="G54:G95" si="2">ROUND(E54*F54,2)</f>
        <v>22535.06</v>
      </c>
      <c r="H54" s="28">
        <f>G54/G97</f>
        <v>3.0433147412304122E-2</v>
      </c>
      <c r="I54" s="17">
        <f>ROUND(F54*'Прил. 10'!$D$12,2)</f>
        <v>5005.95</v>
      </c>
      <c r="J54" s="17">
        <f t="shared" ref="J54:J95" si="3">ROUND(E54*I54,2)</f>
        <v>181182.02</v>
      </c>
    </row>
    <row r="55" spans="1:10" s="1" customFormat="1" ht="78" customHeight="1" outlineLevel="1" x14ac:dyDescent="0.25">
      <c r="A55" s="15">
        <v>26</v>
      </c>
      <c r="B55" s="29" t="s">
        <v>134</v>
      </c>
      <c r="C55" s="19" t="s">
        <v>135</v>
      </c>
      <c r="D55" s="20" t="s">
        <v>128</v>
      </c>
      <c r="E55" s="30">
        <v>21.24329211627585</v>
      </c>
      <c r="F55" s="31">
        <v>1019.54</v>
      </c>
      <c r="G55" s="31">
        <f t="shared" si="2"/>
        <v>21658.39</v>
      </c>
      <c r="H55" s="28">
        <f>G55/G97</f>
        <v>2.9249222126906844E-2</v>
      </c>
      <c r="I55" s="17">
        <f>ROUND(F55*'Прил. 10'!$D$12,2)</f>
        <v>8197.1</v>
      </c>
      <c r="J55" s="17">
        <f t="shared" si="3"/>
        <v>174133.39</v>
      </c>
    </row>
    <row r="56" spans="1:10" s="1" customFormat="1" ht="78" customHeight="1" outlineLevel="1" x14ac:dyDescent="0.25">
      <c r="A56" s="15">
        <v>27</v>
      </c>
      <c r="B56" s="29" t="s">
        <v>136</v>
      </c>
      <c r="C56" s="19" t="s">
        <v>137</v>
      </c>
      <c r="D56" s="20" t="s">
        <v>128</v>
      </c>
      <c r="E56" s="30">
        <v>143.46926240285262</v>
      </c>
      <c r="F56" s="31">
        <v>148.57</v>
      </c>
      <c r="G56" s="31">
        <f t="shared" si="2"/>
        <v>21315.23</v>
      </c>
      <c r="H56" s="28">
        <f>G56/G97</f>
        <v>2.8785791416449172E-2</v>
      </c>
      <c r="I56" s="17">
        <f>ROUND(F56*'Прил. 10'!$D$12,2)</f>
        <v>1194.5</v>
      </c>
      <c r="J56" s="17">
        <f t="shared" si="3"/>
        <v>171374.03</v>
      </c>
    </row>
    <row r="57" spans="1:10" s="1" customFormat="1" ht="78" customHeight="1" outlineLevel="1" x14ac:dyDescent="0.25">
      <c r="A57" s="15">
        <v>28</v>
      </c>
      <c r="B57" s="29" t="s">
        <v>138</v>
      </c>
      <c r="C57" s="19" t="s">
        <v>139</v>
      </c>
      <c r="D57" s="20" t="s">
        <v>128</v>
      </c>
      <c r="E57" s="30">
        <v>7.0342018426679234</v>
      </c>
      <c r="F57" s="31">
        <v>2072.58</v>
      </c>
      <c r="G57" s="31">
        <f t="shared" si="2"/>
        <v>14578.95</v>
      </c>
      <c r="H57" s="28">
        <f>G57/G97</f>
        <v>1.9688580126549969E-2</v>
      </c>
      <c r="I57" s="17">
        <f>ROUND(F57*'Прил. 10'!$D$12,2)</f>
        <v>16663.54</v>
      </c>
      <c r="J57" s="17">
        <f t="shared" si="3"/>
        <v>117214.7</v>
      </c>
    </row>
    <row r="58" spans="1:10" s="1" customFormat="1" ht="78" customHeight="1" outlineLevel="1" x14ac:dyDescent="0.25">
      <c r="A58" s="15">
        <v>29</v>
      </c>
      <c r="B58" s="29" t="s">
        <v>140</v>
      </c>
      <c r="C58" s="19" t="s">
        <v>141</v>
      </c>
      <c r="D58" s="20" t="s">
        <v>128</v>
      </c>
      <c r="E58" s="30">
        <v>122.64596861918662</v>
      </c>
      <c r="F58" s="31">
        <v>41.6</v>
      </c>
      <c r="G58" s="31">
        <f t="shared" si="2"/>
        <v>5102.07</v>
      </c>
      <c r="H58" s="28">
        <f>G58/G97</f>
        <v>6.8902433993028849E-3</v>
      </c>
      <c r="I58" s="17">
        <f>ROUND(F58*'Прил. 10'!$D$12,2)</f>
        <v>334.46</v>
      </c>
      <c r="J58" s="17">
        <f t="shared" si="3"/>
        <v>41020.17</v>
      </c>
    </row>
    <row r="59" spans="1:10" s="1" customFormat="1" ht="46.9" customHeight="1" outlineLevel="1" x14ac:dyDescent="0.25">
      <c r="A59" s="15">
        <v>30</v>
      </c>
      <c r="B59" s="29" t="s">
        <v>142</v>
      </c>
      <c r="C59" s="19" t="s">
        <v>143</v>
      </c>
      <c r="D59" s="20" t="s">
        <v>125</v>
      </c>
      <c r="E59" s="30">
        <v>84.232040256758623</v>
      </c>
      <c r="F59" s="31">
        <v>55.26</v>
      </c>
      <c r="G59" s="31">
        <f t="shared" si="2"/>
        <v>4654.66</v>
      </c>
      <c r="H59" s="28">
        <f>G59/G97</f>
        <v>6.2860251507719745E-3</v>
      </c>
      <c r="I59" s="17">
        <f>ROUND(F59*'Прил. 10'!$D$12,2)</f>
        <v>444.29</v>
      </c>
      <c r="J59" s="17">
        <f t="shared" si="3"/>
        <v>37423.449999999997</v>
      </c>
    </row>
    <row r="60" spans="1:10" s="1" customFormat="1" ht="31.5" customHeight="1" outlineLevel="1" x14ac:dyDescent="0.25">
      <c r="A60" s="15">
        <v>31</v>
      </c>
      <c r="B60" s="29" t="s">
        <v>144</v>
      </c>
      <c r="C60" s="19" t="s">
        <v>145</v>
      </c>
      <c r="D60" s="20" t="s">
        <v>122</v>
      </c>
      <c r="E60" s="30">
        <v>9.4718220313813823</v>
      </c>
      <c r="F60" s="31">
        <v>440</v>
      </c>
      <c r="G60" s="31">
        <f t="shared" si="2"/>
        <v>4167.6000000000004</v>
      </c>
      <c r="H60" s="28">
        <f>G60/G97</f>
        <v>5.6282603709738805E-3</v>
      </c>
      <c r="I60" s="17">
        <f>ROUND(F60*'Прил. 10'!$D$12,2)</f>
        <v>3537.6</v>
      </c>
      <c r="J60" s="17">
        <f t="shared" si="3"/>
        <v>33507.519999999997</v>
      </c>
    </row>
    <row r="61" spans="1:10" s="1" customFormat="1" ht="31.5" customHeight="1" outlineLevel="1" x14ac:dyDescent="0.25">
      <c r="A61" s="15">
        <v>32</v>
      </c>
      <c r="B61" s="29" t="s">
        <v>146</v>
      </c>
      <c r="C61" s="19" t="s">
        <v>147</v>
      </c>
      <c r="D61" s="20" t="s">
        <v>125</v>
      </c>
      <c r="E61" s="30">
        <v>4.5631713253351229</v>
      </c>
      <c r="F61" s="31">
        <v>490</v>
      </c>
      <c r="G61" s="31">
        <f t="shared" si="2"/>
        <v>2235.9499999999998</v>
      </c>
      <c r="H61" s="28">
        <f>G61/G97</f>
        <v>3.0196057146748838E-3</v>
      </c>
      <c r="I61" s="17">
        <f>ROUND(F61*'Прил. 10'!$D$12,2)</f>
        <v>3939.6</v>
      </c>
      <c r="J61" s="17">
        <f t="shared" si="3"/>
        <v>17977.07</v>
      </c>
    </row>
    <row r="62" spans="1:10" s="1" customFormat="1" ht="31.5" customHeight="1" outlineLevel="1" x14ac:dyDescent="0.25">
      <c r="A62" s="15">
        <v>33</v>
      </c>
      <c r="B62" s="29" t="s">
        <v>148</v>
      </c>
      <c r="C62" s="19" t="s">
        <v>149</v>
      </c>
      <c r="D62" s="20" t="s">
        <v>122</v>
      </c>
      <c r="E62" s="30">
        <v>2.2286574023444992</v>
      </c>
      <c r="F62" s="31">
        <v>590</v>
      </c>
      <c r="G62" s="31">
        <f t="shared" si="2"/>
        <v>1314.91</v>
      </c>
      <c r="H62" s="28">
        <f>G62/G97</f>
        <v>1.7757596324976641E-3</v>
      </c>
      <c r="I62" s="17">
        <f>ROUND(F62*'Прил. 10'!$D$12,2)</f>
        <v>4743.6000000000004</v>
      </c>
      <c r="J62" s="17">
        <f t="shared" si="3"/>
        <v>10571.86</v>
      </c>
    </row>
    <row r="63" spans="1:10" s="1" customFormat="1" ht="15.6" customHeight="1" outlineLevel="1" x14ac:dyDescent="0.25">
      <c r="A63" s="15">
        <v>34</v>
      </c>
      <c r="B63" s="29" t="s">
        <v>150</v>
      </c>
      <c r="C63" s="19" t="s">
        <v>151</v>
      </c>
      <c r="D63" s="20" t="s">
        <v>152</v>
      </c>
      <c r="E63" s="30">
        <v>0.213682238645272</v>
      </c>
      <c r="F63" s="31">
        <v>3390</v>
      </c>
      <c r="G63" s="31">
        <f t="shared" si="2"/>
        <v>724.38</v>
      </c>
      <c r="H63" s="28">
        <f>G63/G97</f>
        <v>9.7826068901191556E-4</v>
      </c>
      <c r="I63" s="17">
        <f>ROUND(F63*'Прил. 10'!$D$12,2)</f>
        <v>27255.599999999999</v>
      </c>
      <c r="J63" s="17">
        <f t="shared" si="3"/>
        <v>5824.04</v>
      </c>
    </row>
    <row r="64" spans="1:10" s="1" customFormat="1" ht="31.5" customHeight="1" outlineLevel="1" x14ac:dyDescent="0.25">
      <c r="A64" s="15">
        <v>35</v>
      </c>
      <c r="B64" s="29" t="s">
        <v>153</v>
      </c>
      <c r="C64" s="19" t="s">
        <v>154</v>
      </c>
      <c r="D64" s="20" t="s">
        <v>152</v>
      </c>
      <c r="E64" s="30">
        <v>8.2226155893486988E-2</v>
      </c>
      <c r="F64" s="31">
        <v>5520</v>
      </c>
      <c r="G64" s="31">
        <f t="shared" si="2"/>
        <v>453.89</v>
      </c>
      <c r="H64" s="28">
        <f>G64/G97</f>
        <v>6.1296935881114659E-4</v>
      </c>
      <c r="I64" s="17">
        <f>ROUND(F64*'Прил. 10'!$D$12,2)</f>
        <v>44380.800000000003</v>
      </c>
      <c r="J64" s="17">
        <f t="shared" si="3"/>
        <v>3649.26</v>
      </c>
    </row>
    <row r="65" spans="1:10" s="1" customFormat="1" ht="93.6" customHeight="1" outlineLevel="1" x14ac:dyDescent="0.25">
      <c r="A65" s="15">
        <v>36</v>
      </c>
      <c r="B65" s="29" t="s">
        <v>155</v>
      </c>
      <c r="C65" s="19" t="s">
        <v>156</v>
      </c>
      <c r="D65" s="20" t="s">
        <v>122</v>
      </c>
      <c r="E65" s="30">
        <v>1.1143384545996096</v>
      </c>
      <c r="F65" s="31">
        <v>257.08</v>
      </c>
      <c r="G65" s="31">
        <f t="shared" si="2"/>
        <v>286.47000000000003</v>
      </c>
      <c r="H65" s="28">
        <f>G65/G97</f>
        <v>3.868720003054246E-4</v>
      </c>
      <c r="I65" s="17">
        <f>ROUND(F65*'Прил. 10'!$D$12,2)</f>
        <v>2066.92</v>
      </c>
      <c r="J65" s="17">
        <f t="shared" si="3"/>
        <v>2303.25</v>
      </c>
    </row>
    <row r="66" spans="1:10" s="1" customFormat="1" ht="46.9" customHeight="1" outlineLevel="1" x14ac:dyDescent="0.25">
      <c r="A66" s="15">
        <v>37</v>
      </c>
      <c r="B66" s="29" t="s">
        <v>157</v>
      </c>
      <c r="C66" s="19" t="s">
        <v>158</v>
      </c>
      <c r="D66" s="20" t="s">
        <v>152</v>
      </c>
      <c r="E66" s="30">
        <v>4.0959505932160557E-2</v>
      </c>
      <c r="F66" s="31">
        <v>5950</v>
      </c>
      <c r="G66" s="31">
        <f t="shared" si="2"/>
        <v>243.71</v>
      </c>
      <c r="H66" s="28">
        <f>G66/G97</f>
        <v>3.2912547629572041E-4</v>
      </c>
      <c r="I66" s="17">
        <f>ROUND(F66*'Прил. 10'!$D$12,2)</f>
        <v>47838</v>
      </c>
      <c r="J66" s="17">
        <f t="shared" si="3"/>
        <v>1959.42</v>
      </c>
    </row>
    <row r="67" spans="1:10" s="1" customFormat="1" ht="78" customHeight="1" outlineLevel="1" x14ac:dyDescent="0.25">
      <c r="A67" s="15">
        <v>38</v>
      </c>
      <c r="B67" s="29" t="s">
        <v>159</v>
      </c>
      <c r="C67" s="19" t="s">
        <v>160</v>
      </c>
      <c r="D67" s="20" t="s">
        <v>128</v>
      </c>
      <c r="E67" s="30">
        <v>4.9521706873075049</v>
      </c>
      <c r="F67" s="31">
        <v>49.1</v>
      </c>
      <c r="G67" s="31">
        <f t="shared" si="2"/>
        <v>243.15</v>
      </c>
      <c r="H67" s="28">
        <f>G67/G97</f>
        <v>3.2836920750607039E-4</v>
      </c>
      <c r="I67" s="17">
        <f>ROUND(F67*'Прил. 10'!$D$12,2)</f>
        <v>394.76</v>
      </c>
      <c r="J67" s="17">
        <f t="shared" si="3"/>
        <v>1954.92</v>
      </c>
    </row>
    <row r="68" spans="1:10" s="1" customFormat="1" ht="46.9" customHeight="1" outlineLevel="1" x14ac:dyDescent="0.25">
      <c r="A68" s="15">
        <v>39</v>
      </c>
      <c r="B68" s="29" t="s">
        <v>161</v>
      </c>
      <c r="C68" s="19" t="s">
        <v>162</v>
      </c>
      <c r="D68" s="20" t="s">
        <v>122</v>
      </c>
      <c r="E68" s="30">
        <v>2</v>
      </c>
      <c r="F68" s="31">
        <v>80</v>
      </c>
      <c r="G68" s="31">
        <f t="shared" si="2"/>
        <v>160</v>
      </c>
      <c r="H68" s="28">
        <f>G68/G97</f>
        <v>2.1607679704285939E-4</v>
      </c>
      <c r="I68" s="17">
        <f>ROUND(F68*'Прил. 10'!$D$12,2)</f>
        <v>643.20000000000005</v>
      </c>
      <c r="J68" s="17">
        <f t="shared" si="3"/>
        <v>1286.4000000000001</v>
      </c>
    </row>
    <row r="69" spans="1:10" s="1" customFormat="1" ht="31.5" customHeight="1" outlineLevel="1" x14ac:dyDescent="0.25">
      <c r="A69" s="15">
        <v>40</v>
      </c>
      <c r="B69" s="29" t="s">
        <v>163</v>
      </c>
      <c r="C69" s="19" t="s">
        <v>164</v>
      </c>
      <c r="D69" s="20" t="s">
        <v>122</v>
      </c>
      <c r="E69" s="30">
        <v>1</v>
      </c>
      <c r="F69" s="31">
        <v>65</v>
      </c>
      <c r="G69" s="31">
        <f t="shared" si="2"/>
        <v>65</v>
      </c>
      <c r="H69" s="28">
        <f>G69/G97</f>
        <v>8.7781198798661634E-5</v>
      </c>
      <c r="I69" s="17">
        <f>ROUND(F69*'Прил. 10'!$D$12,2)</f>
        <v>522.6</v>
      </c>
      <c r="J69" s="17">
        <f t="shared" si="3"/>
        <v>522.6</v>
      </c>
    </row>
    <row r="70" spans="1:10" s="1" customFormat="1" ht="15.6" customHeight="1" outlineLevel="1" x14ac:dyDescent="0.25">
      <c r="A70" s="15">
        <v>41</v>
      </c>
      <c r="B70" s="29" t="s">
        <v>165</v>
      </c>
      <c r="C70" s="19" t="s">
        <v>166</v>
      </c>
      <c r="D70" s="20" t="s">
        <v>152</v>
      </c>
      <c r="E70" s="30">
        <v>1.4247233397187541E-2</v>
      </c>
      <c r="F70" s="31">
        <v>1946.91</v>
      </c>
      <c r="G70" s="31">
        <f t="shared" si="2"/>
        <v>27.74</v>
      </c>
      <c r="H70" s="28">
        <f>G70/G97</f>
        <v>3.7462314687305743E-5</v>
      </c>
      <c r="I70" s="17">
        <f>ROUND(F70*'Прил. 10'!$D$12,2)</f>
        <v>15653.16</v>
      </c>
      <c r="J70" s="17">
        <f t="shared" si="3"/>
        <v>223.01</v>
      </c>
    </row>
    <row r="71" spans="1:10" s="1" customFormat="1" ht="46.9" customHeight="1" outlineLevel="1" x14ac:dyDescent="0.25">
      <c r="A71" s="15">
        <v>42</v>
      </c>
      <c r="B71" s="29" t="s">
        <v>167</v>
      </c>
      <c r="C71" s="19" t="s">
        <v>168</v>
      </c>
      <c r="D71" s="20" t="s">
        <v>125</v>
      </c>
      <c r="E71" s="30">
        <v>4.8393196858455161E-2</v>
      </c>
      <c r="F71" s="31">
        <v>558.33000000000004</v>
      </c>
      <c r="G71" s="31">
        <f t="shared" si="2"/>
        <v>27.02</v>
      </c>
      <c r="H71" s="28">
        <f>G71/G97</f>
        <v>3.6489969100612877E-5</v>
      </c>
      <c r="I71" s="17">
        <f>ROUND(F71*'Прил. 10'!$D$12,2)</f>
        <v>4488.97</v>
      </c>
      <c r="J71" s="17">
        <f t="shared" si="3"/>
        <v>217.24</v>
      </c>
    </row>
    <row r="72" spans="1:10" s="1" customFormat="1" ht="62.45" customHeight="1" outlineLevel="1" x14ac:dyDescent="0.25">
      <c r="A72" s="15">
        <v>43</v>
      </c>
      <c r="B72" s="29" t="s">
        <v>169</v>
      </c>
      <c r="C72" s="19" t="s">
        <v>170</v>
      </c>
      <c r="D72" s="20" t="s">
        <v>152</v>
      </c>
      <c r="E72" s="30">
        <v>3.2768828310922407E-3</v>
      </c>
      <c r="F72" s="31">
        <v>7008.5</v>
      </c>
      <c r="G72" s="31">
        <f t="shared" si="2"/>
        <v>22.97</v>
      </c>
      <c r="H72" s="28">
        <f>G72/G97</f>
        <v>3.1020525175465498E-5</v>
      </c>
      <c r="I72" s="17">
        <f>ROUND(F72*'Прил. 10'!$D$12,2)</f>
        <v>56348.34</v>
      </c>
      <c r="J72" s="17">
        <f t="shared" si="3"/>
        <v>184.65</v>
      </c>
    </row>
    <row r="73" spans="1:10" s="1" customFormat="1" ht="46.9" customHeight="1" outlineLevel="1" x14ac:dyDescent="0.25">
      <c r="A73" s="15">
        <v>44</v>
      </c>
      <c r="B73" s="29" t="s">
        <v>171</v>
      </c>
      <c r="C73" s="19" t="s">
        <v>172</v>
      </c>
      <c r="D73" s="20" t="s">
        <v>125</v>
      </c>
      <c r="E73" s="30">
        <v>2.7943982584772157E-2</v>
      </c>
      <c r="F73" s="31">
        <v>550</v>
      </c>
      <c r="G73" s="31">
        <f t="shared" si="2"/>
        <v>15.37</v>
      </c>
      <c r="H73" s="28">
        <f>G73/G97</f>
        <v>2.0756877315929681E-5</v>
      </c>
      <c r="I73" s="17">
        <f>ROUND(F73*'Прил. 10'!$D$12,2)</f>
        <v>4422</v>
      </c>
      <c r="J73" s="17">
        <f t="shared" si="3"/>
        <v>123.57</v>
      </c>
    </row>
    <row r="74" spans="1:10" s="1" customFormat="1" ht="15.6" customHeight="1" outlineLevel="1" x14ac:dyDescent="0.25">
      <c r="A74" s="15">
        <v>45</v>
      </c>
      <c r="B74" s="29" t="s">
        <v>173</v>
      </c>
      <c r="C74" s="19" t="s">
        <v>174</v>
      </c>
      <c r="D74" s="20" t="s">
        <v>125</v>
      </c>
      <c r="E74" s="30">
        <v>3.3630846261692362</v>
      </c>
      <c r="F74" s="31">
        <v>2.44</v>
      </c>
      <c r="G74" s="31">
        <f t="shared" si="2"/>
        <v>8.2100000000000009</v>
      </c>
      <c r="H74" s="28">
        <f>G74/G97</f>
        <v>1.1087440648261724E-5</v>
      </c>
      <c r="I74" s="17">
        <f>ROUND(F74*'Прил. 10'!$D$12,2)</f>
        <v>19.62</v>
      </c>
      <c r="J74" s="17">
        <f t="shared" si="3"/>
        <v>65.98</v>
      </c>
    </row>
    <row r="75" spans="1:10" s="1" customFormat="1" ht="46.9" customHeight="1" outlineLevel="1" x14ac:dyDescent="0.25">
      <c r="A75" s="15">
        <v>46</v>
      </c>
      <c r="B75" s="29" t="s">
        <v>175</v>
      </c>
      <c r="C75" s="19" t="s">
        <v>176</v>
      </c>
      <c r="D75" s="20" t="s">
        <v>152</v>
      </c>
      <c r="E75" s="30">
        <v>4.4576359236491456E-4</v>
      </c>
      <c r="F75" s="31">
        <v>14830</v>
      </c>
      <c r="G75" s="31">
        <f t="shared" si="2"/>
        <v>6.61</v>
      </c>
      <c r="H75" s="28">
        <f>G75/G97</f>
        <v>8.9266726778331292E-6</v>
      </c>
      <c r="I75" s="17">
        <f>ROUND(F75*'Прил. 10'!$D$12,2)</f>
        <v>119233.2</v>
      </c>
      <c r="J75" s="17">
        <f t="shared" si="3"/>
        <v>53.15</v>
      </c>
    </row>
    <row r="76" spans="1:10" s="1" customFormat="1" ht="15.6" customHeight="1" outlineLevel="1" x14ac:dyDescent="0.25">
      <c r="A76" s="15">
        <v>47</v>
      </c>
      <c r="B76" s="29" t="s">
        <v>177</v>
      </c>
      <c r="C76" s="19" t="s">
        <v>178</v>
      </c>
      <c r="D76" s="20" t="s">
        <v>152</v>
      </c>
      <c r="E76" s="30">
        <v>1.6725857871322867E-4</v>
      </c>
      <c r="F76" s="31">
        <v>30030</v>
      </c>
      <c r="G76" s="31">
        <f t="shared" si="2"/>
        <v>5.0199999999999996</v>
      </c>
      <c r="H76" s="28">
        <f>G76/G97</f>
        <v>6.7794095072197133E-6</v>
      </c>
      <c r="I76" s="17">
        <f>ROUND(F76*'Прил. 10'!$D$12,2)</f>
        <v>241441.2</v>
      </c>
      <c r="J76" s="17">
        <f t="shared" si="3"/>
        <v>40.380000000000003</v>
      </c>
    </row>
    <row r="77" spans="1:10" s="1" customFormat="1" ht="15.6" customHeight="1" outlineLevel="1" x14ac:dyDescent="0.25">
      <c r="A77" s="15">
        <v>48</v>
      </c>
      <c r="B77" s="29" t="s">
        <v>179</v>
      </c>
      <c r="C77" s="19" t="s">
        <v>180</v>
      </c>
      <c r="D77" s="20" t="s">
        <v>152</v>
      </c>
      <c r="E77" s="30">
        <v>2.7281089532618988E-4</v>
      </c>
      <c r="F77" s="31">
        <v>11978</v>
      </c>
      <c r="G77" s="31">
        <f t="shared" si="2"/>
        <v>3.27</v>
      </c>
      <c r="H77" s="28">
        <f>G77/G97</f>
        <v>4.4160695395634392E-6</v>
      </c>
      <c r="I77" s="17">
        <f>ROUND(F77*'Прил. 10'!$D$12,2)</f>
        <v>96303.12</v>
      </c>
      <c r="J77" s="17">
        <f t="shared" si="3"/>
        <v>26.27</v>
      </c>
    </row>
    <row r="78" spans="1:10" s="1" customFormat="1" ht="31.5" customHeight="1" outlineLevel="1" x14ac:dyDescent="0.25">
      <c r="A78" s="15">
        <v>49</v>
      </c>
      <c r="B78" s="29" t="s">
        <v>181</v>
      </c>
      <c r="C78" s="19" t="s">
        <v>182</v>
      </c>
      <c r="D78" s="20" t="s">
        <v>152</v>
      </c>
      <c r="E78" s="30">
        <v>1.6187244940070602E-4</v>
      </c>
      <c r="F78" s="31">
        <v>5989</v>
      </c>
      <c r="G78" s="31">
        <f t="shared" si="2"/>
        <v>0.97</v>
      </c>
      <c r="H78" s="28">
        <f>G78/G97</f>
        <v>1.309965582072335E-6</v>
      </c>
      <c r="I78" s="17">
        <f>ROUND(F78*'Прил. 10'!$D$12,2)</f>
        <v>48151.56</v>
      </c>
      <c r="J78" s="17">
        <f t="shared" si="3"/>
        <v>7.79</v>
      </c>
    </row>
    <row r="79" spans="1:10" s="1" customFormat="1" ht="15.6" customHeight="1" outlineLevel="1" x14ac:dyDescent="0.25">
      <c r="A79" s="15">
        <v>50</v>
      </c>
      <c r="B79" s="29" t="s">
        <v>183</v>
      </c>
      <c r="C79" s="19" t="s">
        <v>184</v>
      </c>
      <c r="D79" s="20" t="s">
        <v>131</v>
      </c>
      <c r="E79" s="30">
        <v>1.2906430593730634E-2</v>
      </c>
      <c r="F79" s="31">
        <v>57.63</v>
      </c>
      <c r="G79" s="31">
        <f t="shared" si="2"/>
        <v>0.74</v>
      </c>
      <c r="H79" s="28">
        <f>G79/G97</f>
        <v>9.9935518632322479E-7</v>
      </c>
      <c r="I79" s="17">
        <f>ROUND(F79*'Прил. 10'!$D$12,2)</f>
        <v>463.35</v>
      </c>
      <c r="J79" s="17">
        <f t="shared" si="3"/>
        <v>5.98</v>
      </c>
    </row>
    <row r="80" spans="1:10" s="1" customFormat="1" ht="31.5" customHeight="1" outlineLevel="1" x14ac:dyDescent="0.25">
      <c r="A80" s="15">
        <v>51</v>
      </c>
      <c r="B80" s="29" t="s">
        <v>185</v>
      </c>
      <c r="C80" s="19" t="s">
        <v>186</v>
      </c>
      <c r="D80" s="20" t="s">
        <v>187</v>
      </c>
      <c r="E80" s="30">
        <v>7.5004367006383257E-2</v>
      </c>
      <c r="F80" s="31">
        <v>7.8</v>
      </c>
      <c r="G80" s="31">
        <f t="shared" si="2"/>
        <v>0.59</v>
      </c>
      <c r="H80" s="28">
        <f>G80/G97</f>
        <v>7.9678318909554399E-7</v>
      </c>
      <c r="I80" s="17">
        <f>ROUND(F80*'Прил. 10'!$D$12,2)</f>
        <v>62.71</v>
      </c>
      <c r="J80" s="17">
        <f t="shared" si="3"/>
        <v>4.7</v>
      </c>
    </row>
    <row r="81" spans="1:10" s="1" customFormat="1" ht="15.6" customHeight="1" outlineLevel="1" x14ac:dyDescent="0.25">
      <c r="A81" s="15">
        <v>52</v>
      </c>
      <c r="B81" s="29" t="s">
        <v>188</v>
      </c>
      <c r="C81" s="19" t="s">
        <v>189</v>
      </c>
      <c r="D81" s="20" t="s">
        <v>131</v>
      </c>
      <c r="E81" s="30">
        <v>7.7297943598568647E-2</v>
      </c>
      <c r="F81" s="31">
        <v>7.46</v>
      </c>
      <c r="G81" s="31">
        <f t="shared" si="2"/>
        <v>0.57999999999999996</v>
      </c>
      <c r="H81" s="28">
        <f>G81/G97</f>
        <v>7.832783892803653E-7</v>
      </c>
      <c r="I81" s="17">
        <f>ROUND(F81*'Прил. 10'!$D$12,2)</f>
        <v>59.98</v>
      </c>
      <c r="J81" s="17">
        <f t="shared" si="3"/>
        <v>4.6399999999999997</v>
      </c>
    </row>
    <row r="82" spans="1:10" s="1" customFormat="1" ht="15.6" customHeight="1" outlineLevel="1" x14ac:dyDescent="0.25">
      <c r="A82" s="15">
        <v>53</v>
      </c>
      <c r="B82" s="29" t="s">
        <v>190</v>
      </c>
      <c r="C82" s="19" t="s">
        <v>191</v>
      </c>
      <c r="D82" s="20" t="s">
        <v>152</v>
      </c>
      <c r="E82" s="30">
        <v>2.1479274586897449E-4</v>
      </c>
      <c r="F82" s="31">
        <v>2606.9</v>
      </c>
      <c r="G82" s="31">
        <f t="shared" si="2"/>
        <v>0.56000000000000005</v>
      </c>
      <c r="H82" s="28">
        <f>G82/G97</f>
        <v>7.5626878965000793E-7</v>
      </c>
      <c r="I82" s="17">
        <f>ROUND(F82*'Прил. 10'!$D$12,2)</f>
        <v>20959.48</v>
      </c>
      <c r="J82" s="17">
        <f t="shared" si="3"/>
        <v>4.5</v>
      </c>
    </row>
    <row r="83" spans="1:10" s="1" customFormat="1" ht="15.6" customHeight="1" outlineLevel="1" x14ac:dyDescent="0.25">
      <c r="A83" s="15">
        <v>54</v>
      </c>
      <c r="B83" s="29" t="s">
        <v>192</v>
      </c>
      <c r="C83" s="19" t="s">
        <v>193</v>
      </c>
      <c r="D83" s="20" t="s">
        <v>187</v>
      </c>
      <c r="E83" s="30">
        <v>0.28475586271668613</v>
      </c>
      <c r="F83" s="31">
        <v>1.82</v>
      </c>
      <c r="G83" s="31">
        <f t="shared" si="2"/>
        <v>0.52</v>
      </c>
      <c r="H83" s="28">
        <f>G83/G97</f>
        <v>7.0224959038929309E-7</v>
      </c>
      <c r="I83" s="17">
        <f>ROUND(F83*'Прил. 10'!$D$12,2)</f>
        <v>14.63</v>
      </c>
      <c r="J83" s="17">
        <f t="shared" si="3"/>
        <v>4.17</v>
      </c>
    </row>
    <row r="84" spans="1:10" s="1" customFormat="1" ht="31.5" customHeight="1" outlineLevel="1" x14ac:dyDescent="0.25">
      <c r="A84" s="15">
        <v>55</v>
      </c>
      <c r="B84" s="29" t="s">
        <v>194</v>
      </c>
      <c r="C84" s="19" t="s">
        <v>195</v>
      </c>
      <c r="D84" s="20" t="s">
        <v>187</v>
      </c>
      <c r="E84" s="30">
        <v>2.2079212850770157E-2</v>
      </c>
      <c r="F84" s="31">
        <v>23.09</v>
      </c>
      <c r="G84" s="31">
        <f t="shared" si="2"/>
        <v>0.51</v>
      </c>
      <c r="H84" s="28">
        <f>G84/G97</f>
        <v>6.887447905741143E-7</v>
      </c>
      <c r="I84" s="17">
        <f>ROUND(F84*'Прил. 10'!$D$12,2)</f>
        <v>185.64</v>
      </c>
      <c r="J84" s="17">
        <f t="shared" si="3"/>
        <v>4.0999999999999996</v>
      </c>
    </row>
    <row r="85" spans="1:10" s="1" customFormat="1" ht="31.5" customHeight="1" outlineLevel="1" x14ac:dyDescent="0.25">
      <c r="A85" s="15">
        <v>56</v>
      </c>
      <c r="B85" s="29" t="s">
        <v>196</v>
      </c>
      <c r="C85" s="19" t="s">
        <v>197</v>
      </c>
      <c r="D85" s="20" t="s">
        <v>131</v>
      </c>
      <c r="E85" s="30">
        <v>0.1085250963100657</v>
      </c>
      <c r="F85" s="31">
        <v>3.62</v>
      </c>
      <c r="G85" s="31">
        <f t="shared" si="2"/>
        <v>0.39</v>
      </c>
      <c r="H85" s="28">
        <f>G85/G97</f>
        <v>5.2668719279196976E-7</v>
      </c>
      <c r="I85" s="17">
        <f>ROUND(F85*'Прил. 10'!$D$12,2)</f>
        <v>29.1</v>
      </c>
      <c r="J85" s="17">
        <f t="shared" si="3"/>
        <v>3.16</v>
      </c>
    </row>
    <row r="86" spans="1:10" s="1" customFormat="1" ht="31.5" customHeight="1" outlineLevel="1" x14ac:dyDescent="0.25">
      <c r="A86" s="15">
        <v>57</v>
      </c>
      <c r="B86" s="29" t="s">
        <v>198</v>
      </c>
      <c r="C86" s="19" t="s">
        <v>199</v>
      </c>
      <c r="D86" s="20" t="s">
        <v>152</v>
      </c>
      <c r="E86" s="30">
        <v>1.7824702571039975E-5</v>
      </c>
      <c r="F86" s="31">
        <v>10315.01</v>
      </c>
      <c r="G86" s="31">
        <f t="shared" si="2"/>
        <v>0.18</v>
      </c>
      <c r="H86" s="28">
        <f>G86/G97</f>
        <v>2.430863966732168E-7</v>
      </c>
      <c r="I86" s="17">
        <f>ROUND(F86*'Прил. 10'!$D$12,2)</f>
        <v>82932.679999999993</v>
      </c>
      <c r="J86" s="17">
        <f t="shared" si="3"/>
        <v>1.48</v>
      </c>
    </row>
    <row r="87" spans="1:10" s="1" customFormat="1" ht="31.5" customHeight="1" outlineLevel="1" x14ac:dyDescent="0.25">
      <c r="A87" s="15">
        <v>58</v>
      </c>
      <c r="B87" s="29" t="s">
        <v>200</v>
      </c>
      <c r="C87" s="19" t="s">
        <v>201</v>
      </c>
      <c r="D87" s="20" t="s">
        <v>152</v>
      </c>
      <c r="E87" s="30">
        <v>3.5641472152833703E-5</v>
      </c>
      <c r="F87" s="31">
        <v>4455.2</v>
      </c>
      <c r="G87" s="31">
        <f t="shared" si="2"/>
        <v>0.16</v>
      </c>
      <c r="H87" s="28">
        <f>G87/G97</f>
        <v>2.1607679704285941E-7</v>
      </c>
      <c r="I87" s="17">
        <f>ROUND(F87*'Прил. 10'!$D$12,2)</f>
        <v>35819.81</v>
      </c>
      <c r="J87" s="17">
        <f t="shared" si="3"/>
        <v>1.28</v>
      </c>
    </row>
    <row r="88" spans="1:10" s="1" customFormat="1" ht="46.9" customHeight="1" outlineLevel="1" x14ac:dyDescent="0.25">
      <c r="A88" s="15">
        <v>59</v>
      </c>
      <c r="B88" s="29" t="s">
        <v>202</v>
      </c>
      <c r="C88" s="19" t="s">
        <v>203</v>
      </c>
      <c r="D88" s="20" t="s">
        <v>125</v>
      </c>
      <c r="E88" s="30">
        <v>1.4245504988158724E-4</v>
      </c>
      <c r="F88" s="31">
        <v>1056</v>
      </c>
      <c r="G88" s="31">
        <f t="shared" si="2"/>
        <v>0.15</v>
      </c>
      <c r="H88" s="28">
        <f>G88/G97</f>
        <v>2.0257199722768067E-7</v>
      </c>
      <c r="I88" s="17">
        <f>ROUND(F88*'Прил. 10'!$D$12,2)</f>
        <v>8490.24</v>
      </c>
      <c r="J88" s="17">
        <f t="shared" si="3"/>
        <v>1.21</v>
      </c>
    </row>
    <row r="89" spans="1:10" s="1" customFormat="1" ht="46.9" customHeight="1" outlineLevel="1" x14ac:dyDescent="0.25">
      <c r="A89" s="15">
        <v>60</v>
      </c>
      <c r="B89" s="29" t="s">
        <v>204</v>
      </c>
      <c r="C89" s="19" t="s">
        <v>205</v>
      </c>
      <c r="D89" s="20" t="s">
        <v>128</v>
      </c>
      <c r="E89" s="30">
        <v>2.4942953154154174E-3</v>
      </c>
      <c r="F89" s="31">
        <v>53.61</v>
      </c>
      <c r="G89" s="31">
        <f t="shared" si="2"/>
        <v>0.13</v>
      </c>
      <c r="H89" s="28">
        <f>G89/G97</f>
        <v>1.7556239759732327E-7</v>
      </c>
      <c r="I89" s="17">
        <f>ROUND(F89*'Прил. 10'!$D$12,2)</f>
        <v>431.02</v>
      </c>
      <c r="J89" s="17">
        <f t="shared" si="3"/>
        <v>1.08</v>
      </c>
    </row>
    <row r="90" spans="1:10" s="1" customFormat="1" ht="78" customHeight="1" outlineLevel="1" x14ac:dyDescent="0.25">
      <c r="A90" s="15">
        <v>61</v>
      </c>
      <c r="B90" s="29" t="s">
        <v>206</v>
      </c>
      <c r="C90" s="19" t="s">
        <v>207</v>
      </c>
      <c r="D90" s="20" t="s">
        <v>122</v>
      </c>
      <c r="E90" s="30">
        <v>1</v>
      </c>
      <c r="F90" s="31">
        <v>500</v>
      </c>
      <c r="G90" s="31">
        <f t="shared" si="2"/>
        <v>500</v>
      </c>
      <c r="H90" s="28">
        <f>G90/G97</f>
        <v>6.7523999075893562E-4</v>
      </c>
      <c r="I90" s="17">
        <f>ROUND(F90*'Прил. 10'!$D$12,2)</f>
        <v>4020</v>
      </c>
      <c r="J90" s="17">
        <f t="shared" si="3"/>
        <v>4020</v>
      </c>
    </row>
    <row r="91" spans="1:10" s="1" customFormat="1" ht="78" customHeight="1" outlineLevel="1" x14ac:dyDescent="0.25">
      <c r="A91" s="15">
        <v>62</v>
      </c>
      <c r="B91" s="29" t="s">
        <v>208</v>
      </c>
      <c r="C91" s="19" t="s">
        <v>209</v>
      </c>
      <c r="D91" s="20" t="s">
        <v>187</v>
      </c>
      <c r="E91" s="30">
        <v>9.4809995060880781E-3</v>
      </c>
      <c r="F91" s="31">
        <v>6.17</v>
      </c>
      <c r="G91" s="31">
        <f t="shared" si="2"/>
        <v>0.06</v>
      </c>
      <c r="H91" s="28">
        <f>G91/G97</f>
        <v>8.1028798891072267E-8</v>
      </c>
      <c r="I91" s="17">
        <f>ROUND(F91*'Прил. 10'!$D$12,2)</f>
        <v>49.61</v>
      </c>
      <c r="J91" s="17">
        <f t="shared" si="3"/>
        <v>0.47</v>
      </c>
    </row>
    <row r="92" spans="1:10" s="1" customFormat="1" ht="31.5" customHeight="1" outlineLevel="1" x14ac:dyDescent="0.25">
      <c r="A92" s="15">
        <v>63</v>
      </c>
      <c r="B92" s="29" t="s">
        <v>210</v>
      </c>
      <c r="C92" s="19" t="s">
        <v>211</v>
      </c>
      <c r="D92" s="20" t="s">
        <v>152</v>
      </c>
      <c r="E92" s="30">
        <v>3.4134906438610418E-5</v>
      </c>
      <c r="F92" s="31">
        <v>734.5</v>
      </c>
      <c r="G92" s="31">
        <f t="shared" si="2"/>
        <v>0.03</v>
      </c>
      <c r="H92" s="28">
        <f>G92/G97</f>
        <v>4.0514399445536134E-8</v>
      </c>
      <c r="I92" s="17">
        <f>ROUND(F92*'Прил. 10'!$D$12,2)</f>
        <v>5905.38</v>
      </c>
      <c r="J92" s="17">
        <f t="shared" si="3"/>
        <v>0.2</v>
      </c>
    </row>
    <row r="93" spans="1:10" s="1" customFormat="1" ht="46.9" customHeight="1" outlineLevel="1" x14ac:dyDescent="0.25">
      <c r="A93" s="15">
        <v>64</v>
      </c>
      <c r="B93" s="29" t="s">
        <v>212</v>
      </c>
      <c r="C93" s="19" t="s">
        <v>213</v>
      </c>
      <c r="D93" s="20" t="s">
        <v>214</v>
      </c>
      <c r="E93" s="30">
        <v>2.4378307614329174E-5</v>
      </c>
      <c r="F93" s="31">
        <v>342.82</v>
      </c>
      <c r="G93" s="31">
        <f t="shared" si="2"/>
        <v>0.01</v>
      </c>
      <c r="H93" s="28">
        <f>G93/G97</f>
        <v>1.3504799815178713E-8</v>
      </c>
      <c r="I93" s="17">
        <f>ROUND(F93*'Прил. 10'!$D$12,2)</f>
        <v>2756.27</v>
      </c>
      <c r="J93" s="17">
        <f t="shared" si="3"/>
        <v>7.0000000000000007E-2</v>
      </c>
    </row>
    <row r="94" spans="1:10" s="1" customFormat="1" ht="15.6" customHeight="1" outlineLevel="1" x14ac:dyDescent="0.25">
      <c r="A94" s="15">
        <v>65</v>
      </c>
      <c r="B94" s="29" t="s">
        <v>215</v>
      </c>
      <c r="C94" s="19" t="s">
        <v>216</v>
      </c>
      <c r="D94" s="20" t="s">
        <v>217</v>
      </c>
      <c r="E94" s="30">
        <v>1.7834956318021783E-4</v>
      </c>
      <c r="F94" s="31">
        <v>46.86</v>
      </c>
      <c r="G94" s="31">
        <f t="shared" si="2"/>
        <v>0.01</v>
      </c>
      <c r="H94" s="28">
        <f>G94/G97</f>
        <v>1.3504799815178713E-8</v>
      </c>
      <c r="I94" s="17">
        <f>ROUND(F94*'Прил. 10'!$D$12,2)</f>
        <v>376.75</v>
      </c>
      <c r="J94" s="17">
        <f t="shared" si="3"/>
        <v>7.0000000000000007E-2</v>
      </c>
    </row>
    <row r="95" spans="1:10" s="1" customFormat="1" ht="46.9" customHeight="1" outlineLevel="1" x14ac:dyDescent="0.25">
      <c r="A95" s="15">
        <v>66</v>
      </c>
      <c r="B95" s="29" t="s">
        <v>218</v>
      </c>
      <c r="C95" s="19" t="s">
        <v>219</v>
      </c>
      <c r="D95" s="20" t="s">
        <v>187</v>
      </c>
      <c r="E95" s="30">
        <v>1.228E-4</v>
      </c>
      <c r="F95" s="31">
        <v>15.09</v>
      </c>
      <c r="G95" s="21">
        <f t="shared" si="2"/>
        <v>0</v>
      </c>
      <c r="H95" s="28">
        <f>G95/G97</f>
        <v>0</v>
      </c>
      <c r="I95" s="17">
        <f>ROUND(F95*'Прил. 10'!$D$12,2)</f>
        <v>121.32</v>
      </c>
      <c r="J95" s="17">
        <f t="shared" si="3"/>
        <v>0.01</v>
      </c>
    </row>
    <row r="96" spans="1:10" s="1" customFormat="1" ht="15.6" customHeight="1" x14ac:dyDescent="0.25">
      <c r="A96" s="15"/>
      <c r="B96" s="98" t="s">
        <v>286</v>
      </c>
      <c r="C96" s="98"/>
      <c r="D96" s="98"/>
      <c r="E96" s="98"/>
      <c r="F96" s="102"/>
      <c r="G96" s="17">
        <f>SUM(G54:G95)</f>
        <v>100361.22</v>
      </c>
      <c r="H96" s="28">
        <f>SUM(H54:H95)</f>
        <v>0.13553581853071095</v>
      </c>
      <c r="I96" s="17"/>
      <c r="J96" s="17">
        <f>SUM(J54:J95)</f>
        <v>806903.25999999989</v>
      </c>
    </row>
    <row r="97" spans="1:10" s="1" customFormat="1" ht="15.6" customHeight="1" x14ac:dyDescent="0.25">
      <c r="A97" s="15"/>
      <c r="B97" s="98" t="s">
        <v>287</v>
      </c>
      <c r="C97" s="99"/>
      <c r="D97" s="98"/>
      <c r="E97" s="98"/>
      <c r="F97" s="102"/>
      <c r="G97" s="17">
        <f>G53+G96</f>
        <v>740477.47</v>
      </c>
      <c r="H97" s="28">
        <f>H53+H96</f>
        <v>1</v>
      </c>
      <c r="I97" s="17"/>
      <c r="J97" s="17">
        <f>J53+J96</f>
        <v>5953444.2300000004</v>
      </c>
    </row>
    <row r="98" spans="1:10" s="1" customFormat="1" ht="15.6" customHeight="1" x14ac:dyDescent="0.25">
      <c r="A98" s="16"/>
      <c r="B98" s="20"/>
      <c r="C98" s="19" t="s">
        <v>288</v>
      </c>
      <c r="D98" s="20"/>
      <c r="E98" s="20"/>
      <c r="F98" s="21"/>
      <c r="G98" s="21">
        <f>+G14+G39+G97</f>
        <v>743133.11</v>
      </c>
      <c r="H98" s="34"/>
      <c r="I98" s="17"/>
      <c r="J98" s="21">
        <f>+J14+J39+J97</f>
        <v>6022924.7600000007</v>
      </c>
    </row>
    <row r="99" spans="1:10" s="1" customFormat="1" ht="15.6" customHeight="1" x14ac:dyDescent="0.25">
      <c r="A99" s="16"/>
      <c r="B99" s="20"/>
      <c r="C99" s="19" t="s">
        <v>289</v>
      </c>
      <c r="D99" s="35">
        <v>1.0409189689991001</v>
      </c>
      <c r="E99" s="20"/>
      <c r="F99" s="21"/>
      <c r="G99" s="21">
        <f>(G14+G16)*D99</f>
        <v>1427.6099567925758</v>
      </c>
      <c r="H99" s="34"/>
      <c r="I99" s="17"/>
      <c r="J99" s="17">
        <f>(J14+J16)*D99</f>
        <v>63229.321623139083</v>
      </c>
    </row>
    <row r="100" spans="1:10" s="1" customFormat="1" ht="15.6" customHeight="1" x14ac:dyDescent="0.25">
      <c r="A100" s="16"/>
      <c r="B100" s="20"/>
      <c r="C100" s="19" t="s">
        <v>290</v>
      </c>
      <c r="D100" s="35">
        <v>0.59539576208591005</v>
      </c>
      <c r="E100" s="20"/>
      <c r="F100" s="21"/>
      <c r="G100" s="21">
        <f>(G14+G16)*D100</f>
        <v>816.57933374320476</v>
      </c>
      <c r="H100" s="34"/>
      <c r="I100" s="17"/>
      <c r="J100" s="17">
        <f>(J14+J16)*D100</f>
        <v>36166.571323206001</v>
      </c>
    </row>
    <row r="101" spans="1:10" s="1" customFormat="1" ht="15.6" customHeight="1" x14ac:dyDescent="0.25">
      <c r="A101" s="16"/>
      <c r="B101" s="20"/>
      <c r="C101" s="19" t="s">
        <v>291</v>
      </c>
      <c r="D101" s="20"/>
      <c r="E101" s="20"/>
      <c r="F101" s="21"/>
      <c r="G101" s="21">
        <f>G98+G99+G100</f>
        <v>745377.29929053574</v>
      </c>
      <c r="H101" s="34"/>
      <c r="I101" s="17"/>
      <c r="J101" s="21">
        <f>J98+J99+J100</f>
        <v>6122320.6529463455</v>
      </c>
    </row>
    <row r="102" spans="1:10" s="1" customFormat="1" ht="15.6" customHeight="1" x14ac:dyDescent="0.25">
      <c r="A102" s="16"/>
      <c r="B102" s="20"/>
      <c r="C102" s="19" t="s">
        <v>292</v>
      </c>
      <c r="D102" s="20"/>
      <c r="E102" s="20"/>
      <c r="F102" s="21"/>
      <c r="G102" s="21">
        <f>G45+G101</f>
        <v>745377.29929053574</v>
      </c>
      <c r="H102" s="34"/>
      <c r="I102" s="17"/>
      <c r="J102" s="17">
        <f>J45+J101</f>
        <v>6122320.6529463455</v>
      </c>
    </row>
    <row r="103" spans="1:10" s="1" customFormat="1" ht="15.6" customHeight="1" x14ac:dyDescent="0.25">
      <c r="A103" s="16"/>
      <c r="B103" s="20"/>
      <c r="C103" s="19" t="s">
        <v>258</v>
      </c>
      <c r="D103" s="20" t="s">
        <v>340</v>
      </c>
      <c r="E103" s="20">
        <v>1</v>
      </c>
      <c r="F103" s="21"/>
      <c r="G103" s="21">
        <f>G102/E103</f>
        <v>745377.29929053574</v>
      </c>
      <c r="H103" s="34"/>
      <c r="I103" s="17"/>
      <c r="J103" s="21">
        <f>J102/E103</f>
        <v>6122320.6529463455</v>
      </c>
    </row>
    <row r="104" spans="1:10" s="1" customFormat="1" ht="15.6" customHeight="1" x14ac:dyDescent="0.25">
      <c r="F104" s="36"/>
      <c r="G104" s="36"/>
      <c r="I104" s="36"/>
      <c r="J104" s="36"/>
    </row>
    <row r="105" spans="1:10" s="1" customFormat="1" ht="15.6" customHeight="1" x14ac:dyDescent="0.25">
      <c r="F105" s="36"/>
      <c r="G105" s="36"/>
      <c r="I105" s="36"/>
      <c r="J105" s="36"/>
    </row>
    <row r="106" spans="1:10" s="1" customFormat="1" ht="15.6" customHeight="1" x14ac:dyDescent="0.25">
      <c r="A106" s="5"/>
      <c r="F106" s="36"/>
      <c r="G106" s="36"/>
      <c r="I106" s="36"/>
      <c r="J106" s="36"/>
    </row>
    <row r="107" spans="1:10" s="1" customFormat="1" ht="15.6" customHeight="1" x14ac:dyDescent="0.25">
      <c r="F107" s="36"/>
      <c r="G107" s="36"/>
      <c r="I107" s="36"/>
      <c r="J107" s="36"/>
    </row>
    <row r="108" spans="1:10" s="1" customFormat="1" ht="15.6" customHeight="1" x14ac:dyDescent="0.25">
      <c r="F108" s="36"/>
      <c r="G108" s="36"/>
      <c r="I108" s="36"/>
      <c r="J108" s="36"/>
    </row>
    <row r="109" spans="1:10" s="1" customFormat="1" ht="15.6" customHeight="1" x14ac:dyDescent="0.25">
      <c r="A109" s="5"/>
      <c r="F109" s="36"/>
      <c r="G109" s="36"/>
      <c r="I109" s="36"/>
      <c r="J109" s="36"/>
    </row>
    <row r="110" spans="1:10" s="1" customFormat="1" ht="15.6" customHeight="1" x14ac:dyDescent="0.25">
      <c r="F110" s="36"/>
      <c r="G110" s="36"/>
      <c r="I110" s="36"/>
      <c r="J110" s="36"/>
    </row>
  </sheetData>
  <sheetProtection formatCells="0" formatColumns="0" formatRows="0" insertColumns="0" insertRows="0" insertHyperlinks="0" deleteColumns="0" deleteRows="0" sort="0" autoFilter="0" pivotTables="0"/>
  <mergeCells count="28">
    <mergeCell ref="H2:J2"/>
    <mergeCell ref="A4:H4"/>
    <mergeCell ref="A6:C6"/>
    <mergeCell ref="D6:J6"/>
    <mergeCell ref="A9:A10"/>
    <mergeCell ref="B9:B10"/>
    <mergeCell ref="C9:C10"/>
    <mergeCell ref="D9:D10"/>
    <mergeCell ref="E9:E10"/>
    <mergeCell ref="F9:G9"/>
    <mergeCell ref="H9:H10"/>
    <mergeCell ref="I9:J9"/>
    <mergeCell ref="A7:D7"/>
    <mergeCell ref="B17:H17"/>
    <mergeCell ref="B12:H12"/>
    <mergeCell ref="B15:H15"/>
    <mergeCell ref="B97:F97"/>
    <mergeCell ref="B18:H18"/>
    <mergeCell ref="B23:F23"/>
    <mergeCell ref="B38:F38"/>
    <mergeCell ref="B39:F39"/>
    <mergeCell ref="B40:J40"/>
    <mergeCell ref="B41:J41"/>
    <mergeCell ref="B43:J43"/>
    <mergeCell ref="B47:H47"/>
    <mergeCell ref="B48:H48"/>
    <mergeCell ref="B53:F53"/>
    <mergeCell ref="B96:F96"/>
  </mergeCells>
  <conditionalFormatting sqref="E13:E110">
    <cfRule type="expression" dxfId="0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K15" sqref="K15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08" t="s">
        <v>293</v>
      </c>
      <c r="B1" s="108"/>
      <c r="C1" s="108"/>
      <c r="D1" s="108"/>
      <c r="E1" s="108"/>
      <c r="F1" s="108"/>
      <c r="G1" s="108"/>
    </row>
    <row r="2" spans="1:7" ht="21.75" customHeight="1" x14ac:dyDescent="0.25">
      <c r="A2" s="37"/>
      <c r="B2" s="37"/>
      <c r="C2" s="37"/>
      <c r="D2" s="37"/>
      <c r="E2" s="37"/>
      <c r="F2" s="37"/>
      <c r="G2" s="37"/>
    </row>
    <row r="3" spans="1:7" ht="15.6" customHeight="1" x14ac:dyDescent="0.25">
      <c r="A3" s="90" t="s">
        <v>294</v>
      </c>
      <c r="B3" s="90"/>
      <c r="C3" s="90"/>
      <c r="D3" s="90"/>
      <c r="E3" s="90"/>
      <c r="F3" s="90"/>
      <c r="G3" s="90"/>
    </row>
    <row r="4" spans="1:7" ht="25.5" customHeight="1" x14ac:dyDescent="0.25">
      <c r="A4" s="109" t="s">
        <v>342</v>
      </c>
      <c r="B4" s="109"/>
      <c r="C4" s="109"/>
      <c r="D4" s="109"/>
      <c r="E4" s="109"/>
      <c r="F4" s="109"/>
      <c r="G4" s="109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16" t="s">
        <v>266</v>
      </c>
      <c r="B6" s="116" t="s">
        <v>43</v>
      </c>
      <c r="C6" s="116" t="s">
        <v>224</v>
      </c>
      <c r="D6" s="116" t="s">
        <v>45</v>
      </c>
      <c r="E6" s="95" t="s">
        <v>267</v>
      </c>
      <c r="F6" s="116" t="s">
        <v>47</v>
      </c>
      <c r="G6" s="116"/>
    </row>
    <row r="7" spans="1:7" s="1" customFormat="1" ht="15.6" customHeight="1" x14ac:dyDescent="0.25">
      <c r="A7" s="116"/>
      <c r="B7" s="116"/>
      <c r="C7" s="116"/>
      <c r="D7" s="116"/>
      <c r="E7" s="96"/>
      <c r="F7" s="4" t="s">
        <v>270</v>
      </c>
      <c r="G7" s="4" t="s">
        <v>49</v>
      </c>
    </row>
    <row r="8" spans="1:7" s="1" customFormat="1" ht="15.6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6" customHeight="1" x14ac:dyDescent="0.25">
      <c r="A9" s="16"/>
      <c r="B9" s="113" t="s">
        <v>295</v>
      </c>
      <c r="C9" s="113"/>
      <c r="D9" s="113"/>
      <c r="E9" s="113"/>
      <c r="F9" s="113"/>
      <c r="G9" s="113"/>
    </row>
    <row r="10" spans="1:7" s="1" customFormat="1" ht="31.5" customHeight="1" x14ac:dyDescent="0.25">
      <c r="A10" s="20"/>
      <c r="B10" s="38"/>
      <c r="C10" s="19" t="s">
        <v>296</v>
      </c>
      <c r="D10" s="38"/>
      <c r="E10" s="39"/>
      <c r="F10" s="21"/>
      <c r="G10" s="21">
        <v>0</v>
      </c>
    </row>
    <row r="11" spans="1:7" s="1" customFormat="1" ht="15.6" customHeight="1" x14ac:dyDescent="0.25">
      <c r="A11" s="20"/>
      <c r="B11" s="113" t="s">
        <v>297</v>
      </c>
      <c r="C11" s="113"/>
      <c r="D11" s="113"/>
      <c r="E11" s="114"/>
      <c r="F11" s="115"/>
      <c r="G11" s="115"/>
    </row>
    <row r="12" spans="1:7" s="1" customFormat="1" ht="31.5" customHeight="1" x14ac:dyDescent="0.25">
      <c r="A12" s="20"/>
      <c r="B12" s="19"/>
      <c r="C12" s="19" t="s">
        <v>298</v>
      </c>
      <c r="D12" s="19"/>
      <c r="E12" s="30"/>
      <c r="F12" s="21"/>
      <c r="G12" s="21">
        <v>0</v>
      </c>
    </row>
    <row r="13" spans="1:7" s="1" customFormat="1" ht="15.6" customHeight="1" x14ac:dyDescent="0.25">
      <c r="A13" s="20"/>
      <c r="B13" s="19"/>
      <c r="C13" s="19" t="s">
        <v>299</v>
      </c>
      <c r="D13" s="19"/>
      <c r="E13" s="30"/>
      <c r="F13" s="21"/>
      <c r="G13" s="21">
        <v>0</v>
      </c>
    </row>
    <row r="14" spans="1:7" s="1" customFormat="1" ht="15.6" customHeight="1" x14ac:dyDescent="0.25">
      <c r="B14" s="37"/>
    </row>
    <row r="15" spans="1:7" s="1" customFormat="1" ht="15.6" customHeight="1" x14ac:dyDescent="0.25">
      <c r="A15" s="1" t="s">
        <v>220</v>
      </c>
    </row>
    <row r="16" spans="1:7" s="1" customFormat="1" ht="15.6" customHeight="1" x14ac:dyDescent="0.25">
      <c r="A16" s="5" t="s">
        <v>35</v>
      </c>
    </row>
    <row r="17" spans="1:1" s="1" customFormat="1" ht="15.6" customHeight="1" x14ac:dyDescent="0.25"/>
    <row r="18" spans="1:1" s="1" customFormat="1" ht="15.6" customHeight="1" x14ac:dyDescent="0.25">
      <c r="A18" s="1" t="s">
        <v>221</v>
      </c>
    </row>
    <row r="19" spans="1:1" s="1" customFormat="1" ht="15.6" customHeight="1" x14ac:dyDescent="0.25">
      <c r="A19" s="5" t="s">
        <v>37</v>
      </c>
    </row>
    <row r="20" spans="1:1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C429-9BEB-43A7-A38A-9DC2C72EA301}">
  <dimension ref="A1:E17"/>
  <sheetViews>
    <sheetView view="pageBreakPreview" workbookViewId="0">
      <selection activeCell="D12" sqref="D12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76"/>
      <c r="C1" s="76"/>
      <c r="D1" s="77" t="s">
        <v>321</v>
      </c>
    </row>
    <row r="2" spans="1:5" x14ac:dyDescent="0.25">
      <c r="A2" s="77"/>
      <c r="B2" s="77"/>
      <c r="C2" s="77"/>
      <c r="D2" s="77"/>
    </row>
    <row r="3" spans="1:5" ht="24.75" customHeight="1" x14ac:dyDescent="0.25">
      <c r="A3" s="117" t="s">
        <v>322</v>
      </c>
      <c r="B3" s="117"/>
      <c r="C3" s="117"/>
      <c r="D3" s="117"/>
    </row>
    <row r="4" spans="1:5" ht="24.75" customHeight="1" x14ac:dyDescent="0.25">
      <c r="A4" s="78"/>
      <c r="B4" s="78"/>
      <c r="C4" s="78"/>
      <c r="D4" s="78"/>
    </row>
    <row r="5" spans="1:5" ht="24.6" customHeight="1" x14ac:dyDescent="0.25">
      <c r="A5" s="118" t="s">
        <v>323</v>
      </c>
      <c r="B5" s="118"/>
      <c r="C5" s="118"/>
      <c r="D5" s="79" t="str">
        <f>'Прил.5 Расчет СМР и ОБ'!D6:J6</f>
        <v xml:space="preserve">Наружные сети водопровода/канализации ПС 110 кВ </v>
      </c>
    </row>
    <row r="6" spans="1:5" ht="19.899999999999999" customHeight="1" x14ac:dyDescent="0.25">
      <c r="A6" s="118" t="s">
        <v>336</v>
      </c>
      <c r="B6" s="118"/>
      <c r="C6" s="118"/>
      <c r="D6" s="79"/>
    </row>
    <row r="7" spans="1:5" x14ac:dyDescent="0.25">
      <c r="A7" s="76"/>
      <c r="B7" s="76"/>
      <c r="C7" s="76"/>
      <c r="D7" s="76"/>
    </row>
    <row r="8" spans="1:5" ht="14.45" customHeight="1" x14ac:dyDescent="0.25">
      <c r="A8" s="119" t="s">
        <v>324</v>
      </c>
      <c r="B8" s="119" t="s">
        <v>325</v>
      </c>
      <c r="C8" s="119" t="s">
        <v>326</v>
      </c>
      <c r="D8" s="119" t="s">
        <v>327</v>
      </c>
    </row>
    <row r="9" spans="1:5" ht="15" customHeight="1" x14ac:dyDescent="0.25">
      <c r="A9" s="119"/>
      <c r="B9" s="119"/>
      <c r="C9" s="119"/>
      <c r="D9" s="119"/>
    </row>
    <row r="10" spans="1:5" x14ac:dyDescent="0.25">
      <c r="A10" s="80">
        <v>1</v>
      </c>
      <c r="B10" s="80">
        <v>2</v>
      </c>
      <c r="C10" s="80">
        <v>3</v>
      </c>
      <c r="D10" s="80">
        <v>4</v>
      </c>
    </row>
    <row r="11" spans="1:5" ht="41.45" customHeight="1" x14ac:dyDescent="0.25">
      <c r="A11" s="80" t="s">
        <v>335</v>
      </c>
      <c r="B11" s="80" t="s">
        <v>329</v>
      </c>
      <c r="C11" s="81" t="str">
        <f>D5</f>
        <v xml:space="preserve">Наружные сети водопровода/канализации ПС 110 кВ </v>
      </c>
      <c r="D11" s="82">
        <f>'Прил.4 РМ'!C41/1000</f>
        <v>6846.0489329463462</v>
      </c>
      <c r="E11" s="75"/>
    </row>
    <row r="12" spans="1:5" x14ac:dyDescent="0.25">
      <c r="A12" s="83"/>
      <c r="B12" s="84"/>
      <c r="C12" s="83"/>
      <c r="D12" s="83"/>
    </row>
    <row r="13" spans="1:5" x14ac:dyDescent="0.25">
      <c r="A13" s="76" t="s">
        <v>330</v>
      </c>
      <c r="B13" s="85"/>
      <c r="C13" s="85"/>
      <c r="D13" s="83"/>
    </row>
    <row r="14" spans="1:5" x14ac:dyDescent="0.25">
      <c r="A14" s="86" t="s">
        <v>35</v>
      </c>
      <c r="B14" s="85"/>
      <c r="C14" s="85"/>
      <c r="D14" s="83"/>
    </row>
    <row r="15" spans="1:5" x14ac:dyDescent="0.25">
      <c r="A15" s="76"/>
      <c r="B15" s="85"/>
      <c r="C15" s="85"/>
      <c r="D15" s="83"/>
    </row>
    <row r="16" spans="1:5" x14ac:dyDescent="0.25">
      <c r="A16" s="76" t="s">
        <v>328</v>
      </c>
      <c r="B16" s="85"/>
      <c r="C16" s="85"/>
      <c r="D16" s="83"/>
    </row>
    <row r="17" spans="1:4" x14ac:dyDescent="0.25">
      <c r="A17" s="86" t="s">
        <v>37</v>
      </c>
      <c r="B17" s="85"/>
      <c r="C17" s="85"/>
      <c r="D17" s="83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E32"/>
  <sheetViews>
    <sheetView topLeftCell="A6" workbookViewId="0">
      <selection activeCell="H17" sqref="H17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89" t="s">
        <v>300</v>
      </c>
      <c r="C4" s="89"/>
      <c r="D4" s="89"/>
    </row>
    <row r="5" spans="2:5" ht="18" customHeight="1" x14ac:dyDescent="0.25">
      <c r="B5" s="6"/>
    </row>
    <row r="6" spans="2:5" ht="15.6" customHeight="1" x14ac:dyDescent="0.25">
      <c r="B6" s="90" t="s">
        <v>301</v>
      </c>
      <c r="C6" s="90"/>
      <c r="D6" s="90"/>
    </row>
    <row r="7" spans="2:5" ht="18" customHeight="1" x14ac:dyDescent="0.25">
      <c r="B7" s="7"/>
    </row>
    <row r="8" spans="2:5" s="1" customFormat="1" ht="46.9" customHeight="1" x14ac:dyDescent="0.25">
      <c r="B8" s="4" t="s">
        <v>302</v>
      </c>
      <c r="C8" s="4" t="s">
        <v>303</v>
      </c>
      <c r="D8" s="4" t="s">
        <v>304</v>
      </c>
    </row>
    <row r="9" spans="2:5" s="1" customFormat="1" ht="15.6" customHeight="1" x14ac:dyDescent="0.25">
      <c r="B9" s="4">
        <v>1</v>
      </c>
      <c r="C9" s="4">
        <v>2</v>
      </c>
      <c r="D9" s="4">
        <v>3</v>
      </c>
    </row>
    <row r="10" spans="2:5" s="1" customFormat="1" ht="31.5" customHeight="1" x14ac:dyDescent="0.25">
      <c r="B10" s="4" t="s">
        <v>305</v>
      </c>
      <c r="C10" s="4" t="s">
        <v>306</v>
      </c>
      <c r="D10" s="4">
        <v>44.29</v>
      </c>
    </row>
    <row r="11" spans="2:5" s="1" customFormat="1" ht="31.5" customHeight="1" x14ac:dyDescent="0.25">
      <c r="B11" s="4" t="s">
        <v>307</v>
      </c>
      <c r="C11" s="4" t="s">
        <v>306</v>
      </c>
      <c r="D11" s="4">
        <v>13.47</v>
      </c>
    </row>
    <row r="12" spans="2:5" s="1" customFormat="1" ht="31.5" customHeight="1" x14ac:dyDescent="0.25">
      <c r="B12" s="4" t="s">
        <v>308</v>
      </c>
      <c r="C12" s="4" t="s">
        <v>306</v>
      </c>
      <c r="D12" s="4">
        <v>8.0399999999999991</v>
      </c>
    </row>
    <row r="13" spans="2:5" s="1" customFormat="1" ht="31.5" customHeight="1" x14ac:dyDescent="0.25">
      <c r="B13" s="4" t="s">
        <v>309</v>
      </c>
      <c r="C13" s="8" t="s">
        <v>310</v>
      </c>
      <c r="D13" s="4">
        <v>6.26</v>
      </c>
    </row>
    <row r="14" spans="2:5" s="1" customFormat="1" ht="78" customHeight="1" x14ac:dyDescent="0.25">
      <c r="B14" s="4" t="s">
        <v>311</v>
      </c>
      <c r="C14" s="4" t="s">
        <v>312</v>
      </c>
      <c r="D14" s="9">
        <v>3.9E-2</v>
      </c>
    </row>
    <row r="15" spans="2:5" s="1" customFormat="1" ht="78" customHeight="1" x14ac:dyDescent="0.25">
      <c r="B15" s="4" t="s">
        <v>313</v>
      </c>
      <c r="C15" s="4" t="s">
        <v>314</v>
      </c>
      <c r="D15" s="9">
        <v>2.1000000000000001E-2</v>
      </c>
      <c r="E15" s="3"/>
    </row>
    <row r="16" spans="2:5" s="1" customFormat="1" ht="31.5" customHeight="1" x14ac:dyDescent="0.25">
      <c r="B16" s="4" t="s">
        <v>248</v>
      </c>
      <c r="C16" s="4"/>
      <c r="D16" s="4" t="s">
        <v>344</v>
      </c>
    </row>
    <row r="17" spans="2:4" s="1" customFormat="1" ht="31.5" customHeight="1" x14ac:dyDescent="0.25">
      <c r="B17" s="4" t="s">
        <v>315</v>
      </c>
      <c r="C17" s="4" t="s">
        <v>316</v>
      </c>
      <c r="D17" s="9">
        <v>2.1399999999999999E-2</v>
      </c>
    </row>
    <row r="18" spans="2:4" s="1" customFormat="1" ht="15.6" customHeight="1" x14ac:dyDescent="0.25">
      <c r="B18" s="4" t="s">
        <v>317</v>
      </c>
      <c r="C18" s="4" t="s">
        <v>318</v>
      </c>
      <c r="D18" s="9">
        <v>2E-3</v>
      </c>
    </row>
    <row r="19" spans="2:4" s="1" customFormat="1" ht="15.6" customHeight="1" x14ac:dyDescent="0.25">
      <c r="B19" s="4" t="s">
        <v>256</v>
      </c>
      <c r="C19" s="4" t="s">
        <v>319</v>
      </c>
      <c r="D19" s="9">
        <v>0.03</v>
      </c>
    </row>
    <row r="20" spans="2:4" s="1" customFormat="1" ht="15.6" customHeight="1" x14ac:dyDescent="0.25">
      <c r="B20" s="2"/>
    </row>
    <row r="21" spans="2:4" s="1" customFormat="1" ht="15.6" customHeight="1" x14ac:dyDescent="0.25">
      <c r="B21" s="2"/>
    </row>
    <row r="22" spans="2:4" s="1" customFormat="1" ht="15.6" customHeight="1" x14ac:dyDescent="0.25">
      <c r="B22" s="2"/>
    </row>
    <row r="23" spans="2:4" s="1" customFormat="1" ht="15.6" customHeight="1" x14ac:dyDescent="0.25">
      <c r="B23" s="2"/>
    </row>
    <row r="24" spans="2:4" s="1" customFormat="1" ht="15.6" customHeight="1" x14ac:dyDescent="0.25"/>
    <row r="25" spans="2:4" s="1" customFormat="1" ht="15.6" customHeight="1" x14ac:dyDescent="0.25"/>
    <row r="26" spans="2:4" s="1" customFormat="1" ht="15.6" customHeight="1" x14ac:dyDescent="0.25">
      <c r="B26" s="1" t="s">
        <v>220</v>
      </c>
    </row>
    <row r="27" spans="2:4" s="1" customFormat="1" ht="15.6" customHeight="1" x14ac:dyDescent="0.25">
      <c r="B27" s="5" t="s">
        <v>35</v>
      </c>
    </row>
    <row r="28" spans="2:4" s="1" customFormat="1" ht="15.6" customHeight="1" x14ac:dyDescent="0.25"/>
    <row r="29" spans="2:4" s="1" customFormat="1" ht="15.6" customHeight="1" x14ac:dyDescent="0.25">
      <c r="B29" s="1" t="s">
        <v>320</v>
      </c>
    </row>
    <row r="30" spans="2:4" s="1" customFormat="1" ht="15.6" customHeight="1" x14ac:dyDescent="0.25">
      <c r="B30" s="5" t="s">
        <v>37</v>
      </c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A286-1D77-4D7A-A74F-A7C1670DDF14}">
  <dimension ref="A2:G13"/>
  <sheetViews>
    <sheetView tabSelected="1" view="pageBreakPreview" zoomScale="60" zoomScaleNormal="100" workbookViewId="0">
      <selection activeCell="H11" sqref="H11"/>
    </sheetView>
  </sheetViews>
  <sheetFormatPr defaultRowHeight="15" x14ac:dyDescent="0.25"/>
  <cols>
    <col min="1" max="1" width="9.140625" style="125"/>
    <col min="2" max="2" width="34" style="125" customWidth="1"/>
    <col min="3" max="3" width="13.7109375" style="125" customWidth="1"/>
    <col min="4" max="4" width="23.7109375" style="125" customWidth="1"/>
    <col min="5" max="5" width="24.85546875" style="125" customWidth="1"/>
    <col min="6" max="6" width="45" style="125" customWidth="1"/>
    <col min="7" max="16384" width="9.140625" style="125"/>
  </cols>
  <sheetData>
    <row r="2" spans="1:7" ht="17.25" x14ac:dyDescent="0.25">
      <c r="A2" s="124" t="s">
        <v>350</v>
      </c>
      <c r="B2" s="124"/>
      <c r="C2" s="124"/>
      <c r="D2" s="124"/>
      <c r="E2" s="124"/>
      <c r="F2" s="124"/>
    </row>
    <row r="4" spans="1:7" ht="15.75" x14ac:dyDescent="0.25">
      <c r="A4" s="126" t="s">
        <v>351</v>
      </c>
      <c r="B4" s="127"/>
      <c r="C4" s="127"/>
      <c r="D4" s="127"/>
      <c r="E4" s="127"/>
      <c r="F4" s="127"/>
      <c r="G4" s="127"/>
    </row>
    <row r="5" spans="1:7" ht="15.75" x14ac:dyDescent="0.25">
      <c r="A5" s="128" t="s">
        <v>266</v>
      </c>
      <c r="B5" s="128" t="s">
        <v>352</v>
      </c>
      <c r="C5" s="128" t="s">
        <v>353</v>
      </c>
      <c r="D5" s="128" t="s">
        <v>354</v>
      </c>
      <c r="E5" s="128" t="s">
        <v>355</v>
      </c>
      <c r="F5" s="128" t="s">
        <v>356</v>
      </c>
      <c r="G5" s="127"/>
    </row>
    <row r="6" spans="1:7" ht="15.75" x14ac:dyDescent="0.25">
      <c r="A6" s="128">
        <v>1</v>
      </c>
      <c r="B6" s="128">
        <v>2</v>
      </c>
      <c r="C6" s="128">
        <v>3</v>
      </c>
      <c r="D6" s="128">
        <v>4</v>
      </c>
      <c r="E6" s="128">
        <v>5</v>
      </c>
      <c r="F6" s="128">
        <v>6</v>
      </c>
      <c r="G6" s="127"/>
    </row>
    <row r="7" spans="1:7" ht="126" x14ac:dyDescent="0.25">
      <c r="A7" s="129" t="s">
        <v>357</v>
      </c>
      <c r="B7" s="130" t="s">
        <v>358</v>
      </c>
      <c r="C7" s="131" t="s">
        <v>359</v>
      </c>
      <c r="D7" s="131" t="s">
        <v>360</v>
      </c>
      <c r="E7" s="132">
        <v>47872.94</v>
      </c>
      <c r="F7" s="130" t="s">
        <v>361</v>
      </c>
      <c r="G7" s="127"/>
    </row>
    <row r="8" spans="1:7" ht="47.25" x14ac:dyDescent="0.25">
      <c r="A8" s="129" t="s">
        <v>362</v>
      </c>
      <c r="B8" s="130" t="s">
        <v>363</v>
      </c>
      <c r="C8" s="131" t="s">
        <v>364</v>
      </c>
      <c r="D8" s="131" t="s">
        <v>365</v>
      </c>
      <c r="E8" s="132">
        <f>1973/12</f>
        <v>164.41666666666666</v>
      </c>
      <c r="F8" s="130" t="s">
        <v>366</v>
      </c>
      <c r="G8" s="133"/>
    </row>
    <row r="9" spans="1:7" ht="15.75" x14ac:dyDescent="0.25">
      <c r="A9" s="129" t="s">
        <v>367</v>
      </c>
      <c r="B9" s="130" t="s">
        <v>368</v>
      </c>
      <c r="C9" s="131" t="s">
        <v>369</v>
      </c>
      <c r="D9" s="131" t="s">
        <v>360</v>
      </c>
      <c r="E9" s="132">
        <v>1</v>
      </c>
      <c r="F9" s="130"/>
      <c r="G9" s="133"/>
    </row>
    <row r="10" spans="1:7" ht="15.75" x14ac:dyDescent="0.25">
      <c r="A10" s="129" t="s">
        <v>370</v>
      </c>
      <c r="B10" s="130" t="s">
        <v>371</v>
      </c>
      <c r="C10" s="131"/>
      <c r="D10" s="131"/>
      <c r="E10" s="134">
        <v>2.7</v>
      </c>
      <c r="F10" s="130" t="s">
        <v>372</v>
      </c>
      <c r="G10" s="133"/>
    </row>
    <row r="11" spans="1:7" ht="78.75" x14ac:dyDescent="0.25">
      <c r="A11" s="129" t="s">
        <v>373</v>
      </c>
      <c r="B11" s="130" t="s">
        <v>374</v>
      </c>
      <c r="C11" s="131" t="s">
        <v>375</v>
      </c>
      <c r="D11" s="131" t="s">
        <v>360</v>
      </c>
      <c r="E11" s="135">
        <v>1.4</v>
      </c>
      <c r="F11" s="130" t="s">
        <v>376</v>
      </c>
      <c r="G11" s="127"/>
    </row>
    <row r="12" spans="1:7" ht="78.75" x14ac:dyDescent="0.25">
      <c r="A12" s="129" t="s">
        <v>377</v>
      </c>
      <c r="B12" s="136" t="s">
        <v>378</v>
      </c>
      <c r="C12" s="131" t="s">
        <v>379</v>
      </c>
      <c r="D12" s="131" t="s">
        <v>360</v>
      </c>
      <c r="E12" s="137">
        <v>1.139</v>
      </c>
      <c r="F12" s="138" t="s">
        <v>380</v>
      </c>
      <c r="G12" s="133" t="s">
        <v>381</v>
      </c>
    </row>
    <row r="13" spans="1:7" ht="76.150000000000006" customHeight="1" x14ac:dyDescent="0.25">
      <c r="A13" s="129" t="s">
        <v>382</v>
      </c>
      <c r="B13" s="139" t="s">
        <v>383</v>
      </c>
      <c r="C13" s="131" t="s">
        <v>384</v>
      </c>
      <c r="D13" s="131" t="s">
        <v>385</v>
      </c>
      <c r="E13" s="140">
        <v>368.05</v>
      </c>
      <c r="F13" s="130" t="s">
        <v>386</v>
      </c>
      <c r="G13" s="127"/>
    </row>
  </sheetData>
  <mergeCells count="1">
    <mergeCell ref="A2:F2"/>
  </mergeCells>
  <hyperlinks>
    <hyperlink ref="G12" r:id="rId1" xr:uid="{2EC66733-4BE8-40F3-AA5A-49133A6EA2B5}"/>
  </hyperlinks>
  <pageMargins left="0.7" right="0.7" top="0.75" bottom="0.75" header="0.3" footer="0.3"/>
  <pageSetup paperSize="9" scale="5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'Прил.1 Сравнит табл'!Область_печати</vt:lpstr>
      <vt:lpstr>'Прил.2 Расч стоим'!Область_печати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Danil</cp:lastModifiedBy>
  <dcterms:created xsi:type="dcterms:W3CDTF">2023-08-25T11:35:03Z</dcterms:created>
  <dcterms:modified xsi:type="dcterms:W3CDTF">2023-10-08T11:17:22Z</dcterms:modified>
  <cp:category/>
</cp:coreProperties>
</file>