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C9F4F00-BC61-485F-80CA-26598467C101}" xr6:coauthVersionLast="40" xr6:coauthVersionMax="40" xr10:uidLastSave="{00000000-0000-0000-0000-000000000000}"/>
  <bookViews>
    <workbookView xWindow="0" yWindow="0" windowWidth="28800" windowHeight="12225" tabRatio="891" activeTab="8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4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>#REF!</definedName>
    <definedName name="______xlnm.Primt_Area_3" localSheetId="4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>#REF!</definedName>
    <definedName name="_def2000г" localSheetId="4">#REF!</definedName>
    <definedName name="_def2000г" localSheetId="8">#REF!</definedName>
    <definedName name="_def2000г">#REF!</definedName>
    <definedName name="_def2001г" localSheetId="4">#REF!</definedName>
    <definedName name="_def2001г" localSheetId="8">#REF!</definedName>
    <definedName name="_def2001г">#REF!</definedName>
    <definedName name="_def2002г" localSheetId="4">#REF!</definedName>
    <definedName name="_def2002г" localSheetId="8">#REF!</definedName>
    <definedName name="_def2002г">#REF!</definedName>
    <definedName name="_Fill" localSheetId="4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>#REF!</definedName>
    <definedName name="_inf2000" localSheetId="4">#REF!</definedName>
    <definedName name="_inf2000" localSheetId="8">#REF!</definedName>
    <definedName name="_inf2000">#REF!</definedName>
    <definedName name="_inf2001" localSheetId="4">#REF!</definedName>
    <definedName name="_inf2001" localSheetId="8">#REF!</definedName>
    <definedName name="_inf2001">#REF!</definedName>
    <definedName name="_inf2002" localSheetId="4">#REF!</definedName>
    <definedName name="_inf2002" localSheetId="8">#REF!</definedName>
    <definedName name="_inf2002">#REF!</definedName>
    <definedName name="_inf2003" localSheetId="4">#REF!</definedName>
    <definedName name="_inf2003" localSheetId="8">#REF!</definedName>
    <definedName name="_inf2003">#REF!</definedName>
    <definedName name="_inf2004" localSheetId="4">#REF!</definedName>
    <definedName name="_inf2004" localSheetId="8">#REF!</definedName>
    <definedName name="_inf2004">#REF!</definedName>
    <definedName name="_inf2005" localSheetId="4">#REF!</definedName>
    <definedName name="_inf2005" localSheetId="8">#REF!</definedName>
    <definedName name="_inf2005">#REF!</definedName>
    <definedName name="_inf2006" localSheetId="4">#REF!</definedName>
    <definedName name="_inf2006" localSheetId="8">#REF!</definedName>
    <definedName name="_inf2006">#REF!</definedName>
    <definedName name="_inf2007" localSheetId="4">#REF!</definedName>
    <definedName name="_inf2007" localSheetId="8">#REF!</definedName>
    <definedName name="_inf2007">#REF!</definedName>
    <definedName name="_inf2008" localSheetId="4">#REF!</definedName>
    <definedName name="_inf2008" localSheetId="8">#REF!</definedName>
    <definedName name="_inf2008">#REF!</definedName>
    <definedName name="_inf2009" localSheetId="4">#REF!</definedName>
    <definedName name="_inf2009" localSheetId="8">#REF!</definedName>
    <definedName name="_inf2009">#REF!</definedName>
    <definedName name="_inf2010" localSheetId="4">#REF!</definedName>
    <definedName name="_inf2010" localSheetId="8">#REF!</definedName>
    <definedName name="_inf2010">#REF!</definedName>
    <definedName name="_inf2011" localSheetId="4">#REF!</definedName>
    <definedName name="_inf2011" localSheetId="8">#REF!</definedName>
    <definedName name="_inf2011">#REF!</definedName>
    <definedName name="_inf2012" localSheetId="4">#REF!</definedName>
    <definedName name="_inf2012" localSheetId="8">#REF!</definedName>
    <definedName name="_inf2012">#REF!</definedName>
    <definedName name="_inf2013" localSheetId="4">#REF!</definedName>
    <definedName name="_inf2013" localSheetId="8">#REF!</definedName>
    <definedName name="_inf2013">#REF!</definedName>
    <definedName name="_inf2014" localSheetId="4">#REF!</definedName>
    <definedName name="_inf2014" localSheetId="8">#REF!</definedName>
    <definedName name="_inf2014">#REF!</definedName>
    <definedName name="_inf2015" localSheetId="4">#REF!</definedName>
    <definedName name="_inf2015" localSheetId="8">#REF!</definedName>
    <definedName name="_inf2015">#REF!</definedName>
    <definedName name="_k" localSheetId="4">#REF!</definedName>
    <definedName name="_k">#REF!</definedName>
    <definedName name="_m" localSheetId="4">#REF!</definedName>
    <definedName name="_m">#REF!</definedName>
    <definedName name="_qs2" localSheetId="4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>#REF!</definedName>
    <definedName name="a04t" localSheetId="4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>#REF!</definedName>
    <definedName name="cvtnf">#REF!</definedName>
    <definedName name="d" localSheetId="4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>#REF!</definedName>
    <definedName name="Excel_BuiltIn_Print_Area_1" localSheetId="4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8">#REF!</definedName>
    <definedName name="ff">#REF!</definedName>
    <definedName name="gggg" localSheetId="4">#REF!</definedName>
    <definedName name="gggg" localSheetId="8">#REF!</definedName>
    <definedName name="gggg">#REF!</definedName>
    <definedName name="Global.MNULL" localSheetId="4">#REF!</definedName>
    <definedName name="Global.MNULL" localSheetId="8">#REF!</definedName>
    <definedName name="Global.MNULL">#REF!</definedName>
    <definedName name="Global.NULL" localSheetId="4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>#REF!</definedName>
    <definedName name="i" localSheetId="4">#REF!</definedName>
    <definedName name="i">#REF!</definedName>
    <definedName name="iii" localSheetId="4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>#REF!</definedName>
    <definedName name="jkjhggh" localSheetId="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 localSheetId="4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IF('Прил.7 Расчет пок.'!n_3=1,'Прил.7 Расчет пок.'!n_2,'Прил.7 Расчет пок.'!n_3&amp;'Прил.7 Расчет пок.'!n_1)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IF('Прил.7 Расчет пок.'!n_3=1,'Прил.7 Расчет пок.'!n_2,'Прил.7 Расчет пок.'!n_3&amp;'Прил.7 Расчет пок.'!n_5)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>#REF!</definedName>
    <definedName name="NumColJournal" localSheetId="4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>#REF!</definedName>
    <definedName name="pp" localSheetId="4">#REF!</definedName>
    <definedName name="pp">#REF!</definedName>
    <definedName name="Print_Area" localSheetId="4">#REF!</definedName>
    <definedName name="Print_Area">#REF!</definedName>
    <definedName name="propis" localSheetId="4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>#REF!</definedName>
    <definedName name="rtyrty" localSheetId="4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>#REF!</definedName>
    <definedName name="SDDsfd" localSheetId="4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>#REF!</definedName>
    <definedName name="SUM_" localSheetId="4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>#REF!</definedName>
    <definedName name="ujl" localSheetId="4">#REF!</definedName>
    <definedName name="ujl">#REF!</definedName>
    <definedName name="USA_1" localSheetId="4">#REF!</definedName>
    <definedName name="USA_1">#REF!</definedName>
    <definedName name="v" localSheetId="4">#REF!</definedName>
    <definedName name="v">#REF!</definedName>
    <definedName name="VH" localSheetId="4">#REF!</definedName>
    <definedName name="VH">#REF!</definedName>
    <definedName name="w" localSheetId="4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>#REF!</definedName>
    <definedName name="аода" localSheetId="4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>#REF!</definedName>
    <definedName name="б" localSheetId="4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>#REF!</definedName>
    <definedName name="вб">#REF!</definedName>
    <definedName name="ввв" localSheetId="4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>#REF!</definedName>
    <definedName name="внеове" localSheetId="4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>#REF!</definedName>
    <definedName name="ВсегоШурфов" localSheetId="4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>#REF!</definedName>
    <definedName name="гелог" localSheetId="4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>#REF!</definedName>
    <definedName name="гидро5" localSheetId="4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8">#REF!</definedName>
    <definedName name="дд">#REF!</definedName>
    <definedName name="дддд" localSheetId="4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8">#REF!</definedName>
    <definedName name="де">#REF!</definedName>
    <definedName name="десятый" localSheetId="4">#REF!</definedName>
    <definedName name="десятый">#REF!</definedName>
    <definedName name="дефл." localSheetId="4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>#REF!</definedName>
    <definedName name="диапазон" localSheetId="4">#REF!</definedName>
    <definedName name="диапазон">#REF!</definedName>
    <definedName name="Диск" localSheetId="4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8">#REF!</definedName>
    <definedName name="ж">#REF!</definedName>
    <definedName name="жжж" localSheetId="4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>#REF!</definedName>
    <definedName name="Зел">#REF!</definedName>
    <definedName name="зждзд" localSheetId="4">#REF!</definedName>
    <definedName name="зждзд">#REF!</definedName>
    <definedName name="зз" localSheetId="4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>#REF!</definedName>
    <definedName name="зит">#REF!</definedName>
    <definedName name="зощр" localSheetId="4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>#REF!</definedName>
    <definedName name="инфл" localSheetId="4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>#REF!</definedName>
    <definedName name="йцйц">NA()</definedName>
    <definedName name="йцу" localSheetId="4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>#REF!</definedName>
    <definedName name="кгкг" localSheetId="4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>#REF!</definedName>
    <definedName name="конкурс" localSheetId="4">#REF!</definedName>
    <definedName name="конкурс">#REF!</definedName>
    <definedName name="Контроллер_1" localSheetId="4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>#REF!</definedName>
    <definedName name="КОЭФ3" localSheetId="4">#REF!</definedName>
    <definedName name="КОЭФ3">#REF!</definedName>
    <definedName name="КоэфБезПоля" localSheetId="4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>#REF!</definedName>
    <definedName name="Крп">#REF!</definedName>
    <definedName name="куку" localSheetId="4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8">#REF!</definedName>
    <definedName name="лд">#REF!</definedName>
    <definedName name="лдд" localSheetId="4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>#REF!</definedName>
    <definedName name="Магаданская_область" localSheetId="4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>#REF!</definedName>
    <definedName name="нес2">#REF!</definedName>
    <definedName name="неуо" localSheetId="4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>#REF!</definedName>
    <definedName name="об" localSheetId="4">#REF!</definedName>
    <definedName name="об">#REF!</definedName>
    <definedName name="обл">#REF!</definedName>
    <definedName name="_xlnm.Print_Area" localSheetId="2">Прил.3!$A$1:$H$59</definedName>
    <definedName name="_xlnm.Print_Area" localSheetId="3">'Прил.4 РМ'!$A$1:$E$48</definedName>
    <definedName name="_xlnm.Print_Area" localSheetId="4">'Прил.5 Расчет СМР и ОБ'!$A$1:$J$76</definedName>
    <definedName name="_xlnm.Print_Area" localSheetId="8">ФОТр.тек.!$A$1:$F$15</definedName>
    <definedName name="_xlnm.Print_Area">#REF!</definedName>
    <definedName name="Область_печати_ИМ" localSheetId="4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>#REF!</definedName>
    <definedName name="объем___11___0">NA()</definedName>
    <definedName name="объем___11___10" localSheetId="4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>#REF!</definedName>
    <definedName name="ол" localSheetId="4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>#REF!</definedName>
    <definedName name="плдпол" localSheetId="4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>#REF!</definedName>
    <definedName name="Подгон" localSheetId="4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>#REF!</definedName>
    <definedName name="Покупное_ПО" localSheetId="4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>#REF!</definedName>
    <definedName name="Промбезоп" localSheetId="4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>#REF!</definedName>
    <definedName name="пропропрспро">#REF!</definedName>
    <definedName name="Прот">#REF!</definedName>
    <definedName name="протоколРМВК" localSheetId="4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>#REF!</definedName>
    <definedName name="прпр_1" localSheetId="4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 localSheetId="4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>#REF!</definedName>
    <definedName name="СДП">#REF!</definedName>
    <definedName name="се">#REF!</definedName>
    <definedName name="сев" localSheetId="4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>#REF!</definedName>
    <definedName name="Семь" localSheetId="4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>#REF!</definedName>
    <definedName name="Сервисное_оборудование_1" localSheetId="4">#REF!</definedName>
    <definedName name="Сервисное_оборудование_1">#REF!</definedName>
    <definedName name="СлБелг" localSheetId="4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>#REF!</definedName>
    <definedName name="смета" localSheetId="4">#REF!</definedName>
    <definedName name="смета">#REF!</definedName>
    <definedName name="Смета_2">#REF!</definedName>
    <definedName name="смета1" localSheetId="4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>#REF!</definedName>
    <definedName name="Тамбовская_область" localSheetId="4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>#REF!</definedName>
    <definedName name="Ф91" localSheetId="4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>#REF!</definedName>
    <definedName name="ффггг" localSheetId="4">#REF!</definedName>
    <definedName name="ффггг">#REF!</definedName>
    <definedName name="ффф" localSheetId="4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>#REF!</definedName>
    <definedName name="цена___11___0">NA()</definedName>
    <definedName name="цена___11___10" localSheetId="4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8">#REF!</definedName>
    <definedName name="ььь">#REF!</definedName>
    <definedName name="э" localSheetId="4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>#REF!</definedName>
    <definedName name="электроэнер">#REF!</definedName>
    <definedName name="электроэнергия">#REF!</definedName>
    <definedName name="ЭлеСи_1" localSheetId="4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8">#REF!</definedName>
    <definedName name="юююю">#REF!</definedName>
    <definedName name="яапт" localSheetId="4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D5" i="7"/>
  <c r="F26" i="6"/>
  <c r="G26" i="6" s="1"/>
  <c r="E26" i="6"/>
  <c r="D26" i="6"/>
  <c r="C26" i="6"/>
  <c r="B26" i="6"/>
  <c r="F25" i="6"/>
  <c r="G25" i="6" s="1"/>
  <c r="E25" i="6"/>
  <c r="D25" i="6"/>
  <c r="C25" i="6"/>
  <c r="B25" i="6"/>
  <c r="F24" i="6"/>
  <c r="G24" i="6" s="1"/>
  <c r="E24" i="6"/>
  <c r="D24" i="6"/>
  <c r="C24" i="6"/>
  <c r="B24" i="6"/>
  <c r="F23" i="6"/>
  <c r="G23" i="6" s="1"/>
  <c r="E23" i="6"/>
  <c r="D23" i="6"/>
  <c r="C23" i="6"/>
  <c r="B23" i="6"/>
  <c r="F22" i="6"/>
  <c r="G22" i="6" s="1"/>
  <c r="E22" i="6"/>
  <c r="D22" i="6"/>
  <c r="C22" i="6"/>
  <c r="B22" i="6"/>
  <c r="F21" i="6"/>
  <c r="G21" i="6" s="1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F18" i="6"/>
  <c r="E18" i="6"/>
  <c r="D18" i="6"/>
  <c r="C18" i="6"/>
  <c r="B18" i="6"/>
  <c r="G17" i="6"/>
  <c r="F17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A6" i="6"/>
  <c r="E67" i="5"/>
  <c r="J61" i="5"/>
  <c r="G61" i="5"/>
  <c r="J60" i="5"/>
  <c r="H60" i="5"/>
  <c r="G60" i="5"/>
  <c r="J59" i="5"/>
  <c r="I59" i="5"/>
  <c r="H59" i="5"/>
  <c r="G59" i="5"/>
  <c r="J58" i="5"/>
  <c r="I58" i="5"/>
  <c r="H58" i="5"/>
  <c r="G58" i="5"/>
  <c r="J57" i="5"/>
  <c r="I57" i="5"/>
  <c r="H57" i="5"/>
  <c r="G57" i="5"/>
  <c r="J56" i="5"/>
  <c r="I56" i="5"/>
  <c r="H56" i="5"/>
  <c r="G56" i="5"/>
  <c r="J55" i="5"/>
  <c r="I55" i="5"/>
  <c r="H55" i="5"/>
  <c r="G55" i="5"/>
  <c r="J54" i="5"/>
  <c r="I54" i="5"/>
  <c r="H54" i="5"/>
  <c r="G54" i="5"/>
  <c r="J53" i="5"/>
  <c r="I53" i="5"/>
  <c r="H53" i="5"/>
  <c r="G53" i="5"/>
  <c r="J52" i="5"/>
  <c r="H52" i="5"/>
  <c r="G52" i="5"/>
  <c r="J51" i="5"/>
  <c r="I51" i="5"/>
  <c r="H51" i="5"/>
  <c r="G51" i="5"/>
  <c r="J50" i="5"/>
  <c r="I50" i="5"/>
  <c r="H50" i="5"/>
  <c r="G50" i="5"/>
  <c r="J49" i="5"/>
  <c r="I49" i="5"/>
  <c r="H49" i="5"/>
  <c r="G49" i="5"/>
  <c r="I43" i="5"/>
  <c r="J43" i="5" s="1"/>
  <c r="G43" i="5"/>
  <c r="I42" i="5"/>
  <c r="J42" i="5" s="1"/>
  <c r="G42" i="5"/>
  <c r="J41" i="5"/>
  <c r="I41" i="5"/>
  <c r="G41" i="5"/>
  <c r="I40" i="5"/>
  <c r="J40" i="5" s="1"/>
  <c r="G40" i="5"/>
  <c r="I39" i="5"/>
  <c r="J39" i="5" s="1"/>
  <c r="G39" i="5"/>
  <c r="J38" i="5"/>
  <c r="I38" i="5"/>
  <c r="G38" i="5"/>
  <c r="J37" i="5"/>
  <c r="G37" i="5"/>
  <c r="J36" i="5"/>
  <c r="I36" i="5"/>
  <c r="G36" i="5"/>
  <c r="J35" i="5"/>
  <c r="I35" i="5"/>
  <c r="G35" i="5"/>
  <c r="J34" i="5"/>
  <c r="I34" i="5"/>
  <c r="G34" i="5"/>
  <c r="J33" i="5"/>
  <c r="I33" i="5"/>
  <c r="G33" i="5"/>
  <c r="J32" i="5"/>
  <c r="I32" i="5"/>
  <c r="G32" i="5"/>
  <c r="J31" i="5"/>
  <c r="I31" i="5"/>
  <c r="G31" i="5"/>
  <c r="J30" i="5"/>
  <c r="I30" i="5"/>
  <c r="G30" i="5"/>
  <c r="J27" i="5"/>
  <c r="G27" i="5"/>
  <c r="J26" i="5"/>
  <c r="H26" i="5"/>
  <c r="G26" i="5"/>
  <c r="J25" i="5"/>
  <c r="I25" i="5"/>
  <c r="H25" i="5"/>
  <c r="G25" i="5"/>
  <c r="J24" i="5"/>
  <c r="H24" i="5"/>
  <c r="G24" i="5"/>
  <c r="J23" i="5"/>
  <c r="I23" i="5"/>
  <c r="H23" i="5"/>
  <c r="G23" i="5"/>
  <c r="J22" i="5"/>
  <c r="I22" i="5"/>
  <c r="H22" i="5"/>
  <c r="G22" i="5"/>
  <c r="J21" i="5"/>
  <c r="I21" i="5"/>
  <c r="H21" i="5"/>
  <c r="G21" i="5"/>
  <c r="G18" i="5"/>
  <c r="E18" i="5"/>
  <c r="F18" i="5" s="1"/>
  <c r="I18" i="5" s="1"/>
  <c r="J18" i="5" s="1"/>
  <c r="C15" i="4" s="1"/>
  <c r="G16" i="5"/>
  <c r="G65" i="5" s="1"/>
  <c r="J15" i="5"/>
  <c r="I15" i="5"/>
  <c r="G15" i="5"/>
  <c r="J14" i="5"/>
  <c r="I14" i="5"/>
  <c r="G14" i="5"/>
  <c r="I13" i="5"/>
  <c r="G13" i="5"/>
  <c r="H13" i="5" s="1"/>
  <c r="E13" i="5"/>
  <c r="E16" i="5" s="1"/>
  <c r="A7" i="5"/>
  <c r="C18" i="4"/>
  <c r="C17" i="4"/>
  <c r="C16" i="4"/>
  <c r="C14" i="4"/>
  <c r="C13" i="4"/>
  <c r="C12" i="4"/>
  <c r="B8" i="4"/>
  <c r="B7" i="4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7" i="3"/>
  <c r="F17" i="3"/>
  <c r="H16" i="3"/>
  <c r="H15" i="3"/>
  <c r="H14" i="3"/>
  <c r="H13" i="3"/>
  <c r="H12" i="3"/>
  <c r="F12" i="3"/>
  <c r="A7" i="3"/>
  <c r="J14" i="2"/>
  <c r="H14" i="2"/>
  <c r="F14" i="2"/>
  <c r="B7" i="2"/>
  <c r="B6" i="2"/>
  <c r="D24" i="1"/>
  <c r="D23" i="1"/>
  <c r="D19" i="1"/>
  <c r="D18" i="1"/>
  <c r="D17" i="1"/>
  <c r="D8" i="1"/>
  <c r="B7" i="1"/>
  <c r="J44" i="5" l="1"/>
  <c r="J45" i="5" s="1"/>
  <c r="C25" i="4" s="1"/>
  <c r="G27" i="6"/>
  <c r="G44" i="5"/>
  <c r="E63" i="5"/>
  <c r="J13" i="5"/>
  <c r="J16" i="5" s="1"/>
  <c r="H15" i="5"/>
  <c r="E64" i="5"/>
  <c r="H14" i="5"/>
  <c r="G62" i="5"/>
  <c r="G28" i="6" l="1"/>
  <c r="G46" i="5"/>
  <c r="H45" i="5"/>
  <c r="G45" i="5"/>
  <c r="J64" i="5"/>
  <c r="C21" i="4"/>
  <c r="C11" i="4"/>
  <c r="J62" i="5"/>
  <c r="C23" i="4"/>
  <c r="J63" i="5"/>
  <c r="H35" i="5" l="1"/>
  <c r="H32" i="5"/>
  <c r="H43" i="5"/>
  <c r="H40" i="5"/>
  <c r="H36" i="5"/>
  <c r="H33" i="5"/>
  <c r="H30" i="5"/>
  <c r="H37" i="5"/>
  <c r="H34" i="5"/>
  <c r="H31" i="5"/>
  <c r="H38" i="5"/>
  <c r="H42" i="5"/>
  <c r="H41" i="5"/>
  <c r="G66" i="5"/>
  <c r="G67" i="5" s="1"/>
  <c r="H39" i="5"/>
  <c r="H44" i="5"/>
  <c r="J46" i="5"/>
  <c r="C26" i="4" s="1"/>
  <c r="H46" i="5"/>
  <c r="J65" i="5"/>
  <c r="J66" i="5" s="1"/>
  <c r="J67" i="5" s="1"/>
  <c r="C22" i="4"/>
  <c r="C19" i="4"/>
  <c r="C20" i="4"/>
  <c r="C24" i="4" l="1"/>
  <c r="D22" i="4"/>
  <c r="D17" i="4" l="1"/>
  <c r="D13" i="4"/>
  <c r="C29" i="4"/>
  <c r="C27" i="4"/>
  <c r="D24" i="4"/>
  <c r="D18" i="4"/>
  <c r="D16" i="4"/>
  <c r="D14" i="4"/>
  <c r="D12" i="4"/>
  <c r="D15" i="4"/>
  <c r="D11" i="4"/>
  <c r="D20" i="4"/>
  <c r="C33" i="4" l="1"/>
  <c r="C37" i="4" s="1"/>
  <c r="C35" i="4"/>
  <c r="C32" i="4"/>
  <c r="C34" i="4"/>
  <c r="C30" i="4"/>
  <c r="C36" i="4" l="1"/>
  <c r="C38" i="4" l="1"/>
  <c r="C39" i="4" l="1"/>
  <c r="C40" i="4" l="1"/>
  <c r="E17" i="4" l="1"/>
  <c r="E13" i="4"/>
  <c r="E25" i="4"/>
  <c r="C41" i="4"/>
  <c r="D11" i="7" s="1"/>
  <c r="E18" i="4"/>
  <c r="E16" i="4"/>
  <c r="E14" i="4"/>
  <c r="E40" i="4"/>
  <c r="E31" i="4"/>
  <c r="E26" i="4"/>
  <c r="E12" i="4"/>
  <c r="E15" i="4"/>
  <c r="E11" i="4"/>
  <c r="E20" i="4"/>
  <c r="E22" i="4"/>
  <c r="E24" i="4"/>
  <c r="E29" i="4"/>
  <c r="E27" i="4"/>
  <c r="E30" i="4"/>
  <c r="E33" i="4"/>
  <c r="E32" i="4"/>
  <c r="E35" i="4"/>
  <c r="E37" i="4"/>
  <c r="E34" i="4"/>
  <c r="E36" i="4"/>
  <c r="E38" i="4"/>
  <c r="E39" i="4"/>
</calcChain>
</file>

<file path=xl/sharedStrings.xml><?xml version="1.0" encoding="utf-8"?>
<sst xmlns="http://schemas.openxmlformats.org/spreadsheetml/2006/main" count="469" uniqueCount="279">
  <si>
    <t>Приложение № 1</t>
  </si>
  <si>
    <t>Сравнительная таблица отбора объекта-представителя</t>
  </si>
  <si>
    <t xml:space="preserve">Сопоставимый уровень цен: </t>
  </si>
  <si>
    <t>Единица измерения  — 1 ПС</t>
  </si>
  <si>
    <t>№ п/п</t>
  </si>
  <si>
    <t>Параметр</t>
  </si>
  <si>
    <t>Объект-представитель 1</t>
  </si>
  <si>
    <t>Объект-представитель 2</t>
  </si>
  <si>
    <t>Объект-представитель 3</t>
  </si>
  <si>
    <t>Наименование объекта-представителя</t>
  </si>
  <si>
    <t>ПС 220 кВ Степная</t>
  </si>
  <si>
    <t>Наименование субъекта Российской Федерации</t>
  </si>
  <si>
    <t>Республика Хакасия</t>
  </si>
  <si>
    <t>Климатический район и подрайон</t>
  </si>
  <si>
    <t>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</si>
  <si>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</si>
  <si>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</si>
  <si>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Межсетевой экран - 3 шт
Межсетевой экран с функцией шифрования - 2 шт
Средство обнаружения вторжений - 1 шт
Средство антивирусной защиты - 16 шт
Средство защиты от НСД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</si>
  <si>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</si>
  <si>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</si>
  <si>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</si>
  <si>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</si>
  <si>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</si>
  <si>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</si>
  <si>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</si>
  <si>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</si>
  <si>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</si>
  <si>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</si>
  <si>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2021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</si>
  <si>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</si>
  <si>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</si>
  <si>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</si>
  <si>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Выбран объектом-представителем с учетом минимальной удельной стоимости 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</si>
  <si>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</si>
  <si>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</si>
  <si>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</si>
  <si>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</si>
  <si>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</si>
  <si>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</si>
  <si>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</si>
  <si>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</si>
  <si>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</si>
  <si>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2021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</si>
  <si>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</si>
  <si>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</si>
  <si>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</si>
  <si>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</si>
  <si>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</si>
  <si>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ПАК информационной безопасности для защиты ПС 220 кВ</t>
  </si>
  <si>
    <t>Всего по объекту:</t>
  </si>
  <si>
    <t>Всего по объекту в сопоставимом уровне цен 3 кв. 2021г: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</si>
  <si>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</si>
  <si>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</si>
  <si>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</si>
  <si>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</si>
  <si>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</si>
  <si>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</si>
  <si>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</si>
  <si>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</si>
  <si>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</si>
  <si>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</si>
  <si>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</si>
  <si>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</si>
  <si>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</si>
  <si>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2-0011</t>
  </si>
  <si>
    <t>Инженер I категории</t>
  </si>
  <si>
    <t>чел.-ч</t>
  </si>
  <si>
    <t>2-0012</t>
  </si>
  <si>
    <t>Инженер II категории</t>
  </si>
  <si>
    <t>1-0038</t>
  </si>
  <si>
    <t>Рабочий среднего разряда 3,8</t>
  </si>
  <si>
    <t>1-0031</t>
  </si>
  <si>
    <t>Рабочий среднего разряда 3,1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</si>
  <si>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</si>
  <si>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</si>
  <si>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</si>
  <si>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</si>
  <si>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маш.-ч.</t>
  </si>
  <si>
    <t>91.14.02-001</t>
  </si>
  <si>
    <t>Автомобили бортовые, грузоподъемность до 5 т</t>
  </si>
  <si>
    <t>91.21.19-031</t>
  </si>
  <si>
    <t>Станки сверлильные</t>
  </si>
  <si>
    <t>91.17.04-233</t>
  </si>
  <si>
    <t>Установки для сварки ручной дуговой (постоянного тока)</t>
  </si>
  <si>
    <t>Прайс из СД ОП</t>
  </si>
  <si>
    <t>Антивирусное ПО для серверов Kaspersky Industrial CyberSecurity for Nodes, Server Russian Edition. 5-9 Node 1 year Base License</t>
  </si>
  <si>
    <t>шт.</t>
  </si>
  <si>
    <t>Система обнаружения вторжений  ПАК ViPNet IDS NS1000 3.x</t>
  </si>
  <si>
    <t>Аппаратная платформа UserGate C150 с сертификатом ФСТЭК</t>
  </si>
  <si>
    <t>Антивирусное ПО для АРМ Kaspersky Industrial CyberSecurity for Nodes, Workstation Russian Edition. 5-9 Node 1 year Base License</t>
  </si>
  <si>
    <t>Аппаратная платформа UserGate C100 с сертификатом ФСТЭК</t>
  </si>
  <si>
    <t>Сертификат активации сервиса прямой технической поддержки ПАК ViPNet Coordinator HW1000 4.x на срок 1 год, уровень - Расширенный</t>
  </si>
  <si>
    <t>Шкаф ИБ (только металлоконструкция) 800х1000х2000 (ШхГхВ)</t>
  </si>
  <si>
    <t>шт</t>
  </si>
  <si>
    <t>Лицензия без ограничения числа пользователей для UserGate С150 (кластер, 1-я нода) с сертификатом ФСТЭК</t>
  </si>
  <si>
    <t>Модуль защиты от НСД и контроля устройств Средства защиты информации Secret Net Studio 8</t>
  </si>
  <si>
    <t>Лицензия без ограничения числа пользователей для UserGate C150 (кластер, 2-я нода) с сертификатом ФСТЭК</t>
  </si>
  <si>
    <t>Лицензия без ограничения числа пользователей для UserGate C100 с сертифика-том ФСТЭК</t>
  </si>
  <si>
    <t>Система обнаружения вторжений Kaspersky Industrial CyberSecurity for Networks, 1 year Base License</t>
  </si>
  <si>
    <t>Установочный комплект. Сертифицированное Средство защиты информации Secret Net Studio 8</t>
  </si>
  <si>
    <t>Материалы</t>
  </si>
  <si>
    <t>999-9950</t>
  </si>
  <si>
    <t>Вспомогательные ненормируемые ресурсы (2% от Оплаты труда рабочих)</t>
  </si>
  <si>
    <t>руб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</si>
  <si>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</si>
  <si>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</si>
  <si>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т</t>
  </si>
  <si>
    <t>07.2.07.13-0171</t>
  </si>
  <si>
    <t>Подкладки металлические</t>
  </si>
  <si>
    <t>кг</t>
  </si>
  <si>
    <t>25.2.02.11-0041</t>
  </si>
  <si>
    <t>Рамка для надписей 55x15 мм</t>
  </si>
  <si>
    <t>01.7.15.03-0034</t>
  </si>
  <si>
    <t>Болты с гайками и шайбами оцинкованные, диаметр 12 мм</t>
  </si>
  <si>
    <t>01.7.11.07-0032</t>
  </si>
  <si>
    <t>Электроды сварочные Э42, диаметр 4 мм</t>
  </si>
  <si>
    <t>Вспомогательные ненормируемые материальные ресурсы</t>
  </si>
  <si>
    <t>14.4.04.09-0017</t>
  </si>
  <si>
    <t>Эмаль ХВ-124, защитная, зеленая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</si>
  <si>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</si>
  <si>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</si>
  <si>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</si>
  <si>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</si>
  <si>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</si>
  <si>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</si>
  <si>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</si>
  <si>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</si>
  <si>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</si>
  <si>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</si>
  <si>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</si>
  <si>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</si>
  <si>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</si>
  <si>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</si>
  <si>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</si>
  <si>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</si>
  <si>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</si>
  <si>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</si>
  <si>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</si>
  <si>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</si>
  <si>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</si>
  <si>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</si>
  <si>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</si>
  <si>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</si>
  <si>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</si>
  <si>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</si>
  <si>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</si>
  <si>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</si>
  <si>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</si>
  <si>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</si>
  <si>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</si>
  <si>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</si>
  <si>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</si>
  <si>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 - 0.04%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</si>
  <si>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</si>
  <si>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 - 2.03%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</si>
  <si>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 - 0.15%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</si>
  <si>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</si>
  <si>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</si>
  <si>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</si>
  <si>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 - 3%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</si>
  <si>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</si>
  <si>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</si>
  <si>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</si>
  <si>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</si>
  <si>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</si>
  <si>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ПАК информационной безопасности для защиты ПС 220 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</si>
  <si>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</si>
  <si>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</si>
  <si>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</si>
  <si>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</si>
  <si>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</si>
  <si>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</si>
  <si>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1-0036</t>
  </si>
  <si>
    <t>Затраты труда рабочих-строителей среднего разряда (3.6)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</si>
  <si>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</si>
  <si>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</si>
  <si>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</si>
  <si>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</si>
  <si>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</si>
  <si>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</si>
  <si>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</si>
  <si>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</si>
  <si>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</si>
  <si>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</si>
  <si>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</si>
  <si>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</si>
  <si>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</si>
  <si>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Вспомогательные ненормируемые ресурсы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</si>
  <si>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</si>
  <si>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</si>
  <si>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</si>
  <si>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</si>
  <si>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</si>
  <si>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</si>
  <si>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</si>
  <si>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</si>
  <si>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</si>
  <si>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</si>
  <si>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</si>
  <si>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</si>
  <si>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</si>
  <si>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</si>
  <si>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</si>
  <si>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</si>
  <si>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</si>
  <si>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</si>
  <si>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</si>
  <si>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</si>
  <si>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</si>
  <si>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</si>
  <si>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</si>
  <si>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</si>
  <si>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</si>
  <si>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З1-03</t>
  </si>
  <si>
    <t>УНЦ постоянной части ПС 220 кВ</t>
  </si>
  <si>
    <t>З1_ПС_ПАК_220_кВ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</si>
  <si>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</si>
  <si>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</si>
  <si>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</si>
  <si>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</si>
  <si>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</si>
  <si>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</si>
  <si>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</si>
  <si>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</si>
  <si>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</si>
  <si>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</si>
  <si>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</si>
  <si>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</si>
  <si>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</si>
  <si>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</si>
  <si>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</si>
  <si>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</si>
  <si>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</si>
  <si>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</si>
  <si>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</si>
  <si>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Непредвиденные расходы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</si>
  <si>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</si>
  <si>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</si>
  <si>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</si>
  <si>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</si>
  <si>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</si>
  <si>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</si>
  <si>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</si>
  <si>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</si>
  <si>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</si>
  <si>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</si>
  <si>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</si>
  <si>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</si>
  <si>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</si>
  <si>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</si>
  <si>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</si>
  <si>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</si>
  <si>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</si>
  <si>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</si>
  <si>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</si>
  <si>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</si>
  <si>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</si>
  <si>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</si>
  <si>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</si>
  <si>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</si>
  <si>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</si>
  <si>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</si>
  <si>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</si>
  <si>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</si>
  <si>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</si>
  <si>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</si>
  <si>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</si>
  <si>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</si>
  <si>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</si>
  <si>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</si>
  <si>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</si>
  <si>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</si>
  <si>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</si>
  <si>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1.8</t>
  </si>
  <si>
    <r>
      <t>Размер средств на оплату труда Инженера I категории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</si>
  <si>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r>
      <t>ФОТи</t>
    </r>
    <r>
      <rPr>
        <vertAlign val="subscript"/>
        <sz val="11"/>
        <color rgb="FF000000"/>
        <rFont val="Calibri"/>
      </rPr>
      <t>.тек.</t>
    </r>
  </si>
  <si>
    <t>1.9</t>
  </si>
  <si>
    <r>
      <t>Размер средств на оплату труда Инженера II категории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</si>
  <si>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Методика расчета индексов изменения сметной стоимости строительства, утвержденной приказом Минстроя России от 05.06.2019 №326/пр, п.32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</si>
</sst>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"/>
  </numFmts>
  <fonts count="18" x14ac:knownFonts="1">
    <font>
      <sz val="11"/>
      <color rgb="FF000000"/>
      <name val="Calibri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0"/>
      <color rgb="FF0563C1"/>
      <name val="Arial Cyr"/>
    </font>
    <font>
      <u/>
      <sz val="11"/>
      <color rgb="FF0563C1"/>
      <name val="Calibri"/>
    </font>
    <font>
      <b/>
      <sz val="11"/>
      <color rgb="FF00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8"/>
      <color rgb="FF000000"/>
      <name val="Arial"/>
    </font>
    <font>
      <b/>
      <sz val="11"/>
      <color rgb="FFC00000"/>
      <name val="Arial"/>
    </font>
    <font>
      <sz val="12"/>
      <color rgb="FFFF0000"/>
      <name val="Times New Roman"/>
    </font>
    <font>
      <b/>
      <sz val="12"/>
      <color rgb="FF000000"/>
      <name val="Times New Roman"/>
    </font>
    <font>
      <vertAlign val="superscript"/>
      <sz val="14"/>
      <color rgb="FF000000"/>
      <name val="Times New Roman"/>
    </font>
    <font>
      <b/>
      <sz val="11"/>
      <color rgb="FF000000"/>
      <name val="Arial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164" fontId="0" fillId="0" borderId="0" xfId="0" applyNumberFormat="1"/>
    <xf numFmtId="4" fontId="0" fillId="0" borderId="0" xfId="0" applyNumberFormat="1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64" fontId="1" fillId="0" borderId="0" xfId="0" applyNumberFormat="1" applyFont="1"/>
    <xf numFmtId="168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1" fillId="0" borderId="0" xfId="0" applyNumberFormat="1" applyFont="1"/>
    <xf numFmtId="4" fontId="1" fillId="0" borderId="0" xfId="0" applyNumberFormat="1" applyFont="1"/>
    <xf numFmtId="4" fontId="2" fillId="0" borderId="1" xfId="0" applyNumberFormat="1" applyFont="1" applyBorder="1" applyAlignment="1">
      <alignment horizontal="center" vertical="center" wrapText="1"/>
    </xf>
    <xf numFmtId="10" fontId="2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top" wrapText="1"/>
    </xf>
    <xf numFmtId="167" fontId="1" fillId="0" borderId="0" xfId="0" applyNumberFormat="1" applyFont="1"/>
    <xf numFmtId="0" fontId="1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" xfId="0" applyBorder="1"/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vertical="top"/>
    </xf>
    <xf numFmtId="0" fontId="13" fillId="0" borderId="0" xfId="0" applyFont="1"/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vertical="top"/>
    </xf>
    <xf numFmtId="0" fontId="9" fillId="0" borderId="1" xfId="0" applyFont="1" applyBorder="1"/>
    <xf numFmtId="0" fontId="14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6" fontId="9" fillId="0" borderId="1" xfId="0" applyNumberFormat="1" applyFont="1" applyBorder="1" applyAlignment="1">
      <alignment horizontal="right" vertical="center"/>
    </xf>
    <xf numFmtId="166" fontId="9" fillId="0" borderId="1" xfId="0" applyNumberFormat="1" applyFont="1" applyBorder="1" applyAlignment="1">
      <alignment horizontal="right" vertical="center" wrapText="1"/>
    </xf>
    <xf numFmtId="166" fontId="13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top" wrapText="1"/>
    </xf>
    <xf numFmtId="167" fontId="15" fillId="0" borderId="0" xfId="0" applyNumberFormat="1" applyFont="1"/>
    <xf numFmtId="4" fontId="9" fillId="0" borderId="0" xfId="0" applyNumberFormat="1" applyFont="1" applyAlignment="1">
      <alignment horizontal="left"/>
    </xf>
    <xf numFmtId="4" fontId="2" fillId="0" borderId="1" xfId="0" applyNumberFormat="1" applyFont="1" applyBorder="1" applyAlignment="1">
      <alignment horizontal="left" vertical="center" wrapText="1"/>
    </xf>
    <xf numFmtId="10" fontId="0" fillId="0" borderId="0" xfId="0" applyNumberFormat="1"/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1" xfId="0" quotePrefix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 wrapText="1"/>
    </xf>
    <xf numFmtId="170" fontId="9" fillId="0" borderId="0" xfId="0" applyNumberFormat="1" applyFont="1"/>
    <xf numFmtId="4" fontId="9" fillId="0" borderId="1" xfId="0" applyNumberFormat="1" applyFont="1" applyBorder="1" applyAlignment="1">
      <alignment horizontal="center" vertical="center"/>
    </xf>
    <xf numFmtId="4" fontId="9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10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8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10" fontId="2" fillId="2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right" vertical="center" wrapText="1"/>
    </xf>
    <xf numFmtId="166" fontId="9" fillId="0" borderId="5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166" fontId="13" fillId="0" borderId="6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10" fontId="2" fillId="2" borderId="5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327025</xdr:colOff>
      <xdr:row>28</xdr:row>
      <xdr:rowOff>222250</xdr:rowOff>
    </xdr:from>
    <xdr:to>
      <xdr:col>2</xdr:col>
      <xdr:colOff>1271827</xdr:colOff>
      <xdr:row>31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7FD6FB8-B63B-4C11-8E9F-80B35371D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10290175"/>
          <a:ext cx="944802" cy="511513"/>
        </a:xfrm>
        <a:prstGeom prst="rect">
          <a:avLst/>
        </a:prstGeom>
      </xdr:spPr>
    </xdr:pic>
    <xdr:clientData/>
  </xdr:twoCellAnchor>
  <xdr:twoCellAnchor editAs="oneCell">
    <xdr:from>
      <xdr:col>2</xdr:col>
      <xdr:colOff>460375</xdr:colOff>
      <xdr:row>26</xdr:row>
      <xdr:rowOff>6350</xdr:rowOff>
    </xdr:from>
    <xdr:to>
      <xdr:col>2</xdr:col>
      <xdr:colOff>1126994</xdr:colOff>
      <xdr:row>29</xdr:row>
      <xdr:rowOff>3175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00258F8-5D12-4723-9BBC-08890D9BF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9575" y="9674225"/>
          <a:ext cx="666619" cy="68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444500</xdr:colOff>
      <xdr:row>18</xdr:row>
      <xdr:rowOff>168275</xdr:rowOff>
    </xdr:from>
    <xdr:to>
      <xdr:col>2</xdr:col>
      <xdr:colOff>1389302</xdr:colOff>
      <xdr:row>20</xdr:row>
      <xdr:rowOff>194013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97AFC6-E0EF-43DF-85C1-E4C20111C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2875" y="5851525"/>
          <a:ext cx="944802" cy="517863"/>
        </a:xfrm>
        <a:prstGeom prst="rect">
          <a:avLst/>
        </a:prstGeom>
      </xdr:spPr>
    </xdr:pic>
    <xdr:clientData/>
  </xdr:twoCellAnchor>
  <xdr:twoCellAnchor editAs="oneCell">
    <xdr:from>
      <xdr:col>2</xdr:col>
      <xdr:colOff>577850</xdr:colOff>
      <xdr:row>15</xdr:row>
      <xdr:rowOff>152400</xdr:rowOff>
    </xdr:from>
    <xdr:to>
      <xdr:col>2</xdr:col>
      <xdr:colOff>1244469</xdr:colOff>
      <xdr:row>18</xdr:row>
      <xdr:rowOff>234950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2342D36-2A2C-4D4F-8429-AC735EF13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5216525"/>
          <a:ext cx="666619" cy="701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312964</xdr:colOff>
      <xdr:row>52</xdr:row>
      <xdr:rowOff>64354</xdr:rowOff>
    </xdr:from>
    <xdr:to>
      <xdr:col>2</xdr:col>
      <xdr:colOff>1257766</xdr:colOff>
      <xdr:row>54</xdr:row>
      <xdr:rowOff>198763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2602380-FCEC-402B-A7BA-82E3EBF75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28" y="16841961"/>
          <a:ext cx="944802" cy="542623"/>
        </a:xfrm>
        <a:prstGeom prst="rect">
          <a:avLst/>
        </a:prstGeom>
      </xdr:spPr>
    </xdr:pic>
    <xdr:clientData/>
  </xdr:twoCellAnchor>
  <xdr:twoCellAnchor editAs="oneCell">
    <xdr:from>
      <xdr:col>2</xdr:col>
      <xdr:colOff>446314</xdr:colOff>
      <xdr:row>49</xdr:row>
      <xdr:rowOff>40821</xdr:rowOff>
    </xdr:from>
    <xdr:to>
      <xdr:col>2</xdr:col>
      <xdr:colOff>1112933</xdr:colOff>
      <xdr:row>52</xdr:row>
      <xdr:rowOff>131029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C390A4E-2EC8-418F-B636-CF82076A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2278" y="16206107"/>
          <a:ext cx="666619" cy="702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114300</xdr:rowOff>
    </xdr:from>
    <xdr:to>
      <xdr:col>1</xdr:col>
      <xdr:colOff>1725852</xdr:colOff>
      <xdr:row>46</xdr:row>
      <xdr:rowOff>67013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A2CFAFB-F151-49AC-B02B-916BE00B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9157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914400</xdr:colOff>
      <xdr:row>40</xdr:row>
      <xdr:rowOff>123825</xdr:rowOff>
    </xdr:from>
    <xdr:to>
      <xdr:col>1</xdr:col>
      <xdr:colOff>1581019</xdr:colOff>
      <xdr:row>44</xdr:row>
      <xdr:rowOff>57150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2561506-F544-4655-BBE8-E3FF4559E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11353800"/>
          <a:ext cx="666619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509227</xdr:colOff>
      <xdr:row>70</xdr:row>
      <xdr:rowOff>106776</xdr:rowOff>
    </xdr:from>
    <xdr:to>
      <xdr:col>1</xdr:col>
      <xdr:colOff>1459472</xdr:colOff>
      <xdr:row>73</xdr:row>
      <xdr:rowOff>59489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8C22B4E-B46F-4162-8B2A-8B2F62F89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227" y="17360633"/>
          <a:ext cx="950245" cy="483392"/>
        </a:xfrm>
        <a:prstGeom prst="rect">
          <a:avLst/>
        </a:prstGeom>
      </xdr:spPr>
    </xdr:pic>
    <xdr:clientData/>
  </xdr:twoCellAnchor>
  <xdr:twoCellAnchor editAs="oneCell">
    <xdr:from>
      <xdr:col>1</xdr:col>
      <xdr:colOff>642577</xdr:colOff>
      <xdr:row>67</xdr:row>
      <xdr:rowOff>49626</xdr:rowOff>
    </xdr:from>
    <xdr:to>
      <xdr:col>1</xdr:col>
      <xdr:colOff>1295589</xdr:colOff>
      <xdr:row>70</xdr:row>
      <xdr:rowOff>173452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35D1E46-AD34-4B0C-887C-D7C1254F6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577" y="16759197"/>
          <a:ext cx="653012" cy="6681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30</xdr:row>
      <xdr:rowOff>85725</xdr:rowOff>
    </xdr:from>
    <xdr:to>
      <xdr:col>2</xdr:col>
      <xdr:colOff>325677</xdr:colOff>
      <xdr:row>33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1ED82E8-DF65-49D2-BCF6-468822407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10639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542925</xdr:colOff>
      <xdr:row>27</xdr:row>
      <xdr:rowOff>190500</xdr:rowOff>
    </xdr:from>
    <xdr:to>
      <xdr:col>2</xdr:col>
      <xdr:colOff>218944</xdr:colOff>
      <xdr:row>31</xdr:row>
      <xdr:rowOff>66675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F535D5E-31D3-417F-99D9-9AF813C20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0115550"/>
          <a:ext cx="666619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13</xdr:row>
      <xdr:rowOff>85725</xdr:rowOff>
    </xdr:from>
    <xdr:to>
      <xdr:col>1</xdr:col>
      <xdr:colOff>840027</xdr:colOff>
      <xdr:row>16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6E0E40-A3E3-4532-B224-1BDB5779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3448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838200</xdr:colOff>
      <xdr:row>10</xdr:row>
      <xdr:rowOff>781050</xdr:rowOff>
    </xdr:from>
    <xdr:to>
      <xdr:col>1</xdr:col>
      <xdr:colOff>657094</xdr:colOff>
      <xdr:row>14</xdr:row>
      <xdr:rowOff>104775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8EADE6B-6AB2-4D7A-A374-F6D0AD230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962275"/>
          <a:ext cx="666619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136525</xdr:rowOff>
    </xdr:from>
    <xdr:to>
      <xdr:col>1</xdr:col>
      <xdr:colOff>1754427</xdr:colOff>
      <xdr:row>29</xdr:row>
      <xdr:rowOff>89238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458FEB1-CDF7-41A9-A176-C10C3A34B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7661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23</xdr:row>
      <xdr:rowOff>79375</xdr:rowOff>
    </xdr:from>
    <xdr:to>
      <xdr:col>1</xdr:col>
      <xdr:colOff>1609594</xdr:colOff>
      <xdr:row>27</xdr:row>
      <xdr:rowOff>12700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93CF4A7-F956-4F29-BF8F-79D26F4F0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575" y="8137525"/>
          <a:ext cx="666619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4"/>
  <sheetViews>
    <sheetView view="pageBreakPreview" topLeftCell="A17" zoomScaleNormal="85" zoomScaleSheetLayoutView="100" workbookViewId="0">
      <selection activeCell="C30" sqref="C30"/>
    </sheetView>
  </sheetViews>
  <sheetFormatPr defaultRowHeight="15.75" x14ac:dyDescent="0.25"/>
  <cols>
    <col min="1" max="2" width="9.140625" style="62" customWidth="1"/>
    <col min="3" max="3" width="36.85546875" style="62" customWidth="1"/>
    <col min="4" max="4" width="36.5703125" style="62" customWidth="1"/>
    <col min="5" max="6" width="36.5703125" style="62" hidden="1" customWidth="1"/>
    <col min="7" max="7" width="14.28515625" customWidth="1"/>
    <col min="8" max="8" width="12.140625" customWidth="1"/>
    <col min="9" max="9" width="12.28515625" customWidth="1"/>
    <col min="10" max="10" width="15" customWidth="1"/>
    <col min="11" max="11" width="9.140625" customWidth="1"/>
  </cols>
  <sheetData>
    <row r="1" spans="2:11" x14ac:dyDescent="0.25">
      <c r="G1" s="62"/>
      <c r="H1" s="62"/>
      <c r="I1" s="62"/>
      <c r="J1" s="62"/>
      <c r="K1" s="62"/>
    </row>
    <row r="2" spans="2:11" x14ac:dyDescent="0.25">
      <c r="G2" s="62"/>
      <c r="H2" s="62"/>
      <c r="I2" s="62"/>
      <c r="J2" s="62"/>
      <c r="K2" s="62"/>
    </row>
    <row r="3" spans="2:11" x14ac:dyDescent="0.25">
      <c r="B3" s="129" t="s">
        <v>0</v>
      </c>
      <c r="C3" s="129"/>
      <c r="D3" s="129"/>
      <c r="E3" s="129"/>
      <c r="F3" s="129"/>
      <c r="G3" s="62"/>
      <c r="H3" s="62"/>
      <c r="I3" s="62"/>
      <c r="J3" s="62"/>
      <c r="K3" s="62"/>
    </row>
    <row r="4" spans="2:11" x14ac:dyDescent="0.25">
      <c r="B4" s="130" t="s">
        <v>1</v>
      </c>
      <c r="C4" s="130"/>
      <c r="D4" s="130"/>
      <c r="E4" s="130"/>
      <c r="F4" s="130"/>
      <c r="G4" s="62"/>
      <c r="H4" s="62"/>
      <c r="I4" s="62"/>
      <c r="J4" s="62"/>
      <c r="K4" s="62"/>
    </row>
    <row r="5" spans="2:11" x14ac:dyDescent="0.25">
      <c r="B5" s="72"/>
      <c r="C5" s="72"/>
      <c r="D5" s="72"/>
      <c r="E5" s="72"/>
      <c r="F5" s="72"/>
      <c r="G5" s="62"/>
      <c r="H5" s="62"/>
      <c r="I5" s="62"/>
      <c r="J5" s="62"/>
      <c r="K5" s="62"/>
    </row>
    <row r="6" spans="2:11" x14ac:dyDescent="0.25">
      <c r="B6" s="72"/>
      <c r="C6" s="72"/>
      <c r="D6" s="72"/>
      <c r="E6" s="72"/>
      <c r="F6" s="72"/>
      <c r="G6" s="62"/>
      <c r="H6" s="62"/>
      <c r="I6" s="62"/>
      <c r="J6" s="62"/>
      <c r="K6" s="62"/>
    </row>
    <row r="7" spans="2:11" ht="31.5" customHeight="1" x14ac:dyDescent="0.25">
      <c r="B7" s="128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ПАК информационной безопасности для защиты ПС 220 кВ</v>
      </c>
      <c r="C7" s="128"/>
      <c r="D7" s="128"/>
      <c r="E7" s="128"/>
      <c r="F7" s="128"/>
      <c r="G7" s="73"/>
      <c r="H7" s="62"/>
      <c r="I7" s="62"/>
      <c r="J7" s="62"/>
      <c r="K7" s="62"/>
    </row>
    <row r="8" spans="2:11" ht="15.75" customHeight="1" x14ac:dyDescent="0.25">
      <c r="B8" s="71" t="s">
        <v>2</v>
      </c>
      <c r="C8" s="71"/>
      <c r="D8" s="71" t="str">
        <f>D22</f>
        <v>3 квартал 2021 г</v>
      </c>
      <c r="E8" s="71"/>
      <c r="F8" s="71"/>
      <c r="G8" s="62"/>
      <c r="H8" s="62"/>
      <c r="I8" s="62"/>
      <c r="J8" s="62"/>
      <c r="K8" s="62"/>
    </row>
    <row r="9" spans="2:11" ht="15.75" customHeight="1" x14ac:dyDescent="0.25">
      <c r="B9" s="128" t="s">
        <v>3</v>
      </c>
      <c r="C9" s="128"/>
      <c r="D9" s="128"/>
      <c r="E9" s="128"/>
      <c r="F9" s="128"/>
      <c r="G9" s="73"/>
      <c r="H9" s="62"/>
      <c r="I9" s="62"/>
      <c r="J9" s="62"/>
      <c r="K9" s="62"/>
    </row>
    <row r="10" spans="2:11" x14ac:dyDescent="0.25">
      <c r="B10" s="70"/>
      <c r="G10" s="62"/>
      <c r="H10" s="62"/>
      <c r="I10" s="62"/>
      <c r="J10" s="62"/>
      <c r="K10" s="62"/>
    </row>
    <row r="11" spans="2:11" x14ac:dyDescent="0.25">
      <c r="B11" s="37" t="s">
        <v>4</v>
      </c>
      <c r="C11" s="37" t="s">
        <v>5</v>
      </c>
      <c r="D11" s="37" t="s">
        <v>6</v>
      </c>
      <c r="E11" s="37" t="s">
        <v>7</v>
      </c>
      <c r="F11" s="37" t="s">
        <v>8</v>
      </c>
      <c r="G11" s="73"/>
      <c r="H11" s="62"/>
      <c r="I11" s="62"/>
      <c r="J11" s="62"/>
      <c r="K11" s="62"/>
    </row>
    <row r="12" spans="2:11" ht="31.5" customHeight="1" x14ac:dyDescent="0.25">
      <c r="B12" s="37">
        <v>1</v>
      </c>
      <c r="C12" s="74" t="s">
        <v>9</v>
      </c>
      <c r="D12" s="37" t="s">
        <v>10</v>
      </c>
      <c r="E12" s="37"/>
      <c r="F12" s="37"/>
      <c r="G12" s="62"/>
      <c r="H12" s="62"/>
      <c r="I12" s="62"/>
      <c r="J12" s="62"/>
      <c r="K12" s="62"/>
    </row>
    <row r="13" spans="2:11" ht="31.5" customHeight="1" x14ac:dyDescent="0.25">
      <c r="B13" s="37">
        <v>2</v>
      </c>
      <c r="C13" s="74" t="s">
        <v>11</v>
      </c>
      <c r="D13" s="37" t="s">
        <v>12</v>
      </c>
      <c r="E13" s="37"/>
      <c r="F13" s="37"/>
      <c r="G13" s="62"/>
      <c r="H13" s="62"/>
      <c r="I13" s="62"/>
      <c r="J13" s="62"/>
      <c r="K13" s="62"/>
    </row>
    <row r="14" spans="2:11" x14ac:dyDescent="0.25">
      <c r="B14" s="37">
        <v>3</v>
      </c>
      <c r="C14" s="74" t="s">
        <v>13</v>
      </c>
      <c r="D14" s="37" t="s">
        <v>14</v>
      </c>
      <c r="E14" s="37"/>
      <c r="F14" s="37"/>
      <c r="G14" s="62"/>
      <c r="H14" s="62"/>
      <c r="I14" s="62"/>
      <c r="J14" s="62"/>
      <c r="K14" s="62"/>
    </row>
    <row r="15" spans="2:11" x14ac:dyDescent="0.25">
      <c r="B15" s="37">
        <v>4</v>
      </c>
      <c r="C15" s="74" t="s">
        <v>15</v>
      </c>
      <c r="D15" s="37">
        <v>1</v>
      </c>
      <c r="E15" s="37"/>
      <c r="F15" s="37"/>
      <c r="G15" s="62"/>
      <c r="H15" s="62"/>
      <c r="I15" s="62"/>
      <c r="J15" s="62"/>
      <c r="K15" s="62"/>
    </row>
    <row r="16" spans="2:11" ht="134.25" customHeight="1" x14ac:dyDescent="0.25">
      <c r="B16" s="37">
        <v>5</v>
      </c>
      <c r="C16" s="75" t="s">
        <v>16</v>
      </c>
      <c r="D16" s="37" t="s">
        <v>17</v>
      </c>
      <c r="E16" s="37"/>
      <c r="F16" s="37"/>
      <c r="G16" s="62"/>
      <c r="H16" s="62"/>
      <c r="I16" s="62"/>
      <c r="J16" s="62"/>
      <c r="K16" s="62"/>
    </row>
    <row r="17" spans="2:11" ht="82.5" customHeight="1" x14ac:dyDescent="0.25">
      <c r="B17" s="37">
        <v>6</v>
      </c>
      <c r="C17" s="75" t="s">
        <v>18</v>
      </c>
      <c r="D17" s="108">
        <f>D18+D19</f>
        <v>21104.704692200001</v>
      </c>
      <c r="E17" s="108"/>
      <c r="F17" s="108"/>
      <c r="G17" s="76"/>
      <c r="H17" s="62"/>
      <c r="I17" s="62"/>
      <c r="J17" s="62"/>
      <c r="K17" s="62"/>
    </row>
    <row r="18" spans="2:11" x14ac:dyDescent="0.25">
      <c r="B18" s="77" t="s">
        <v>19</v>
      </c>
      <c r="C18" s="74" t="s">
        <v>20</v>
      </c>
      <c r="D18" s="108">
        <f>'Прил.2 Расч стоим'!F14</f>
        <v>143.75422499999999</v>
      </c>
      <c r="E18" s="108"/>
      <c r="F18" s="108"/>
      <c r="G18" s="62"/>
      <c r="H18" s="62"/>
      <c r="I18" s="62"/>
      <c r="J18" s="62"/>
      <c r="K18" s="62"/>
    </row>
    <row r="19" spans="2:11" x14ac:dyDescent="0.25">
      <c r="B19" s="77" t="s">
        <v>21</v>
      </c>
      <c r="C19" s="74" t="s">
        <v>22</v>
      </c>
      <c r="D19" s="108">
        <f>'Прил.2 Расч стоим'!H14</f>
        <v>20960.9504672</v>
      </c>
      <c r="E19" s="108"/>
      <c r="F19" s="108"/>
      <c r="G19" s="62"/>
      <c r="H19" s="62"/>
      <c r="I19" s="62"/>
      <c r="J19" s="62"/>
      <c r="K19" s="62"/>
    </row>
    <row r="20" spans="2:11" x14ac:dyDescent="0.25">
      <c r="B20" s="77" t="s">
        <v>23</v>
      </c>
      <c r="C20" s="74" t="s">
        <v>24</v>
      </c>
      <c r="D20" s="108"/>
      <c r="E20" s="108"/>
      <c r="F20" s="108"/>
      <c r="G20" s="62"/>
      <c r="H20" s="62"/>
      <c r="I20" s="62"/>
      <c r="J20" s="62"/>
      <c r="K20" s="62"/>
    </row>
    <row r="21" spans="2:11" x14ac:dyDescent="0.25">
      <c r="B21" s="77" t="s">
        <v>25</v>
      </c>
      <c r="C21" s="78" t="s">
        <v>26</v>
      </c>
      <c r="D21" s="108"/>
      <c r="E21" s="108"/>
      <c r="F21" s="108"/>
      <c r="G21" s="62"/>
      <c r="H21" s="62"/>
      <c r="I21" s="62"/>
      <c r="J21" s="62"/>
      <c r="K21" s="62"/>
    </row>
    <row r="22" spans="2:11" x14ac:dyDescent="0.25">
      <c r="B22" s="37">
        <v>7</v>
      </c>
      <c r="C22" s="78" t="s">
        <v>27</v>
      </c>
      <c r="D22" s="37" t="s">
        <v>28</v>
      </c>
      <c r="E22" s="37"/>
      <c r="F22" s="37"/>
      <c r="G22" s="76"/>
      <c r="H22" s="62"/>
      <c r="I22" s="62"/>
      <c r="J22" s="62"/>
      <c r="K22" s="62"/>
    </row>
    <row r="23" spans="2:11" ht="119.25" customHeight="1" x14ac:dyDescent="0.25">
      <c r="B23" s="37">
        <v>8</v>
      </c>
      <c r="C23" s="79" t="s">
        <v>29</v>
      </c>
      <c r="D23" s="108">
        <f>D17</f>
        <v>21104.704692200001</v>
      </c>
      <c r="E23" s="108"/>
      <c r="F23" s="108"/>
      <c r="G23" s="62"/>
      <c r="H23" s="62"/>
      <c r="I23" s="62"/>
      <c r="J23" s="62"/>
      <c r="K23" s="62"/>
    </row>
    <row r="24" spans="2:11" ht="47.25" customHeight="1" x14ac:dyDescent="0.25">
      <c r="B24" s="37">
        <v>9</v>
      </c>
      <c r="C24" s="75" t="s">
        <v>30</v>
      </c>
      <c r="D24" s="108">
        <f>D17/D15</f>
        <v>21104.704692200001</v>
      </c>
      <c r="E24" s="108"/>
      <c r="F24" s="108"/>
      <c r="G24" s="76"/>
      <c r="H24" s="62"/>
      <c r="I24" s="62"/>
      <c r="J24" s="62"/>
      <c r="K24" s="62"/>
    </row>
    <row r="25" spans="2:11" ht="47.25" hidden="1" customHeight="1" x14ac:dyDescent="0.25">
      <c r="B25" s="37">
        <v>10</v>
      </c>
      <c r="C25" s="74" t="s">
        <v>31</v>
      </c>
      <c r="D25" s="74"/>
      <c r="E25" s="91"/>
      <c r="F25" s="74" t="s">
        <v>32</v>
      </c>
      <c r="G25" s="62"/>
      <c r="H25" s="62"/>
      <c r="I25" s="62"/>
      <c r="J25" s="62"/>
      <c r="K25" s="62"/>
    </row>
    <row r="26" spans="2:11" x14ac:dyDescent="0.25">
      <c r="B26" s="80"/>
      <c r="C26" s="81"/>
      <c r="D26" s="81"/>
      <c r="E26" s="81"/>
      <c r="F26" s="81"/>
      <c r="G26" s="62"/>
      <c r="H26" s="62"/>
      <c r="I26" s="62"/>
      <c r="J26" s="62"/>
      <c r="K26" s="62"/>
    </row>
    <row r="27" spans="2:11" x14ac:dyDescent="0.25">
      <c r="B27" s="71"/>
      <c r="G27" s="62"/>
      <c r="H27" s="62"/>
      <c r="I27" s="62"/>
      <c r="J27" s="62"/>
      <c r="K27" s="62"/>
    </row>
    <row r="28" spans="2:11" x14ac:dyDescent="0.25">
      <c r="B28" s="62" t="s">
        <v>33</v>
      </c>
      <c r="G28" s="62"/>
      <c r="H28" s="62"/>
      <c r="I28" s="62"/>
      <c r="J28" s="62"/>
      <c r="K28" s="62"/>
    </row>
    <row r="29" spans="2:11" ht="22.5" customHeight="1" x14ac:dyDescent="0.25">
      <c r="B29" s="92" t="s">
        <v>34</v>
      </c>
      <c r="G29" s="62"/>
      <c r="H29" s="62"/>
      <c r="I29" s="62"/>
      <c r="J29" s="62"/>
      <c r="K29" s="62"/>
    </row>
    <row r="30" spans="2:11" x14ac:dyDescent="0.25">
      <c r="G30" s="62"/>
      <c r="H30" s="62"/>
      <c r="I30" s="62"/>
      <c r="J30" s="62"/>
      <c r="K30" s="62"/>
    </row>
    <row r="31" spans="2:11" x14ac:dyDescent="0.25">
      <c r="B31" s="62" t="s">
        <v>35</v>
      </c>
      <c r="G31" s="62"/>
      <c r="H31" s="62"/>
      <c r="I31" s="62"/>
      <c r="J31" s="62"/>
      <c r="K31" s="62"/>
    </row>
    <row r="32" spans="2:11" ht="22.5" customHeight="1" x14ac:dyDescent="0.25">
      <c r="B32" s="92" t="s">
        <v>36</v>
      </c>
      <c r="G32" s="62"/>
      <c r="H32" s="62"/>
      <c r="I32" s="62"/>
      <c r="J32" s="62"/>
      <c r="K32" s="62"/>
    </row>
    <row r="33" spans="7:11" x14ac:dyDescent="0.25">
      <c r="G33" s="62"/>
      <c r="H33" s="62"/>
      <c r="I33" s="62"/>
      <c r="J33" s="62"/>
      <c r="K33" s="62"/>
    </row>
    <row r="34" spans="7:11" x14ac:dyDescent="0.25">
      <c r="G34" s="62"/>
      <c r="H34" s="62"/>
      <c r="I34" s="62"/>
      <c r="J34" s="62"/>
      <c r="K34" s="62"/>
    </row>
  </sheetData>
  <mergeCells count="4">
    <mergeCell ref="B9:F9"/>
    <mergeCell ref="B3:F3"/>
    <mergeCell ref="B4:F4"/>
    <mergeCell ref="B7:F7"/>
  </mergeCells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view="pageBreakPreview" zoomScale="60" zoomScaleNormal="100" workbookViewId="0">
      <selection activeCell="E17" sqref="E17"/>
    </sheetView>
  </sheetViews>
  <sheetFormatPr defaultRowHeight="15" x14ac:dyDescent="0.25"/>
  <cols>
    <col min="1" max="1" width="5.5703125" customWidth="1"/>
    <col min="2" max="2" width="9.140625" customWidth="1"/>
    <col min="3" max="3" width="35.28515625" customWidth="1"/>
    <col min="4" max="4" width="13.85546875" customWidth="1"/>
    <col min="5" max="5" width="24.8554687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9.140625" customWidth="1"/>
  </cols>
  <sheetData>
    <row r="1" spans="1:10" ht="15.7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</row>
    <row r="2" spans="1:10" ht="15.75" customHeight="1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 ht="15.75" customHeight="1" x14ac:dyDescent="0.25">
      <c r="A3" s="62"/>
      <c r="B3" s="129" t="s">
        <v>37</v>
      </c>
      <c r="C3" s="129"/>
      <c r="D3" s="129"/>
      <c r="E3" s="129"/>
      <c r="F3" s="129"/>
      <c r="G3" s="129"/>
      <c r="H3" s="129"/>
      <c r="I3" s="129"/>
      <c r="J3" s="129"/>
    </row>
    <row r="4" spans="1:10" ht="15.75" customHeight="1" x14ac:dyDescent="0.25">
      <c r="A4" s="62"/>
      <c r="B4" s="130" t="s">
        <v>38</v>
      </c>
      <c r="C4" s="130"/>
      <c r="D4" s="130"/>
      <c r="E4" s="130"/>
      <c r="F4" s="130"/>
      <c r="G4" s="130"/>
      <c r="H4" s="130"/>
      <c r="I4" s="130"/>
      <c r="J4" s="130"/>
    </row>
    <row r="5" spans="1:10" ht="15.75" customHeight="1" x14ac:dyDescent="0.25">
      <c r="A5" s="62"/>
      <c r="B5" s="72"/>
      <c r="C5" s="72"/>
      <c r="D5" s="72"/>
      <c r="E5" s="72"/>
      <c r="F5" s="72"/>
      <c r="G5" s="72"/>
      <c r="H5" s="72"/>
      <c r="I5" s="72"/>
      <c r="J5" s="72"/>
    </row>
    <row r="6" spans="1:10" ht="15.75" customHeight="1" x14ac:dyDescent="0.25">
      <c r="A6" s="62"/>
      <c r="B6" s="131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220 кВ</v>
      </c>
      <c r="C6" s="131"/>
      <c r="D6" s="131"/>
      <c r="E6" s="131"/>
      <c r="F6" s="131"/>
      <c r="G6" s="131"/>
      <c r="H6" s="131"/>
      <c r="I6" s="131"/>
      <c r="J6" s="131"/>
    </row>
    <row r="7" spans="1:10" ht="15.75" customHeight="1" x14ac:dyDescent="0.25">
      <c r="A7" s="62"/>
      <c r="B7" s="128" t="str">
        <f>'Прил.1 Сравнит табл'!B9</f>
        <v>Единица измерения  — 1 ПС</v>
      </c>
      <c r="C7" s="128"/>
      <c r="D7" s="128"/>
      <c r="E7" s="128"/>
      <c r="F7" s="128"/>
      <c r="G7" s="128"/>
      <c r="H7" s="128"/>
      <c r="I7" s="128"/>
      <c r="J7" s="128"/>
    </row>
    <row r="8" spans="1:10" ht="15.75" customHeight="1" x14ac:dyDescent="0.25">
      <c r="A8" s="62"/>
      <c r="B8" s="70"/>
      <c r="C8" s="62"/>
      <c r="D8" s="62"/>
      <c r="E8" s="62"/>
      <c r="F8" s="62"/>
      <c r="G8" s="62"/>
      <c r="H8" s="62"/>
      <c r="I8" s="62"/>
      <c r="J8" s="62"/>
    </row>
    <row r="9" spans="1:10" ht="15.75" customHeight="1" x14ac:dyDescent="0.25">
      <c r="A9" s="62"/>
      <c r="B9" s="135" t="s">
        <v>4</v>
      </c>
      <c r="C9" s="135" t="s">
        <v>39</v>
      </c>
      <c r="D9" s="135" t="s">
        <v>6</v>
      </c>
      <c r="E9" s="135"/>
      <c r="F9" s="135"/>
      <c r="G9" s="135"/>
      <c r="H9" s="135"/>
      <c r="I9" s="135"/>
      <c r="J9" s="135"/>
    </row>
    <row r="10" spans="1:10" ht="15.75" customHeight="1" x14ac:dyDescent="0.25">
      <c r="A10" s="62"/>
      <c r="B10" s="135"/>
      <c r="C10" s="135"/>
      <c r="D10" s="135" t="s">
        <v>40</v>
      </c>
      <c r="E10" s="135" t="s">
        <v>41</v>
      </c>
      <c r="F10" s="135" t="s">
        <v>42</v>
      </c>
      <c r="G10" s="135"/>
      <c r="H10" s="135"/>
      <c r="I10" s="135"/>
      <c r="J10" s="135"/>
    </row>
    <row r="11" spans="1:10" ht="63" customHeight="1" x14ac:dyDescent="0.25">
      <c r="A11" s="62"/>
      <c r="B11" s="135"/>
      <c r="C11" s="135"/>
      <c r="D11" s="135"/>
      <c r="E11" s="135"/>
      <c r="F11" s="37" t="s">
        <v>43</v>
      </c>
      <c r="G11" s="37" t="s">
        <v>44</v>
      </c>
      <c r="H11" s="37" t="s">
        <v>45</v>
      </c>
      <c r="I11" s="37" t="s">
        <v>46</v>
      </c>
      <c r="J11" s="37" t="s">
        <v>47</v>
      </c>
    </row>
    <row r="12" spans="1:10" ht="126" customHeight="1" x14ac:dyDescent="0.25">
      <c r="A12" s="62"/>
      <c r="B12" s="91"/>
      <c r="C12" s="74" t="s">
        <v>48</v>
      </c>
      <c r="D12" s="107"/>
      <c r="E12" s="74"/>
      <c r="F12" s="133">
        <v>143.75422499999999</v>
      </c>
      <c r="G12" s="134"/>
      <c r="H12" s="96">
        <v>20960.9504672</v>
      </c>
      <c r="I12" s="96"/>
      <c r="J12" s="97">
        <v>21104.704692200001</v>
      </c>
    </row>
    <row r="13" spans="1:10" ht="15" customHeight="1" x14ac:dyDescent="0.25">
      <c r="A13" s="62"/>
      <c r="B13" s="132" t="s">
        <v>49</v>
      </c>
      <c r="C13" s="132"/>
      <c r="D13" s="132"/>
      <c r="E13" s="132"/>
      <c r="F13" s="98"/>
      <c r="G13" s="98"/>
      <c r="H13" s="98"/>
      <c r="I13" s="98"/>
      <c r="J13" s="98"/>
    </row>
    <row r="14" spans="1:10" ht="15.75" customHeight="1" x14ac:dyDescent="0.25">
      <c r="A14" s="62"/>
      <c r="B14" s="132" t="s">
        <v>50</v>
      </c>
      <c r="C14" s="132"/>
      <c r="D14" s="132"/>
      <c r="E14" s="132"/>
      <c r="F14" s="136">
        <f>F12</f>
        <v>143.75422499999999</v>
      </c>
      <c r="G14" s="137"/>
      <c r="H14" s="98">
        <f>H12</f>
        <v>20960.9504672</v>
      </c>
      <c r="I14" s="98"/>
      <c r="J14" s="98">
        <f>J12</f>
        <v>21104.704692200001</v>
      </c>
    </row>
    <row r="15" spans="1:10" ht="15.75" customHeight="1" x14ac:dyDescent="0.25">
      <c r="A15" s="62"/>
      <c r="B15" s="70"/>
      <c r="C15" s="62"/>
      <c r="D15" s="62"/>
      <c r="E15" s="62"/>
      <c r="F15" s="62"/>
      <c r="G15" s="62"/>
      <c r="H15" s="62"/>
      <c r="I15" s="62"/>
      <c r="J15" s="62"/>
    </row>
    <row r="16" spans="1:10" ht="15.75" customHeight="1" x14ac:dyDescent="0.25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 ht="15.75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 ht="15.75" customHeight="1" x14ac:dyDescent="0.25">
      <c r="A18" s="62"/>
      <c r="B18" s="62" t="s">
        <v>33</v>
      </c>
      <c r="C18" s="62"/>
      <c r="D18" s="62"/>
      <c r="E18" s="62"/>
      <c r="F18" s="62"/>
      <c r="G18" s="62"/>
      <c r="H18" s="62"/>
      <c r="I18" s="62"/>
      <c r="J18" s="62"/>
    </row>
    <row r="19" spans="1:10" ht="22.5" customHeight="1" x14ac:dyDescent="0.25">
      <c r="A19" s="62"/>
      <c r="B19" s="92" t="s">
        <v>34</v>
      </c>
      <c r="C19" s="62"/>
      <c r="D19" s="62"/>
      <c r="E19" s="62"/>
      <c r="F19" s="62"/>
      <c r="G19" s="62"/>
      <c r="H19" s="62"/>
      <c r="I19" s="62"/>
      <c r="J19" s="62"/>
    </row>
    <row r="20" spans="1:10" ht="15.75" customHeight="1" x14ac:dyDescent="0.25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5.75" customHeight="1" x14ac:dyDescent="0.25">
      <c r="A21" s="62"/>
      <c r="B21" s="62" t="s">
        <v>35</v>
      </c>
      <c r="C21" s="62"/>
      <c r="D21" s="62"/>
      <c r="E21" s="62"/>
      <c r="F21" s="62"/>
      <c r="G21" s="62"/>
      <c r="H21" s="62"/>
      <c r="I21" s="62"/>
      <c r="J21" s="62"/>
    </row>
    <row r="22" spans="1:10" ht="22.5" customHeight="1" x14ac:dyDescent="0.25">
      <c r="A22" s="62"/>
      <c r="B22" s="92" t="s">
        <v>36</v>
      </c>
      <c r="C22" s="62"/>
      <c r="D22" s="62"/>
      <c r="E22" s="62"/>
      <c r="F22" s="62"/>
      <c r="G22" s="62"/>
      <c r="H22" s="62"/>
      <c r="I22" s="62"/>
      <c r="J22" s="62"/>
    </row>
  </sheetData>
  <mergeCells count="14">
    <mergeCell ref="B14:E14"/>
    <mergeCell ref="B4:J4"/>
    <mergeCell ref="B9:B11"/>
    <mergeCell ref="C9:C11"/>
    <mergeCell ref="D9:J9"/>
    <mergeCell ref="D10:D11"/>
    <mergeCell ref="E10:E11"/>
    <mergeCell ref="F10:J10"/>
    <mergeCell ref="F14:G14"/>
    <mergeCell ref="B3:J3"/>
    <mergeCell ref="B6:J6"/>
    <mergeCell ref="B7:J7"/>
    <mergeCell ref="B13:E13"/>
    <mergeCell ref="F12:G12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56"/>
  <sheetViews>
    <sheetView view="pageBreakPreview" topLeftCell="A38" zoomScale="70" zoomScaleSheetLayoutView="70" workbookViewId="0">
      <selection activeCell="F53" sqref="F53"/>
    </sheetView>
  </sheetViews>
  <sheetFormatPr defaultRowHeight="15.75" x14ac:dyDescent="0.25"/>
  <cols>
    <col min="1" max="1" width="9.140625" style="62" customWidth="1"/>
    <col min="2" max="2" width="12.5703125" style="62" customWidth="1"/>
    <col min="3" max="3" width="22.42578125" style="62" customWidth="1"/>
    <col min="4" max="4" width="49.7109375" style="62" customWidth="1"/>
    <col min="5" max="5" width="10.140625" style="62" customWidth="1"/>
    <col min="6" max="6" width="20.7109375" style="62" customWidth="1"/>
    <col min="7" max="7" width="16.140625" style="62" customWidth="1"/>
    <col min="8" max="8" width="16.7109375" style="62" customWidth="1"/>
    <col min="9" max="9" width="9.140625" style="62" customWidth="1"/>
    <col min="10" max="10" width="19.42578125" style="62" customWidth="1"/>
    <col min="11" max="11" width="13" customWidth="1"/>
    <col min="12" max="13" width="9.140625" customWidth="1"/>
  </cols>
  <sheetData>
    <row r="1" spans="1:11" x14ac:dyDescent="0.25">
      <c r="K1" s="62"/>
    </row>
    <row r="2" spans="1:11" x14ac:dyDescent="0.25">
      <c r="K2" s="62"/>
    </row>
    <row r="3" spans="1:11" x14ac:dyDescent="0.25">
      <c r="K3" s="62"/>
    </row>
    <row r="4" spans="1:11" x14ac:dyDescent="0.25">
      <c r="A4" s="129" t="s">
        <v>51</v>
      </c>
      <c r="B4" s="129"/>
      <c r="C4" s="129"/>
      <c r="D4" s="129"/>
      <c r="E4" s="129"/>
      <c r="F4" s="129"/>
      <c r="G4" s="129"/>
      <c r="H4" s="129"/>
      <c r="K4" s="62"/>
    </row>
    <row r="5" spans="1:11" x14ac:dyDescent="0.25">
      <c r="A5" s="130" t="s">
        <v>52</v>
      </c>
      <c r="B5" s="130"/>
      <c r="C5" s="130"/>
      <c r="D5" s="130"/>
      <c r="E5" s="130"/>
      <c r="F5" s="130"/>
      <c r="G5" s="130"/>
      <c r="H5" s="130"/>
      <c r="K5" s="62"/>
    </row>
    <row r="6" spans="1:11" ht="18.75" customHeight="1" x14ac:dyDescent="0.25">
      <c r="A6" s="70"/>
      <c r="K6" s="62"/>
    </row>
    <row r="7" spans="1:11" ht="36.75" customHeight="1" x14ac:dyDescent="0.25">
      <c r="A7" s="141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220 кВ</v>
      </c>
      <c r="B7" s="141"/>
      <c r="C7" s="141"/>
      <c r="D7" s="141"/>
      <c r="E7" s="141"/>
      <c r="F7" s="141"/>
      <c r="G7" s="141"/>
      <c r="H7" s="141"/>
      <c r="K7" s="62"/>
    </row>
    <row r="8" spans="1:11" x14ac:dyDescent="0.25">
      <c r="A8" s="82"/>
      <c r="B8" s="82"/>
      <c r="C8" s="82"/>
      <c r="D8" s="82"/>
      <c r="E8" s="82"/>
      <c r="F8" s="82"/>
      <c r="G8" s="82"/>
      <c r="H8" s="82"/>
      <c r="K8" s="62"/>
    </row>
    <row r="9" spans="1:11" ht="33" customHeight="1" x14ac:dyDescent="0.25">
      <c r="A9" s="135" t="s">
        <v>53</v>
      </c>
      <c r="B9" s="135" t="s">
        <v>54</v>
      </c>
      <c r="C9" s="135" t="s">
        <v>55</v>
      </c>
      <c r="D9" s="135" t="s">
        <v>56</v>
      </c>
      <c r="E9" s="135" t="s">
        <v>57</v>
      </c>
      <c r="F9" s="135" t="s">
        <v>58</v>
      </c>
      <c r="G9" s="135" t="s">
        <v>59</v>
      </c>
      <c r="H9" s="135"/>
      <c r="K9" s="62"/>
    </row>
    <row r="10" spans="1:11" ht="33" customHeight="1" x14ac:dyDescent="0.25">
      <c r="A10" s="135"/>
      <c r="B10" s="135"/>
      <c r="C10" s="135"/>
      <c r="D10" s="135"/>
      <c r="E10" s="135"/>
      <c r="F10" s="135"/>
      <c r="G10" s="37" t="s">
        <v>60</v>
      </c>
      <c r="H10" s="37" t="s">
        <v>61</v>
      </c>
      <c r="K10" s="62"/>
    </row>
    <row r="11" spans="1:11" x14ac:dyDescent="0.25">
      <c r="A11" s="83">
        <v>1</v>
      </c>
      <c r="B11" s="83"/>
      <c r="C11" s="83">
        <v>2</v>
      </c>
      <c r="D11" s="83" t="s">
        <v>62</v>
      </c>
      <c r="E11" s="83">
        <v>4</v>
      </c>
      <c r="F11" s="83">
        <v>5</v>
      </c>
      <c r="G11" s="83">
        <v>6</v>
      </c>
      <c r="H11" s="83">
        <v>7</v>
      </c>
      <c r="I11" s="109"/>
      <c r="K11" s="62"/>
    </row>
    <row r="12" spans="1:11" x14ac:dyDescent="0.25">
      <c r="A12" s="138" t="s">
        <v>63</v>
      </c>
      <c r="B12" s="139"/>
      <c r="C12" s="140"/>
      <c r="D12" s="140"/>
      <c r="E12" s="139"/>
      <c r="F12" s="84">
        <f>SUM(F13:F16)</f>
        <v>1082.95</v>
      </c>
      <c r="G12" s="84"/>
      <c r="H12" s="84">
        <f>SUM(H13:H16)</f>
        <v>15889.22</v>
      </c>
      <c r="I12" s="85"/>
      <c r="J12" s="85"/>
      <c r="K12" s="85"/>
    </row>
    <row r="13" spans="1:11" x14ac:dyDescent="0.25">
      <c r="A13" s="86">
        <v>1</v>
      </c>
      <c r="B13" s="104"/>
      <c r="C13" s="87" t="s">
        <v>64</v>
      </c>
      <c r="D13" s="88" t="s">
        <v>65</v>
      </c>
      <c r="E13" s="86" t="s">
        <v>66</v>
      </c>
      <c r="F13" s="86">
        <v>530</v>
      </c>
      <c r="G13" s="89">
        <v>15.49</v>
      </c>
      <c r="H13" s="89">
        <f>ROUND(F13*G13,2)</f>
        <v>8209.7000000000007</v>
      </c>
      <c r="K13" s="62"/>
    </row>
    <row r="14" spans="1:11" ht="15" customHeight="1" x14ac:dyDescent="0.25">
      <c r="A14" s="86">
        <v>2</v>
      </c>
      <c r="B14" s="104"/>
      <c r="C14" s="87" t="s">
        <v>67</v>
      </c>
      <c r="D14" s="88" t="s">
        <v>68</v>
      </c>
      <c r="E14" s="86" t="s">
        <v>66</v>
      </c>
      <c r="F14" s="86">
        <v>530</v>
      </c>
      <c r="G14" s="89">
        <v>14.09</v>
      </c>
      <c r="H14" s="89">
        <f>ROUND(F14*G14,2)</f>
        <v>7467.7</v>
      </c>
      <c r="K14" s="62"/>
    </row>
    <row r="15" spans="1:11" x14ac:dyDescent="0.25">
      <c r="A15" s="86">
        <v>3</v>
      </c>
      <c r="B15" s="104"/>
      <c r="C15" s="87" t="s">
        <v>69</v>
      </c>
      <c r="D15" s="88" t="s">
        <v>70</v>
      </c>
      <c r="E15" s="86" t="s">
        <v>66</v>
      </c>
      <c r="F15" s="86">
        <v>17.8</v>
      </c>
      <c r="G15" s="89">
        <v>9.4</v>
      </c>
      <c r="H15" s="89">
        <f>ROUND(F15*G15,2)</f>
        <v>167.32</v>
      </c>
      <c r="K15" s="62"/>
    </row>
    <row r="16" spans="1:11" x14ac:dyDescent="0.25">
      <c r="A16" s="86">
        <v>4</v>
      </c>
      <c r="B16" s="104"/>
      <c r="C16" s="87" t="s">
        <v>71</v>
      </c>
      <c r="D16" s="88" t="s">
        <v>72</v>
      </c>
      <c r="E16" s="86" t="s">
        <v>66</v>
      </c>
      <c r="F16" s="86">
        <v>5.15</v>
      </c>
      <c r="G16" s="89">
        <v>8.64</v>
      </c>
      <c r="H16" s="89">
        <f>ROUND(F16*G16,2)</f>
        <v>44.5</v>
      </c>
      <c r="K16" s="62"/>
    </row>
    <row r="17" spans="1:11" x14ac:dyDescent="0.25">
      <c r="A17" s="138" t="s">
        <v>73</v>
      </c>
      <c r="B17" s="139"/>
      <c r="C17" s="140"/>
      <c r="D17" s="140"/>
      <c r="E17" s="139"/>
      <c r="F17" s="90">
        <f>F18</f>
        <v>0.35</v>
      </c>
      <c r="G17" s="84"/>
      <c r="H17" s="84">
        <f>H18</f>
        <v>4.3899999999999997</v>
      </c>
      <c r="K17" s="62"/>
    </row>
    <row r="18" spans="1:11" x14ac:dyDescent="0.25">
      <c r="A18" s="86">
        <v>5</v>
      </c>
      <c r="B18" s="105"/>
      <c r="C18" s="99">
        <v>2</v>
      </c>
      <c r="D18" s="88" t="s">
        <v>73</v>
      </c>
      <c r="E18" s="86" t="s">
        <v>66</v>
      </c>
      <c r="F18" s="86">
        <v>0.35</v>
      </c>
      <c r="G18" s="89"/>
      <c r="H18" s="89">
        <v>4.3899999999999997</v>
      </c>
      <c r="K18" s="62"/>
    </row>
    <row r="19" spans="1:11" x14ac:dyDescent="0.25">
      <c r="A19" s="138" t="s">
        <v>74</v>
      </c>
      <c r="B19" s="139"/>
      <c r="C19" s="140"/>
      <c r="D19" s="140"/>
      <c r="E19" s="139"/>
      <c r="F19" s="90"/>
      <c r="G19" s="84"/>
      <c r="H19" s="84">
        <f>SUM(H20:H23)</f>
        <v>39.31</v>
      </c>
      <c r="I19" s="85"/>
      <c r="J19" s="85"/>
      <c r="K19" s="85"/>
    </row>
    <row r="20" spans="1:11" ht="31.5" customHeight="1" x14ac:dyDescent="0.25">
      <c r="A20" s="86">
        <v>6</v>
      </c>
      <c r="B20" s="105"/>
      <c r="C20" s="88" t="s">
        <v>75</v>
      </c>
      <c r="D20" s="88" t="s">
        <v>76</v>
      </c>
      <c r="E20" s="86" t="s">
        <v>77</v>
      </c>
      <c r="F20" s="86">
        <v>0.17</v>
      </c>
      <c r="G20" s="89">
        <v>115.4</v>
      </c>
      <c r="H20" s="89">
        <f>ROUND(F20*G20,2)</f>
        <v>19.62</v>
      </c>
      <c r="K20" s="62"/>
    </row>
    <row r="21" spans="1:11" x14ac:dyDescent="0.25">
      <c r="A21" s="86">
        <v>7</v>
      </c>
      <c r="B21" s="105"/>
      <c r="C21" s="88" t="s">
        <v>78</v>
      </c>
      <c r="D21" s="88" t="s">
        <v>79</v>
      </c>
      <c r="E21" s="86" t="s">
        <v>77</v>
      </c>
      <c r="F21" s="86">
        <v>0.18</v>
      </c>
      <c r="G21" s="89">
        <v>65.709999999999994</v>
      </c>
      <c r="H21" s="89">
        <f>ROUND(F21*G21,2)</f>
        <v>11.83</v>
      </c>
      <c r="I21" s="85"/>
      <c r="J21" s="85"/>
      <c r="K21" s="85"/>
    </row>
    <row r="22" spans="1:11" x14ac:dyDescent="0.25">
      <c r="A22" s="86">
        <v>8</v>
      </c>
      <c r="B22" s="105"/>
      <c r="C22" s="88" t="s">
        <v>80</v>
      </c>
      <c r="D22" s="88" t="s">
        <v>81</v>
      </c>
      <c r="E22" s="86" t="s">
        <v>77</v>
      </c>
      <c r="F22" s="86">
        <v>2.2999999999999998</v>
      </c>
      <c r="G22" s="89">
        <v>2.36</v>
      </c>
      <c r="H22" s="89">
        <f>ROUND(F22*G22,2)</f>
        <v>5.43</v>
      </c>
      <c r="K22" s="62"/>
    </row>
    <row r="23" spans="1:11" ht="31.5" customHeight="1" x14ac:dyDescent="0.25">
      <c r="A23" s="86">
        <v>9</v>
      </c>
      <c r="B23" s="105"/>
      <c r="C23" s="88" t="s">
        <v>82</v>
      </c>
      <c r="D23" s="88" t="s">
        <v>83</v>
      </c>
      <c r="E23" s="86" t="s">
        <v>77</v>
      </c>
      <c r="F23" s="86">
        <v>0.3</v>
      </c>
      <c r="G23" s="89">
        <v>8.1</v>
      </c>
      <c r="H23" s="89">
        <f>ROUND(F23*G23,2)</f>
        <v>2.4300000000000002</v>
      </c>
      <c r="K23" s="62"/>
    </row>
    <row r="24" spans="1:11" x14ac:dyDescent="0.25">
      <c r="A24" s="138" t="s">
        <v>45</v>
      </c>
      <c r="B24" s="139"/>
      <c r="C24" s="140"/>
      <c r="D24" s="140"/>
      <c r="E24" s="139"/>
      <c r="F24" s="90"/>
      <c r="G24" s="84"/>
      <c r="H24" s="84">
        <f>SUM(H25:H37)</f>
        <v>3769955.12</v>
      </c>
      <c r="J24" s="101"/>
    </row>
    <row r="25" spans="1:11" ht="47.25" customHeight="1" x14ac:dyDescent="0.25">
      <c r="A25" s="86">
        <v>10</v>
      </c>
      <c r="B25" s="105"/>
      <c r="C25" s="88" t="s">
        <v>84</v>
      </c>
      <c r="D25" s="88" t="s">
        <v>85</v>
      </c>
      <c r="E25" s="86" t="s">
        <v>86</v>
      </c>
      <c r="F25" s="86">
        <v>8</v>
      </c>
      <c r="G25" s="89">
        <v>153634.19</v>
      </c>
      <c r="H25" s="89">
        <f t="shared" ref="H25:H37" si="0">ROUND(F25*G25,2)</f>
        <v>1229073.52</v>
      </c>
    </row>
    <row r="26" spans="1:11" ht="31.5" customHeight="1" x14ac:dyDescent="0.25">
      <c r="A26" s="86">
        <v>11</v>
      </c>
      <c r="B26" s="105"/>
      <c r="C26" s="88" t="s">
        <v>84</v>
      </c>
      <c r="D26" s="88" t="s">
        <v>87</v>
      </c>
      <c r="E26" s="86" t="s">
        <v>86</v>
      </c>
      <c r="F26" s="86">
        <v>2</v>
      </c>
      <c r="G26" s="89">
        <v>277693.77</v>
      </c>
      <c r="H26" s="89">
        <f t="shared" si="0"/>
        <v>555387.54</v>
      </c>
    </row>
    <row r="27" spans="1:11" ht="31.5" customHeight="1" x14ac:dyDescent="0.25">
      <c r="A27" s="86">
        <v>12</v>
      </c>
      <c r="B27" s="105"/>
      <c r="C27" s="88" t="s">
        <v>84</v>
      </c>
      <c r="D27" s="88" t="s">
        <v>88</v>
      </c>
      <c r="E27" s="86" t="s">
        <v>86</v>
      </c>
      <c r="F27" s="86">
        <v>2</v>
      </c>
      <c r="G27" s="89">
        <v>277006.71000000002</v>
      </c>
      <c r="H27" s="89">
        <f t="shared" si="0"/>
        <v>554013.42000000004</v>
      </c>
    </row>
    <row r="28" spans="1:11" ht="47.25" customHeight="1" x14ac:dyDescent="0.25">
      <c r="A28" s="86">
        <v>13</v>
      </c>
      <c r="B28" s="105"/>
      <c r="C28" s="88" t="s">
        <v>84</v>
      </c>
      <c r="D28" s="88" t="s">
        <v>89</v>
      </c>
      <c r="E28" s="86" t="s">
        <v>86</v>
      </c>
      <c r="F28" s="86">
        <v>8</v>
      </c>
      <c r="G28" s="89">
        <v>67452.08</v>
      </c>
      <c r="H28" s="89">
        <f t="shared" si="0"/>
        <v>539616.64</v>
      </c>
    </row>
    <row r="29" spans="1:11" ht="31.5" customHeight="1" x14ac:dyDescent="0.25">
      <c r="A29" s="86">
        <v>14</v>
      </c>
      <c r="B29" s="105"/>
      <c r="C29" s="88" t="s">
        <v>84</v>
      </c>
      <c r="D29" s="88" t="s">
        <v>90</v>
      </c>
      <c r="E29" s="86" t="s">
        <v>86</v>
      </c>
      <c r="F29" s="86">
        <v>1</v>
      </c>
      <c r="G29" s="89">
        <v>172088.5</v>
      </c>
      <c r="H29" s="89">
        <f t="shared" si="0"/>
        <v>172088.5</v>
      </c>
    </row>
    <row r="30" spans="1:11" ht="63" customHeight="1" x14ac:dyDescent="0.25">
      <c r="A30" s="86">
        <v>15</v>
      </c>
      <c r="B30" s="105"/>
      <c r="C30" s="88" t="s">
        <v>84</v>
      </c>
      <c r="D30" s="88" t="s">
        <v>91</v>
      </c>
      <c r="E30" s="86" t="s">
        <v>86</v>
      </c>
      <c r="F30" s="86">
        <v>2</v>
      </c>
      <c r="G30" s="89">
        <v>58945.69</v>
      </c>
      <c r="H30" s="89">
        <f t="shared" si="0"/>
        <v>117891.38</v>
      </c>
    </row>
    <row r="31" spans="1:11" ht="31.5" customHeight="1" x14ac:dyDescent="0.25">
      <c r="A31" s="86">
        <v>16</v>
      </c>
      <c r="B31" s="105"/>
      <c r="C31" s="88" t="s">
        <v>84</v>
      </c>
      <c r="D31" s="88" t="s">
        <v>92</v>
      </c>
      <c r="E31" s="86" t="s">
        <v>93</v>
      </c>
      <c r="F31" s="86">
        <v>1</v>
      </c>
      <c r="G31" s="89">
        <v>110738.02</v>
      </c>
      <c r="H31" s="89">
        <f t="shared" si="0"/>
        <v>110738.02</v>
      </c>
    </row>
    <row r="32" spans="1:11" ht="47.25" customHeight="1" x14ac:dyDescent="0.25">
      <c r="A32" s="86">
        <v>17</v>
      </c>
      <c r="B32" s="105"/>
      <c r="C32" s="88" t="s">
        <v>84</v>
      </c>
      <c r="D32" s="88" t="s">
        <v>94</v>
      </c>
      <c r="E32" s="86" t="s">
        <v>86</v>
      </c>
      <c r="F32" s="86">
        <v>1</v>
      </c>
      <c r="G32" s="89">
        <v>101757.19</v>
      </c>
      <c r="H32" s="89">
        <f t="shared" si="0"/>
        <v>101757.19</v>
      </c>
    </row>
    <row r="33" spans="1:10" ht="47.25" customHeight="1" x14ac:dyDescent="0.25">
      <c r="A33" s="86">
        <v>18</v>
      </c>
      <c r="B33" s="105"/>
      <c r="C33" s="88" t="s">
        <v>84</v>
      </c>
      <c r="D33" s="88" t="s">
        <v>95</v>
      </c>
      <c r="E33" s="86" t="s">
        <v>86</v>
      </c>
      <c r="F33" s="86">
        <v>16</v>
      </c>
      <c r="G33" s="89">
        <v>6309.9</v>
      </c>
      <c r="H33" s="89">
        <f t="shared" si="0"/>
        <v>100958.39999999999</v>
      </c>
    </row>
    <row r="34" spans="1:10" ht="47.25" customHeight="1" x14ac:dyDescent="0.25">
      <c r="A34" s="86">
        <v>19</v>
      </c>
      <c r="B34" s="105"/>
      <c r="C34" s="88" t="s">
        <v>84</v>
      </c>
      <c r="D34" s="88" t="s">
        <v>96</v>
      </c>
      <c r="E34" s="86" t="s">
        <v>86</v>
      </c>
      <c r="F34" s="86">
        <v>1</v>
      </c>
      <c r="G34" s="89">
        <v>89416.93</v>
      </c>
      <c r="H34" s="89">
        <f t="shared" si="0"/>
        <v>89416.93</v>
      </c>
    </row>
    <row r="35" spans="1:10" ht="31.5" customHeight="1" x14ac:dyDescent="0.25">
      <c r="A35" s="86">
        <v>20</v>
      </c>
      <c r="B35" s="105"/>
      <c r="C35" s="88" t="s">
        <v>84</v>
      </c>
      <c r="D35" s="88" t="s">
        <v>97</v>
      </c>
      <c r="E35" s="86" t="s">
        <v>86</v>
      </c>
      <c r="F35" s="86">
        <v>1</v>
      </c>
      <c r="G35" s="89">
        <v>80411.34</v>
      </c>
      <c r="H35" s="89">
        <f t="shared" si="0"/>
        <v>80411.34</v>
      </c>
    </row>
    <row r="36" spans="1:10" ht="47.25" customHeight="1" x14ac:dyDescent="0.25">
      <c r="A36" s="86">
        <v>21</v>
      </c>
      <c r="B36" s="105"/>
      <c r="C36" s="88" t="s">
        <v>84</v>
      </c>
      <c r="D36" s="88" t="s">
        <v>98</v>
      </c>
      <c r="E36" s="86" t="s">
        <v>86</v>
      </c>
      <c r="F36" s="86">
        <v>1</v>
      </c>
      <c r="G36" s="89">
        <v>74001.600000000006</v>
      </c>
      <c r="H36" s="89">
        <f t="shared" si="0"/>
        <v>74001.600000000006</v>
      </c>
    </row>
    <row r="37" spans="1:10" ht="47.25" customHeight="1" x14ac:dyDescent="0.25">
      <c r="A37" s="86">
        <v>22</v>
      </c>
      <c r="B37" s="105"/>
      <c r="C37" s="88" t="s">
        <v>84</v>
      </c>
      <c r="D37" s="88" t="s">
        <v>99</v>
      </c>
      <c r="E37" s="86" t="s">
        <v>86</v>
      </c>
      <c r="F37" s="86">
        <v>16</v>
      </c>
      <c r="G37" s="89">
        <v>2787.54</v>
      </c>
      <c r="H37" s="89">
        <f t="shared" si="0"/>
        <v>44600.639999999999</v>
      </c>
    </row>
    <row r="38" spans="1:10" x14ac:dyDescent="0.25">
      <c r="A38" s="138" t="s">
        <v>100</v>
      </c>
      <c r="B38" s="139"/>
      <c r="C38" s="140"/>
      <c r="D38" s="140"/>
      <c r="E38" s="139"/>
      <c r="F38" s="90"/>
      <c r="G38" s="84"/>
      <c r="H38" s="84">
        <f>SUM(H39:H49)</f>
        <v>724.58</v>
      </c>
      <c r="J38" s="101"/>
    </row>
    <row r="39" spans="1:10" ht="31.5" customHeight="1" x14ac:dyDescent="0.25">
      <c r="A39" s="86">
        <v>23</v>
      </c>
      <c r="B39" s="106"/>
      <c r="C39" s="88" t="s">
        <v>101</v>
      </c>
      <c r="D39" s="88" t="s">
        <v>102</v>
      </c>
      <c r="E39" s="86" t="s">
        <v>103</v>
      </c>
      <c r="F39" s="86">
        <v>313.76</v>
      </c>
      <c r="G39" s="89">
        <v>1</v>
      </c>
      <c r="H39" s="89">
        <f t="shared" ref="H39:H49" si="1">ROUND(F39*G39,2)</f>
        <v>313.76</v>
      </c>
    </row>
    <row r="40" spans="1:10" ht="47.25" customHeight="1" x14ac:dyDescent="0.25">
      <c r="A40" s="86">
        <v>24</v>
      </c>
      <c r="B40" s="106"/>
      <c r="C40" s="88" t="s">
        <v>104</v>
      </c>
      <c r="D40" s="88" t="s">
        <v>105</v>
      </c>
      <c r="E40" s="86" t="s">
        <v>106</v>
      </c>
      <c r="F40" s="86">
        <v>2.8000000000000001E-2</v>
      </c>
      <c r="G40" s="89">
        <v>6834.81</v>
      </c>
      <c r="H40" s="89">
        <f t="shared" si="1"/>
        <v>191.37</v>
      </c>
    </row>
    <row r="41" spans="1:10" x14ac:dyDescent="0.25">
      <c r="A41" s="86">
        <v>25</v>
      </c>
      <c r="B41" s="106"/>
      <c r="C41" s="88" t="s">
        <v>107</v>
      </c>
      <c r="D41" s="88" t="s">
        <v>108</v>
      </c>
      <c r="E41" s="86" t="s">
        <v>109</v>
      </c>
      <c r="F41" s="86">
        <v>15</v>
      </c>
      <c r="G41" s="89">
        <v>12.6</v>
      </c>
      <c r="H41" s="89">
        <f t="shared" si="1"/>
        <v>189</v>
      </c>
    </row>
    <row r="42" spans="1:10" x14ac:dyDescent="0.25">
      <c r="A42" s="86">
        <v>26</v>
      </c>
      <c r="B42" s="106"/>
      <c r="C42" s="88" t="s">
        <v>110</v>
      </c>
      <c r="D42" s="88" t="s">
        <v>111</v>
      </c>
      <c r="E42" s="86" t="s">
        <v>93</v>
      </c>
      <c r="F42" s="86">
        <v>50</v>
      </c>
      <c r="G42" s="89">
        <v>0.27</v>
      </c>
      <c r="H42" s="89">
        <f t="shared" si="1"/>
        <v>13.5</v>
      </c>
    </row>
    <row r="43" spans="1:10" ht="15" customHeight="1" x14ac:dyDescent="0.25">
      <c r="A43" s="86">
        <v>27</v>
      </c>
      <c r="B43" s="106"/>
      <c r="C43" s="88" t="s">
        <v>112</v>
      </c>
      <c r="D43" s="88" t="s">
        <v>113</v>
      </c>
      <c r="E43" s="86" t="s">
        <v>109</v>
      </c>
      <c r="F43" s="86">
        <v>0.23780000000000001</v>
      </c>
      <c r="G43" s="89">
        <v>25.76</v>
      </c>
      <c r="H43" s="89">
        <f t="shared" si="1"/>
        <v>6.13</v>
      </c>
    </row>
    <row r="44" spans="1:10" x14ac:dyDescent="0.25">
      <c r="A44" s="86">
        <v>28</v>
      </c>
      <c r="B44" s="106"/>
      <c r="C44" s="88" t="s">
        <v>114</v>
      </c>
      <c r="D44" s="88" t="s">
        <v>115</v>
      </c>
      <c r="E44" s="86" t="s">
        <v>106</v>
      </c>
      <c r="F44" s="86">
        <v>5.0000000000000001E-4</v>
      </c>
      <c r="G44" s="89">
        <v>10315.01</v>
      </c>
      <c r="H44" s="89">
        <f t="shared" si="1"/>
        <v>5.16</v>
      </c>
    </row>
    <row r="45" spans="1:10" ht="31.5" customHeight="1" x14ac:dyDescent="0.25">
      <c r="A45" s="86">
        <v>29</v>
      </c>
      <c r="B45" s="106"/>
      <c r="C45" s="88" t="s">
        <v>101</v>
      </c>
      <c r="D45" s="88" t="s">
        <v>116</v>
      </c>
      <c r="E45" s="86" t="s">
        <v>103</v>
      </c>
      <c r="F45" s="86">
        <v>4.2371999999999996</v>
      </c>
      <c r="G45" s="89">
        <v>1</v>
      </c>
      <c r="H45" s="89">
        <f t="shared" si="1"/>
        <v>4.24</v>
      </c>
    </row>
    <row r="46" spans="1:10" ht="15" customHeight="1" x14ac:dyDescent="0.25">
      <c r="A46" s="86">
        <v>30</v>
      </c>
      <c r="B46" s="106"/>
      <c r="C46" s="88" t="s">
        <v>117</v>
      </c>
      <c r="D46" s="88" t="s">
        <v>118</v>
      </c>
      <c r="E46" s="86" t="s">
        <v>106</v>
      </c>
      <c r="F46" s="86">
        <v>3.0000000000000001E-5</v>
      </c>
      <c r="G46" s="89">
        <v>28300.400000000001</v>
      </c>
      <c r="H46" s="89">
        <f t="shared" si="1"/>
        <v>0.85</v>
      </c>
    </row>
    <row r="47" spans="1:10" x14ac:dyDescent="0.25">
      <c r="A47" s="86">
        <v>31</v>
      </c>
      <c r="B47" s="106"/>
      <c r="C47" s="88" t="s">
        <v>119</v>
      </c>
      <c r="D47" s="88" t="s">
        <v>120</v>
      </c>
      <c r="E47" s="86" t="s">
        <v>106</v>
      </c>
      <c r="F47" s="86">
        <v>2.0000000000000002E-5</v>
      </c>
      <c r="G47" s="89">
        <v>15620</v>
      </c>
      <c r="H47" s="89">
        <f t="shared" si="1"/>
        <v>0.31</v>
      </c>
    </row>
    <row r="48" spans="1:10" x14ac:dyDescent="0.25">
      <c r="A48" s="86">
        <v>32</v>
      </c>
      <c r="B48" s="106"/>
      <c r="C48" s="88" t="s">
        <v>121</v>
      </c>
      <c r="D48" s="88" t="s">
        <v>122</v>
      </c>
      <c r="E48" s="86" t="s">
        <v>109</v>
      </c>
      <c r="F48" s="86">
        <v>0.02</v>
      </c>
      <c r="G48" s="89">
        <v>9.42</v>
      </c>
      <c r="H48" s="89">
        <f t="shared" si="1"/>
        <v>0.19</v>
      </c>
    </row>
    <row r="49" spans="1:10" x14ac:dyDescent="0.25">
      <c r="A49" s="86">
        <v>33</v>
      </c>
      <c r="B49" s="106"/>
      <c r="C49" s="88" t="s">
        <v>123</v>
      </c>
      <c r="D49" s="88" t="s">
        <v>124</v>
      </c>
      <c r="E49" s="86" t="s">
        <v>109</v>
      </c>
      <c r="F49" s="86">
        <v>0.01</v>
      </c>
      <c r="G49" s="89">
        <v>6.67</v>
      </c>
      <c r="H49" s="89">
        <f t="shared" si="1"/>
        <v>7.0000000000000007E-2</v>
      </c>
    </row>
    <row r="50" spans="1:10" x14ac:dyDescent="0.25">
      <c r="J50" s="101"/>
    </row>
    <row r="52" spans="1:10" x14ac:dyDescent="0.25">
      <c r="B52" s="62" t="s">
        <v>33</v>
      </c>
    </row>
    <row r="53" spans="1:10" x14ac:dyDescent="0.25">
      <c r="B53" s="71" t="s">
        <v>34</v>
      </c>
    </row>
    <row r="55" spans="1:10" x14ac:dyDescent="0.25">
      <c r="B55" s="62" t="s">
        <v>35</v>
      </c>
    </row>
    <row r="56" spans="1:10" x14ac:dyDescent="0.25">
      <c r="B56" s="71" t="s">
        <v>36</v>
      </c>
    </row>
  </sheetData>
  <mergeCells count="15">
    <mergeCell ref="A12:E12"/>
    <mergeCell ref="A17:E17"/>
    <mergeCell ref="A19:E19"/>
    <mergeCell ref="A38:E38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4:E24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L50"/>
  <sheetViews>
    <sheetView view="pageBreakPreview" topLeftCell="A28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6"/>
      <c r="C1" s="6"/>
      <c r="D1" s="6"/>
      <c r="E1" s="6"/>
    </row>
    <row r="2" spans="2:5" x14ac:dyDescent="0.25">
      <c r="B2" s="6"/>
      <c r="C2" s="6"/>
      <c r="D2" s="6"/>
      <c r="E2" s="15" t="s">
        <v>125</v>
      </c>
    </row>
    <row r="3" spans="2:5" x14ac:dyDescent="0.25">
      <c r="B3" s="6"/>
      <c r="C3" s="6"/>
      <c r="D3" s="6"/>
      <c r="E3" s="6"/>
    </row>
    <row r="4" spans="2:5" x14ac:dyDescent="0.25">
      <c r="B4" s="6"/>
      <c r="C4" s="6"/>
      <c r="D4" s="6"/>
      <c r="E4" s="6"/>
    </row>
    <row r="5" spans="2:5" x14ac:dyDescent="0.25">
      <c r="B5" s="142" t="s">
        <v>126</v>
      </c>
      <c r="C5" s="142"/>
      <c r="D5" s="142"/>
      <c r="E5" s="142"/>
    </row>
    <row r="6" spans="2:5" x14ac:dyDescent="0.25">
      <c r="B6" s="16"/>
      <c r="C6" s="6"/>
      <c r="D6" s="6"/>
      <c r="E6" s="6"/>
    </row>
    <row r="7" spans="2:5" ht="39.75" customHeight="1" x14ac:dyDescent="0.25">
      <c r="B7" s="143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220 кВ</v>
      </c>
      <c r="C7" s="143"/>
      <c r="D7" s="143"/>
      <c r="E7" s="143"/>
    </row>
    <row r="8" spans="2:5" x14ac:dyDescent="0.25">
      <c r="B8" s="144" t="str">
        <f>'Прил.1 Сравнит табл'!B9</f>
        <v>Единица измерения  — 1 ПС</v>
      </c>
      <c r="C8" s="144"/>
      <c r="D8" s="144"/>
      <c r="E8" s="144"/>
    </row>
    <row r="9" spans="2:5" x14ac:dyDescent="0.25">
      <c r="B9" s="16"/>
      <c r="C9" s="6"/>
      <c r="D9" s="6"/>
      <c r="E9" s="6"/>
    </row>
    <row r="10" spans="2:5" ht="51" customHeight="1" x14ac:dyDescent="0.25">
      <c r="B10" s="2" t="s">
        <v>127</v>
      </c>
      <c r="C10" s="2" t="s">
        <v>128</v>
      </c>
      <c r="D10" s="2" t="s">
        <v>129</v>
      </c>
      <c r="E10" s="2" t="s">
        <v>130</v>
      </c>
    </row>
    <row r="11" spans="2:5" x14ac:dyDescent="0.25">
      <c r="B11" s="7" t="s">
        <v>131</v>
      </c>
      <c r="C11" s="41">
        <f>'Прил.5 Расчет СМР и ОБ'!J16</f>
        <v>732192.86</v>
      </c>
      <c r="D11" s="40">
        <f t="shared" ref="D11:D18" si="0">C11/$C$24</f>
        <v>0.42211184291521275</v>
      </c>
      <c r="E11" s="40">
        <f t="shared" ref="E11:E18" si="1">C11/$C$40</f>
        <v>1.5345180716522277E-2</v>
      </c>
    </row>
    <row r="12" spans="2:5" x14ac:dyDescent="0.25">
      <c r="B12" s="7" t="s">
        <v>132</v>
      </c>
      <c r="C12" s="41">
        <f>'Прил.5 Расчет СМР и ОБ'!J24</f>
        <v>496.69</v>
      </c>
      <c r="D12" s="40">
        <f t="shared" si="0"/>
        <v>2.8634358884291366E-4</v>
      </c>
      <c r="E12" s="40">
        <f t="shared" si="1"/>
        <v>1.0409549486851661E-5</v>
      </c>
    </row>
    <row r="13" spans="2:5" x14ac:dyDescent="0.25">
      <c r="B13" s="7" t="s">
        <v>133</v>
      </c>
      <c r="C13" s="41">
        <f>'Прил.5 Расчет СМР и ОБ'!J26</f>
        <v>32.729999999999997</v>
      </c>
      <c r="D13" s="40">
        <f t="shared" si="0"/>
        <v>1.8868963866453045E-5</v>
      </c>
      <c r="E13" s="40">
        <f t="shared" si="1"/>
        <v>6.8595009906512075E-7</v>
      </c>
    </row>
    <row r="14" spans="2:5" x14ac:dyDescent="0.25">
      <c r="B14" s="7" t="s">
        <v>134</v>
      </c>
      <c r="C14" s="41">
        <f>C13+C12</f>
        <v>529.41999999999996</v>
      </c>
      <c r="D14" s="40">
        <f t="shared" si="0"/>
        <v>3.0521255270936668E-4</v>
      </c>
      <c r="E14" s="40">
        <f t="shared" si="1"/>
        <v>1.1095499585916782E-5</v>
      </c>
    </row>
    <row r="15" spans="2:5" x14ac:dyDescent="0.25">
      <c r="B15" s="7" t="s">
        <v>135</v>
      </c>
      <c r="C15" s="41">
        <f>'Прил.5 Расчет СМР и ОБ'!J18</f>
        <v>194.43</v>
      </c>
      <c r="D15" s="40">
        <f t="shared" si="0"/>
        <v>1.1208960111684894E-4</v>
      </c>
      <c r="E15" s="40">
        <f t="shared" si="1"/>
        <v>4.0748328066370748E-6</v>
      </c>
    </row>
    <row r="16" spans="2:5" x14ac:dyDescent="0.25">
      <c r="B16" s="7" t="s">
        <v>136</v>
      </c>
      <c r="C16" s="41">
        <f>'Прил.5 Расчет СМР и ОБ'!J52</f>
        <v>5614.85</v>
      </c>
      <c r="D16" s="40">
        <f t="shared" si="0"/>
        <v>3.2369814166072074E-3</v>
      </c>
      <c r="E16" s="40">
        <f t="shared" si="1"/>
        <v>1.1767512721465915E-4</v>
      </c>
    </row>
    <row r="17" spans="2:7" x14ac:dyDescent="0.25">
      <c r="B17" s="7" t="s">
        <v>137</v>
      </c>
      <c r="C17" s="41">
        <f>'Прил.5 Расчет СМР и ОБ'!J60</f>
        <v>210.61</v>
      </c>
      <c r="D17" s="40">
        <f t="shared" si="0"/>
        <v>1.2141742987820582E-4</v>
      </c>
      <c r="E17" s="40">
        <f t="shared" si="1"/>
        <v>4.4139306557930068E-6</v>
      </c>
      <c r="G17" s="17"/>
    </row>
    <row r="18" spans="2:7" x14ac:dyDescent="0.25">
      <c r="B18" s="7" t="s">
        <v>138</v>
      </c>
      <c r="C18" s="41">
        <f>C17+C16</f>
        <v>5825.46</v>
      </c>
      <c r="D18" s="40">
        <f t="shared" si="0"/>
        <v>3.3583988464854129E-3</v>
      </c>
      <c r="E18" s="40">
        <f t="shared" si="1"/>
        <v>1.2208905787045217E-4</v>
      </c>
    </row>
    <row r="19" spans="2:7" x14ac:dyDescent="0.25">
      <c r="B19" s="7" t="s">
        <v>139</v>
      </c>
      <c r="C19" s="41">
        <f>C18+C14+C11</f>
        <v>738547.74</v>
      </c>
      <c r="D19" s="40"/>
      <c r="E19" s="7"/>
    </row>
    <row r="20" spans="2:7" x14ac:dyDescent="0.25">
      <c r="B20" s="7" t="s">
        <v>140</v>
      </c>
      <c r="C20" s="41">
        <f>ROUND(C21*(C11+C15),2)</f>
        <v>336898.15</v>
      </c>
      <c r="D20" s="40">
        <f>C20/$C$24</f>
        <v>0.19422300699739931</v>
      </c>
      <c r="E20" s="40">
        <f>C20/$C$40</f>
        <v>7.0606574814346462E-3</v>
      </c>
    </row>
    <row r="21" spans="2:7" x14ac:dyDescent="0.25">
      <c r="B21" s="7" t="s">
        <v>141</v>
      </c>
      <c r="C21" s="42">
        <f>'Прил.5 Расчет СМР и ОБ'!E64</f>
        <v>0.46</v>
      </c>
      <c r="D21" s="40"/>
      <c r="E21" s="7"/>
    </row>
    <row r="22" spans="2:7" x14ac:dyDescent="0.25">
      <c r="B22" s="7" t="s">
        <v>142</v>
      </c>
      <c r="C22" s="41">
        <f>ROUND(C23*(C11+C15),2)</f>
        <v>659148.56000000006</v>
      </c>
      <c r="D22" s="40">
        <f>C22/$C$24</f>
        <v>0.38000153868819309</v>
      </c>
      <c r="E22" s="40">
        <f>C22/$C$40</f>
        <v>1.3814329973438184E-2</v>
      </c>
    </row>
    <row r="23" spans="2:7" x14ac:dyDescent="0.25">
      <c r="B23" s="7" t="s">
        <v>143</v>
      </c>
      <c r="C23" s="42">
        <f>'Прил.5 Расчет СМР и ОБ'!E63</f>
        <v>0.9</v>
      </c>
      <c r="D23" s="40"/>
      <c r="E23" s="7"/>
    </row>
    <row r="24" spans="2:7" x14ac:dyDescent="0.25">
      <c r="B24" s="7" t="s">
        <v>144</v>
      </c>
      <c r="C24" s="41">
        <f>C19+C20+C22</f>
        <v>1734594.4500000002</v>
      </c>
      <c r="D24" s="40">
        <f>C24/$C$24</f>
        <v>1</v>
      </c>
      <c r="E24" s="40">
        <f>C24/$C$40</f>
        <v>3.6353352728851478E-2</v>
      </c>
    </row>
    <row r="25" spans="2:7" ht="25.5" customHeight="1" x14ac:dyDescent="0.25">
      <c r="B25" s="7" t="s">
        <v>145</v>
      </c>
      <c r="C25" s="41">
        <f>'Прил.5 Расчет СМР и ОБ'!J45</f>
        <v>41574718.859999999</v>
      </c>
      <c r="D25" s="40"/>
      <c r="E25" s="40">
        <f>C25/$C$40</f>
        <v>0.87131630066060339</v>
      </c>
    </row>
    <row r="26" spans="2:7" ht="25.5" customHeight="1" x14ac:dyDescent="0.25">
      <c r="B26" s="7" t="s">
        <v>146</v>
      </c>
      <c r="C26" s="41">
        <f>'Прил.5 Расчет СМР и ОБ'!J46</f>
        <v>41574719.039999999</v>
      </c>
      <c r="D26" s="40"/>
      <c r="E26" s="40">
        <f>C26/$C$40</f>
        <v>0.87131630443301455</v>
      </c>
    </row>
    <row r="27" spans="2:7" x14ac:dyDescent="0.25">
      <c r="B27" s="7" t="s">
        <v>147</v>
      </c>
      <c r="C27" s="39">
        <f>C24+C25</f>
        <v>43309313.310000002</v>
      </c>
      <c r="D27" s="40"/>
      <c r="E27" s="40">
        <f>C27/$C$40</f>
        <v>0.90766965338945493</v>
      </c>
    </row>
    <row r="28" spans="2:7" ht="33" customHeight="1" x14ac:dyDescent="0.25">
      <c r="B28" s="7" t="s">
        <v>148</v>
      </c>
      <c r="C28" s="7"/>
      <c r="D28" s="7"/>
      <c r="E28" s="7"/>
    </row>
    <row r="29" spans="2:7" ht="25.5" customHeight="1" x14ac:dyDescent="0.25">
      <c r="B29" s="7" t="s">
        <v>149</v>
      </c>
      <c r="C29" s="39">
        <f>ROUND(C24*3.9%,2)</f>
        <v>67649.179999999993</v>
      </c>
      <c r="D29" s="7"/>
      <c r="E29" s="40">
        <f t="shared" ref="E29:E40" si="2">C29/$C$40</f>
        <v>1.4177806820248758E-3</v>
      </c>
    </row>
    <row r="30" spans="2:7" ht="38.25" customHeight="1" x14ac:dyDescent="0.25">
      <c r="B30" s="112" t="s">
        <v>150</v>
      </c>
      <c r="C30" s="113">
        <f>ROUND((C24+C29)*2.1%,2)</f>
        <v>37847.120000000003</v>
      </c>
      <c r="D30" s="112"/>
      <c r="E30" s="114">
        <f t="shared" si="2"/>
        <v>7.9319388063945977E-4</v>
      </c>
    </row>
    <row r="31" spans="2:7" x14ac:dyDescent="0.25">
      <c r="B31" s="112" t="s">
        <v>151</v>
      </c>
      <c r="C31" s="113">
        <v>1851057.58</v>
      </c>
      <c r="D31" s="112"/>
      <c r="E31" s="114">
        <f t="shared" si="2"/>
        <v>3.879416835857754E-2</v>
      </c>
    </row>
    <row r="32" spans="2:7" ht="25.5" customHeight="1" x14ac:dyDescent="0.25">
      <c r="B32" s="112" t="s">
        <v>152</v>
      </c>
      <c r="C32" s="113">
        <f>ROUND($C$27*0%,2)</f>
        <v>0</v>
      </c>
      <c r="D32" s="112"/>
      <c r="E32" s="114">
        <f t="shared" si="2"/>
        <v>0</v>
      </c>
      <c r="G32" s="103"/>
    </row>
    <row r="33" spans="2:12" ht="25.5" customHeight="1" x14ac:dyDescent="0.25">
      <c r="B33" s="112" t="s">
        <v>153</v>
      </c>
      <c r="C33" s="113">
        <f>ROUND($C$27*0%,2)</f>
        <v>0</v>
      </c>
      <c r="D33" s="112"/>
      <c r="E33" s="114">
        <f t="shared" si="2"/>
        <v>0</v>
      </c>
      <c r="G33" s="103"/>
    </row>
    <row r="34" spans="2:12" ht="51" customHeight="1" x14ac:dyDescent="0.25">
      <c r="B34" s="112" t="s">
        <v>154</v>
      </c>
      <c r="C34" s="113">
        <f>ROUND($C$27*0%,2)</f>
        <v>0</v>
      </c>
      <c r="D34" s="112"/>
      <c r="E34" s="114">
        <f t="shared" si="2"/>
        <v>0</v>
      </c>
      <c r="G34" s="103"/>
    </row>
    <row r="35" spans="2:12" ht="76.5" customHeight="1" x14ac:dyDescent="0.25">
      <c r="B35" s="112" t="s">
        <v>155</v>
      </c>
      <c r="C35" s="113">
        <f>ROUND($C$27*0%,2)</f>
        <v>0</v>
      </c>
      <c r="D35" s="112"/>
      <c r="E35" s="114">
        <f t="shared" si="2"/>
        <v>0</v>
      </c>
      <c r="G35" s="103"/>
    </row>
    <row r="36" spans="2:12" ht="25.5" customHeight="1" x14ac:dyDescent="0.25">
      <c r="B36" s="7" t="s">
        <v>156</v>
      </c>
      <c r="C36" s="39">
        <f>ROUND(SUM(C27:C35)*2.14%,2)</f>
        <v>968689.56</v>
      </c>
      <c r="D36" s="7"/>
      <c r="E36" s="40">
        <f t="shared" si="2"/>
        <v>2.0301640685772941E-2</v>
      </c>
      <c r="G36" s="60"/>
      <c r="L36" s="18"/>
    </row>
    <row r="37" spans="2:12" x14ac:dyDescent="0.25">
      <c r="B37" s="7" t="s">
        <v>157</v>
      </c>
      <c r="C37" s="39">
        <f>ROUND(SUM(C27:C35)*0.2%,2)</f>
        <v>90531.73</v>
      </c>
      <c r="D37" s="7"/>
      <c r="E37" s="40">
        <f t="shared" si="2"/>
        <v>1.8973495008260547E-3</v>
      </c>
      <c r="G37" s="60"/>
      <c r="L37" s="18"/>
    </row>
    <row r="38" spans="2:12" ht="38.25" customHeight="1" x14ac:dyDescent="0.25">
      <c r="B38" s="7" t="s">
        <v>158</v>
      </c>
      <c r="C38" s="41">
        <f>SUM(C27:C37)</f>
        <v>46325088.479999997</v>
      </c>
      <c r="D38" s="7"/>
      <c r="E38" s="40">
        <f t="shared" si="2"/>
        <v>0.97087378649729561</v>
      </c>
    </row>
    <row r="39" spans="2:12" ht="13.5" customHeight="1" x14ac:dyDescent="0.25">
      <c r="B39" s="7" t="s">
        <v>159</v>
      </c>
      <c r="C39" s="41">
        <f>ROUND(C38*3%,2)</f>
        <v>1389752.65</v>
      </c>
      <c r="D39" s="7"/>
      <c r="E39" s="40">
        <f t="shared" si="2"/>
        <v>2.9126213502704373E-2</v>
      </c>
    </row>
    <row r="40" spans="2:12" x14ac:dyDescent="0.25">
      <c r="B40" s="7" t="s">
        <v>160</v>
      </c>
      <c r="C40" s="41">
        <f>C39+C38</f>
        <v>47714841.129999995</v>
      </c>
      <c r="D40" s="7"/>
      <c r="E40" s="40">
        <f t="shared" si="2"/>
        <v>1</v>
      </c>
    </row>
    <row r="41" spans="2:12" x14ac:dyDescent="0.25">
      <c r="B41" s="7" t="s">
        <v>161</v>
      </c>
      <c r="C41" s="41">
        <f>C40/'Прил.5 Расчет СМР и ОБ'!E67</f>
        <v>47714841.129999995</v>
      </c>
      <c r="D41" s="7"/>
      <c r="E41" s="7"/>
    </row>
    <row r="42" spans="2:12" x14ac:dyDescent="0.25">
      <c r="B42" s="19"/>
      <c r="C42" s="6"/>
      <c r="D42" s="6"/>
      <c r="E42" s="6"/>
    </row>
    <row r="43" spans="2:12" x14ac:dyDescent="0.25">
      <c r="B43" s="6" t="s">
        <v>33</v>
      </c>
      <c r="C43" s="1"/>
      <c r="D43" s="6"/>
      <c r="E43" s="6"/>
    </row>
    <row r="44" spans="2:12" x14ac:dyDescent="0.25">
      <c r="B44" s="63" t="s">
        <v>34</v>
      </c>
      <c r="C44" s="1"/>
      <c r="D44" s="6"/>
      <c r="E44" s="6"/>
    </row>
    <row r="45" spans="2:12" x14ac:dyDescent="0.25">
      <c r="B45" s="6"/>
      <c r="C45" s="1"/>
      <c r="D45" s="6"/>
      <c r="E45" s="6"/>
    </row>
    <row r="46" spans="2:12" x14ac:dyDescent="0.25">
      <c r="B46" s="6" t="s">
        <v>35</v>
      </c>
      <c r="C46" s="1"/>
      <c r="D46" s="6"/>
      <c r="E46" s="6"/>
    </row>
    <row r="47" spans="2:12" x14ac:dyDescent="0.25">
      <c r="B47" s="63" t="s">
        <v>36</v>
      </c>
      <c r="C47" s="1"/>
      <c r="D47" s="6"/>
      <c r="E47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N74"/>
  <sheetViews>
    <sheetView view="pageBreakPreview" zoomScale="70" zoomScaleSheetLayoutView="70" workbookViewId="0">
      <selection activeCell="Q22" sqref="Q22"/>
    </sheetView>
  </sheetViews>
  <sheetFormatPr defaultColWidth="9.140625" defaultRowHeight="15" outlineLevelRow="1" x14ac:dyDescent="0.25"/>
  <cols>
    <col min="1" max="1" width="5.7109375" style="1" customWidth="1"/>
    <col min="2" max="2" width="22.5703125" style="1" customWidth="1"/>
    <col min="3" max="3" width="39.140625" style="1" customWidth="1"/>
    <col min="4" max="4" width="10.7109375" style="1" customWidth="1"/>
    <col min="5" max="5" width="12.7109375" style="1" customWidth="1"/>
    <col min="6" max="6" width="14.5703125" style="1" customWidth="1"/>
    <col min="7" max="7" width="13.42578125" style="1" customWidth="1"/>
    <col min="8" max="8" width="12.7109375" style="1" customWidth="1"/>
    <col min="9" max="9" width="14.5703125" style="1" customWidth="1"/>
    <col min="10" max="10" width="15.140625" style="1" customWidth="1"/>
    <col min="11" max="11" width="2.85546875" style="1" customWidth="1"/>
    <col min="12" max="12" width="10.7109375" style="1" customWidth="1"/>
    <col min="13" max="13" width="10.85546875" style="1" customWidth="1"/>
    <col min="14" max="14" width="9.140625" style="1"/>
  </cols>
  <sheetData>
    <row r="2" spans="1:12" ht="15.75" customHeight="1" x14ac:dyDescent="0.25">
      <c r="I2" s="62"/>
      <c r="J2" s="61" t="s">
        <v>162</v>
      </c>
    </row>
    <row r="4" spans="1:12" s="6" customFormat="1" ht="12.75" customHeight="1" x14ac:dyDescent="0.2">
      <c r="A4" s="142" t="s">
        <v>163</v>
      </c>
      <c r="B4" s="142"/>
      <c r="C4" s="142"/>
      <c r="D4" s="142"/>
      <c r="E4" s="142"/>
      <c r="F4" s="142"/>
      <c r="G4" s="142"/>
      <c r="H4" s="142"/>
      <c r="I4" s="43"/>
      <c r="J4" s="43"/>
    </row>
    <row r="5" spans="1:12" s="6" customFormat="1" ht="12.75" customHeight="1" x14ac:dyDescent="0.2">
      <c r="A5" s="43"/>
      <c r="B5" s="43"/>
      <c r="C5" s="43"/>
      <c r="D5" s="43"/>
      <c r="E5" s="43"/>
      <c r="F5" s="43"/>
      <c r="G5" s="43"/>
      <c r="H5" s="43"/>
      <c r="I5" s="43"/>
      <c r="J5" s="43"/>
    </row>
    <row r="6" spans="1:12" s="6" customFormat="1" ht="41.25" customHeight="1" x14ac:dyDescent="0.2">
      <c r="A6" s="93" t="s">
        <v>164</v>
      </c>
      <c r="B6" s="94"/>
      <c r="C6" s="94"/>
      <c r="D6" s="163" t="s">
        <v>165</v>
      </c>
      <c r="E6" s="163"/>
      <c r="F6" s="163"/>
      <c r="G6" s="163"/>
      <c r="H6" s="163"/>
      <c r="I6" s="163"/>
      <c r="J6" s="163"/>
    </row>
    <row r="7" spans="1:12" s="6" customFormat="1" ht="12.75" customHeight="1" x14ac:dyDescent="0.2">
      <c r="A7" s="163" t="str">
        <f>'Прил.1 Сравнит табл'!B9</f>
        <v>Единица измерения  — 1 ПС</v>
      </c>
      <c r="B7" s="143"/>
      <c r="C7" s="143"/>
      <c r="D7" s="143"/>
      <c r="E7" s="143"/>
      <c r="F7" s="143"/>
      <c r="G7" s="143"/>
      <c r="H7" s="143"/>
      <c r="I7" s="95"/>
      <c r="J7" s="95"/>
    </row>
    <row r="8" spans="1:12" s="6" customFormat="1" ht="12.75" customHeight="1" x14ac:dyDescent="0.2"/>
    <row r="9" spans="1:12" ht="27" customHeight="1" x14ac:dyDescent="0.25">
      <c r="A9" s="158" t="s">
        <v>166</v>
      </c>
      <c r="B9" s="158" t="s">
        <v>55</v>
      </c>
      <c r="C9" s="158" t="s">
        <v>127</v>
      </c>
      <c r="D9" s="158" t="s">
        <v>57</v>
      </c>
      <c r="E9" s="164" t="s">
        <v>167</v>
      </c>
      <c r="F9" s="154" t="s">
        <v>59</v>
      </c>
      <c r="G9" s="155"/>
      <c r="H9" s="164" t="s">
        <v>168</v>
      </c>
      <c r="I9" s="154" t="s">
        <v>169</v>
      </c>
      <c r="J9" s="155"/>
    </row>
    <row r="10" spans="1:12" ht="28.5" customHeight="1" x14ac:dyDescent="0.25">
      <c r="A10" s="158"/>
      <c r="B10" s="158"/>
      <c r="C10" s="158"/>
      <c r="D10" s="158"/>
      <c r="E10" s="165"/>
      <c r="F10" s="2" t="s">
        <v>170</v>
      </c>
      <c r="G10" s="2" t="s">
        <v>61</v>
      </c>
      <c r="H10" s="165"/>
      <c r="I10" s="2" t="s">
        <v>170</v>
      </c>
      <c r="J10" s="2" t="s">
        <v>61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L11" s="58"/>
    </row>
    <row r="12" spans="1:12" x14ac:dyDescent="0.25">
      <c r="A12" s="2"/>
      <c r="B12" s="156" t="s">
        <v>171</v>
      </c>
      <c r="C12" s="157"/>
      <c r="D12" s="158"/>
      <c r="E12" s="159"/>
      <c r="F12" s="160"/>
      <c r="G12" s="160"/>
      <c r="H12" s="162"/>
      <c r="I12" s="44"/>
      <c r="J12" s="44"/>
      <c r="L12" s="65"/>
    </row>
    <row r="13" spans="1:12" ht="25.5" customHeight="1" x14ac:dyDescent="0.25">
      <c r="A13" s="2">
        <v>1</v>
      </c>
      <c r="B13" s="48" t="s">
        <v>172</v>
      </c>
      <c r="C13" s="3" t="s">
        <v>173</v>
      </c>
      <c r="D13" s="2" t="s">
        <v>174</v>
      </c>
      <c r="E13" s="47">
        <f>G13/F13</f>
        <v>23.074074074074073</v>
      </c>
      <c r="F13" s="14">
        <v>9.18</v>
      </c>
      <c r="G13" s="14">
        <f>SUM(Прил.3!H15:H16)</f>
        <v>211.82</v>
      </c>
      <c r="H13" s="45">
        <f>G13/$G$16</f>
        <v>1.3331050863415572E-2</v>
      </c>
      <c r="I13" s="14">
        <f>ФОТр.тек.!E13</f>
        <v>423.83697188533</v>
      </c>
      <c r="J13" s="14">
        <f>ROUND(I13*E13,2)</f>
        <v>9779.65</v>
      </c>
    </row>
    <row r="14" spans="1:12" x14ac:dyDescent="0.25">
      <c r="A14" s="2">
        <v>2</v>
      </c>
      <c r="B14" s="48" t="s">
        <v>64</v>
      </c>
      <c r="C14" s="3" t="s">
        <v>65</v>
      </c>
      <c r="D14" s="2" t="s">
        <v>66</v>
      </c>
      <c r="E14" s="47">
        <v>530</v>
      </c>
      <c r="F14" s="14">
        <v>15.49</v>
      </c>
      <c r="G14" s="14">
        <f>ROUND(E14*F14,2)</f>
        <v>8209.7000000000007</v>
      </c>
      <c r="H14" s="45">
        <f>G14/$G$16</f>
        <v>0.5166836383409632</v>
      </c>
      <c r="I14" s="14">
        <f>ФОТр.тек.!E14</f>
        <v>713.02776960364997</v>
      </c>
      <c r="J14" s="14">
        <f>ROUND(E14*I14,2)</f>
        <v>377904.72</v>
      </c>
    </row>
    <row r="15" spans="1:12" x14ac:dyDescent="0.25">
      <c r="A15" s="2">
        <v>3</v>
      </c>
      <c r="B15" s="48" t="s">
        <v>67</v>
      </c>
      <c r="C15" s="3" t="s">
        <v>68</v>
      </c>
      <c r="D15" s="2" t="s">
        <v>66</v>
      </c>
      <c r="E15" s="47">
        <v>530</v>
      </c>
      <c r="F15" s="14">
        <v>14.09</v>
      </c>
      <c r="G15" s="14">
        <f>ROUND(E15*F15,2)</f>
        <v>7467.7</v>
      </c>
      <c r="H15" s="45">
        <f>G15/$G$16</f>
        <v>0.46998531079562111</v>
      </c>
      <c r="I15" s="14">
        <f>ФОТр.тек.!E15</f>
        <v>650.01601322007002</v>
      </c>
      <c r="J15" s="14">
        <f>ROUND(E15*I15,2)</f>
        <v>344508.49</v>
      </c>
    </row>
    <row r="16" spans="1:12" s="1" customFormat="1" ht="25.5" customHeight="1" x14ac:dyDescent="0.25">
      <c r="A16" s="2"/>
      <c r="B16" s="2"/>
      <c r="C16" s="5" t="s">
        <v>175</v>
      </c>
      <c r="D16" s="2" t="s">
        <v>174</v>
      </c>
      <c r="E16" s="47">
        <f>SUM(E13:E15)</f>
        <v>1083.0740740740739</v>
      </c>
      <c r="F16" s="14"/>
      <c r="G16" s="14">
        <f>SUM(G13:G15)</f>
        <v>15889.220000000001</v>
      </c>
      <c r="H16" s="45">
        <v>1</v>
      </c>
      <c r="I16" s="14"/>
      <c r="J16" s="14">
        <f>SUM(J13:J15)</f>
        <v>732192.86</v>
      </c>
      <c r="L16" s="66"/>
    </row>
    <row r="17" spans="1:12" s="1" customFormat="1" ht="14.25" customHeight="1" x14ac:dyDescent="0.2">
      <c r="A17" s="2"/>
      <c r="B17" s="157" t="s">
        <v>73</v>
      </c>
      <c r="C17" s="157"/>
      <c r="D17" s="158"/>
      <c r="E17" s="159"/>
      <c r="F17" s="160"/>
      <c r="G17" s="160"/>
      <c r="H17" s="162"/>
      <c r="I17" s="44"/>
      <c r="J17" s="44"/>
      <c r="L17" s="65"/>
    </row>
    <row r="18" spans="1:12" s="1" customFormat="1" ht="14.25" customHeight="1" x14ac:dyDescent="0.2">
      <c r="A18" s="2">
        <v>4</v>
      </c>
      <c r="B18" s="2">
        <v>2</v>
      </c>
      <c r="C18" s="3" t="s">
        <v>73</v>
      </c>
      <c r="D18" s="2" t="s">
        <v>174</v>
      </c>
      <c r="E18" s="47">
        <f>Прил.3!F18</f>
        <v>0.35</v>
      </c>
      <c r="F18" s="14">
        <f>G18/E18</f>
        <v>12.542857142857143</v>
      </c>
      <c r="G18" s="14">
        <f>Прил.3!H18</f>
        <v>4.3899999999999997</v>
      </c>
      <c r="H18" s="45">
        <v>1</v>
      </c>
      <c r="I18" s="14">
        <f>ROUND(F18*Прил.10!D10,2)</f>
        <v>555.52</v>
      </c>
      <c r="J18" s="14">
        <f>ROUND(I18*E18,2)</f>
        <v>194.43</v>
      </c>
      <c r="L18" s="58"/>
    </row>
    <row r="19" spans="1:12" s="1" customFormat="1" ht="14.25" customHeight="1" x14ac:dyDescent="0.2">
      <c r="A19" s="2"/>
      <c r="B19" s="156" t="s">
        <v>74</v>
      </c>
      <c r="C19" s="157"/>
      <c r="D19" s="158"/>
      <c r="E19" s="159"/>
      <c r="F19" s="160"/>
      <c r="G19" s="160"/>
      <c r="H19" s="161"/>
      <c r="I19" s="45"/>
      <c r="J19" s="45"/>
    </row>
    <row r="20" spans="1:12" s="1" customFormat="1" ht="14.25" customHeight="1" x14ac:dyDescent="0.2">
      <c r="A20" s="2"/>
      <c r="B20" s="157" t="s">
        <v>176</v>
      </c>
      <c r="C20" s="157"/>
      <c r="D20" s="158"/>
      <c r="E20" s="159"/>
      <c r="F20" s="160"/>
      <c r="G20" s="160"/>
      <c r="H20" s="162"/>
      <c r="I20" s="44"/>
      <c r="J20" s="44"/>
    </row>
    <row r="21" spans="1:12" s="1" customFormat="1" ht="25.5" customHeight="1" x14ac:dyDescent="0.2">
      <c r="A21" s="2">
        <v>5</v>
      </c>
      <c r="B21" s="48" t="s">
        <v>75</v>
      </c>
      <c r="C21" s="3" t="s">
        <v>76</v>
      </c>
      <c r="D21" s="2" t="s">
        <v>77</v>
      </c>
      <c r="E21" s="47">
        <v>0.17</v>
      </c>
      <c r="F21" s="9">
        <v>115.4</v>
      </c>
      <c r="G21" s="14">
        <f>ROUND(E21*F21,2)</f>
        <v>19.62</v>
      </c>
      <c r="H21" s="45">
        <f>G21/$G$27</f>
        <v>0.49910964131264002</v>
      </c>
      <c r="I21" s="14">
        <f>ROUND(F21*Прил.10!$D$11,2)</f>
        <v>1554.44</v>
      </c>
      <c r="J21" s="14">
        <f>ROUND(I21*E21,2)</f>
        <v>264.25</v>
      </c>
    </row>
    <row r="22" spans="1:12" s="1" customFormat="1" ht="25.5" customHeight="1" x14ac:dyDescent="0.2">
      <c r="A22" s="2">
        <v>6</v>
      </c>
      <c r="B22" s="48" t="s">
        <v>78</v>
      </c>
      <c r="C22" s="3" t="s">
        <v>79</v>
      </c>
      <c r="D22" s="2" t="s">
        <v>77</v>
      </c>
      <c r="E22" s="47">
        <v>0.18</v>
      </c>
      <c r="F22" s="9">
        <v>65.709999999999994</v>
      </c>
      <c r="G22" s="14">
        <f>ROUND(E22*F22,2)</f>
        <v>11.83</v>
      </c>
      <c r="H22" s="45">
        <f>G22/$G$27</f>
        <v>0.30094123632663</v>
      </c>
      <c r="I22" s="14">
        <f>ROUND(F22*Прил.10!$D$11,2)</f>
        <v>885.11</v>
      </c>
      <c r="J22" s="14">
        <f>ROUND(I22*E22,2)</f>
        <v>159.32</v>
      </c>
    </row>
    <row r="23" spans="1:12" s="1" customFormat="1" ht="14.25" customHeight="1" x14ac:dyDescent="0.2">
      <c r="A23" s="2">
        <v>7</v>
      </c>
      <c r="B23" s="48" t="s">
        <v>80</v>
      </c>
      <c r="C23" s="3" t="s">
        <v>81</v>
      </c>
      <c r="D23" s="2" t="s">
        <v>77</v>
      </c>
      <c r="E23" s="47">
        <v>2.2999999999999998</v>
      </c>
      <c r="F23" s="9">
        <v>2.36</v>
      </c>
      <c r="G23" s="14">
        <f>ROUND(E23*F23,2)</f>
        <v>5.43</v>
      </c>
      <c r="H23" s="45">
        <f>G23/$G$27</f>
        <v>0.13813279063851</v>
      </c>
      <c r="I23" s="14">
        <f>ROUND(F23*Прил.10!$D$11,2)</f>
        <v>31.79</v>
      </c>
      <c r="J23" s="14">
        <f>ROUND(I23*E23,2)</f>
        <v>73.12</v>
      </c>
    </row>
    <row r="24" spans="1:12" s="1" customFormat="1" ht="14.25" customHeight="1" x14ac:dyDescent="0.2">
      <c r="B24" s="2"/>
      <c r="C24" s="3" t="s">
        <v>177</v>
      </c>
      <c r="D24" s="2"/>
      <c r="E24" s="49"/>
      <c r="F24" s="14"/>
      <c r="G24" s="14">
        <f>SUM(G21:G23)</f>
        <v>36.880000000000003</v>
      </c>
      <c r="H24" s="45">
        <f>G24/G27</f>
        <v>0.93818366827778998</v>
      </c>
      <c r="I24" s="14"/>
      <c r="J24" s="14">
        <f>SUM(J21:J23)</f>
        <v>496.69</v>
      </c>
      <c r="L24" s="65"/>
    </row>
    <row r="25" spans="1:12" s="1" customFormat="1" ht="25.5" hidden="1" customHeight="1" outlineLevel="1" x14ac:dyDescent="0.2">
      <c r="A25" s="2">
        <v>8</v>
      </c>
      <c r="B25" s="48" t="s">
        <v>82</v>
      </c>
      <c r="C25" s="3" t="s">
        <v>83</v>
      </c>
      <c r="D25" s="2" t="s">
        <v>77</v>
      </c>
      <c r="E25" s="47">
        <v>0.3</v>
      </c>
      <c r="F25" s="9">
        <v>8.1</v>
      </c>
      <c r="G25" s="14">
        <f>ROUND(E25*F25,2)</f>
        <v>2.4300000000000002</v>
      </c>
      <c r="H25" s="45">
        <f>G25/$G$27</f>
        <v>6.1816331722207997E-2</v>
      </c>
      <c r="I25" s="14">
        <f>ROUND(F25*Прил.10!$D$11,2)</f>
        <v>109.11</v>
      </c>
      <c r="J25" s="14">
        <f>ROUND(I25*E25,2)</f>
        <v>32.729999999999997</v>
      </c>
      <c r="L25" s="65"/>
    </row>
    <row r="26" spans="1:12" s="1" customFormat="1" ht="14.25" customHeight="1" collapsed="1" x14ac:dyDescent="0.2">
      <c r="A26" s="2"/>
      <c r="B26" s="2"/>
      <c r="C26" s="3" t="s">
        <v>178</v>
      </c>
      <c r="D26" s="2"/>
      <c r="E26" s="50"/>
      <c r="F26" s="14"/>
      <c r="G26" s="14">
        <f>SUM(G25:G25)</f>
        <v>2.4300000000000002</v>
      </c>
      <c r="H26" s="45">
        <f>G26/G27</f>
        <v>6.1816331722207997E-2</v>
      </c>
      <c r="I26" s="14"/>
      <c r="J26" s="14">
        <f>SUM(J25:J25)</f>
        <v>32.729999999999997</v>
      </c>
      <c r="K26" s="46"/>
      <c r="L26" s="65"/>
    </row>
    <row r="27" spans="1:12" s="1" customFormat="1" ht="25.5" customHeight="1" x14ac:dyDescent="0.2">
      <c r="A27" s="2"/>
      <c r="B27" s="51"/>
      <c r="C27" s="52" t="s">
        <v>179</v>
      </c>
      <c r="D27" s="51"/>
      <c r="E27" s="53"/>
      <c r="F27" s="54"/>
      <c r="G27" s="54">
        <f>G24+G26</f>
        <v>39.31</v>
      </c>
      <c r="H27" s="55">
        <v>1</v>
      </c>
      <c r="I27" s="54"/>
      <c r="J27" s="54">
        <f>J24+J26</f>
        <v>529.41999999999996</v>
      </c>
    </row>
    <row r="28" spans="1:12" x14ac:dyDescent="0.25">
      <c r="A28" s="68"/>
      <c r="B28" s="150" t="s">
        <v>180</v>
      </c>
      <c r="C28" s="150"/>
      <c r="D28" s="150"/>
      <c r="E28" s="150"/>
      <c r="F28" s="150"/>
      <c r="G28" s="150"/>
      <c r="H28" s="150"/>
      <c r="I28" s="150"/>
      <c r="J28" s="150"/>
    </row>
    <row r="29" spans="1:12" ht="15" customHeight="1" x14ac:dyDescent="0.25">
      <c r="A29" s="2"/>
      <c r="B29" s="157" t="s">
        <v>181</v>
      </c>
      <c r="C29" s="157"/>
      <c r="D29" s="157"/>
      <c r="E29" s="157"/>
      <c r="F29" s="157"/>
      <c r="G29" s="157"/>
      <c r="H29" s="157"/>
      <c r="I29" s="157"/>
      <c r="J29" s="157"/>
    </row>
    <row r="30" spans="1:12" ht="51" customHeight="1" x14ac:dyDescent="0.25">
      <c r="A30" s="2">
        <v>9</v>
      </c>
      <c r="B30" s="115" t="s">
        <v>84</v>
      </c>
      <c r="C30" s="116" t="s">
        <v>85</v>
      </c>
      <c r="D30" s="117" t="s">
        <v>86</v>
      </c>
      <c r="E30" s="118">
        <v>20</v>
      </c>
      <c r="F30" s="119">
        <v>153634.19</v>
      </c>
      <c r="G30" s="120">
        <f t="shared" ref="G30:G36" si="0">ROUND(E30*F30,2)</f>
        <v>3072683.8</v>
      </c>
      <c r="H30" s="121">
        <f t="shared" ref="H30:H44" si="1">G30/$G$45</f>
        <v>0.46266098803611128</v>
      </c>
      <c r="I30" s="119">
        <f>ROUND(F30*Прил.10!$D$13,2)</f>
        <v>961750.03</v>
      </c>
      <c r="J30" s="120">
        <f t="shared" ref="J30:J36" si="2">ROUND(I30*E30,2)</f>
        <v>19235000.600000001</v>
      </c>
      <c r="K30" s="46"/>
    </row>
    <row r="31" spans="1:12" ht="25.5" customHeight="1" x14ac:dyDescent="0.25">
      <c r="A31" s="2">
        <v>10</v>
      </c>
      <c r="B31" s="115" t="s">
        <v>84</v>
      </c>
      <c r="C31" s="116" t="s">
        <v>87</v>
      </c>
      <c r="D31" s="117" t="s">
        <v>86</v>
      </c>
      <c r="E31" s="118">
        <v>2</v>
      </c>
      <c r="F31" s="119">
        <v>277693.77</v>
      </c>
      <c r="G31" s="120">
        <f t="shared" si="0"/>
        <v>555387.54</v>
      </c>
      <c r="H31" s="121">
        <f t="shared" si="1"/>
        <v>8.3625965027493324E-2</v>
      </c>
      <c r="I31" s="119">
        <f>ROUND(F31*Прил.10!$D$13,2)</f>
        <v>1738363</v>
      </c>
      <c r="J31" s="120">
        <f t="shared" si="2"/>
        <v>3476726</v>
      </c>
      <c r="K31" s="46"/>
    </row>
    <row r="32" spans="1:12" ht="25.5" customHeight="1" x14ac:dyDescent="0.25">
      <c r="A32" s="2">
        <v>11</v>
      </c>
      <c r="B32" s="115" t="s">
        <v>84</v>
      </c>
      <c r="C32" s="116" t="s">
        <v>88</v>
      </c>
      <c r="D32" s="117" t="s">
        <v>86</v>
      </c>
      <c r="E32" s="118">
        <v>2</v>
      </c>
      <c r="F32" s="119">
        <v>277006.71000000002</v>
      </c>
      <c r="G32" s="120">
        <f t="shared" si="0"/>
        <v>554013.42000000004</v>
      </c>
      <c r="H32" s="121">
        <f t="shared" si="1"/>
        <v>8.3419060653902991E-2</v>
      </c>
      <c r="I32" s="119">
        <f>ROUND(F32*Прил.10!$D$13,2)</f>
        <v>1734062</v>
      </c>
      <c r="J32" s="120">
        <f t="shared" si="2"/>
        <v>3468124</v>
      </c>
      <c r="K32" s="46"/>
    </row>
    <row r="33" spans="1:12" ht="51" customHeight="1" x14ac:dyDescent="0.25">
      <c r="A33" s="2">
        <v>12</v>
      </c>
      <c r="B33" s="115" t="s">
        <v>84</v>
      </c>
      <c r="C33" s="116" t="s">
        <v>89</v>
      </c>
      <c r="D33" s="117" t="s">
        <v>86</v>
      </c>
      <c r="E33" s="118">
        <v>20</v>
      </c>
      <c r="F33" s="119">
        <v>67452.08</v>
      </c>
      <c r="G33" s="120">
        <f t="shared" si="0"/>
        <v>1349041.6</v>
      </c>
      <c r="H33" s="121">
        <f t="shared" si="1"/>
        <v>0.20312826186600016</v>
      </c>
      <c r="I33" s="119">
        <f>ROUND(F33*Прил.10!$D$13,2)</f>
        <v>422250.02</v>
      </c>
      <c r="J33" s="120">
        <f t="shared" si="2"/>
        <v>8445000.4000000004</v>
      </c>
      <c r="K33" s="46"/>
    </row>
    <row r="34" spans="1:12" ht="25.5" customHeight="1" x14ac:dyDescent="0.25">
      <c r="A34" s="2">
        <v>13</v>
      </c>
      <c r="B34" s="115" t="s">
        <v>84</v>
      </c>
      <c r="C34" s="116" t="s">
        <v>90</v>
      </c>
      <c r="D34" s="117" t="s">
        <v>86</v>
      </c>
      <c r="E34" s="118">
        <v>1</v>
      </c>
      <c r="F34" s="119">
        <v>172088.5</v>
      </c>
      <c r="G34" s="120">
        <f t="shared" si="0"/>
        <v>172088.5</v>
      </c>
      <c r="H34" s="121">
        <f t="shared" si="1"/>
        <v>2.5911756829535254E-2</v>
      </c>
      <c r="I34" s="119">
        <f>ROUND(F34*Прил.10!$D$13,2)</f>
        <v>1077274.01</v>
      </c>
      <c r="J34" s="120">
        <f t="shared" si="2"/>
        <v>1077274.01</v>
      </c>
      <c r="K34" s="46"/>
    </row>
    <row r="35" spans="1:12" ht="51" customHeight="1" x14ac:dyDescent="0.25">
      <c r="A35" s="2">
        <v>14</v>
      </c>
      <c r="B35" s="115" t="s">
        <v>84</v>
      </c>
      <c r="C35" s="116" t="s">
        <v>91</v>
      </c>
      <c r="D35" s="117" t="s">
        <v>86</v>
      </c>
      <c r="E35" s="118">
        <v>2</v>
      </c>
      <c r="F35" s="119">
        <v>58945.69</v>
      </c>
      <c r="G35" s="120">
        <f t="shared" si="0"/>
        <v>117891.38</v>
      </c>
      <c r="H35" s="121">
        <f t="shared" si="1"/>
        <v>1.775117320947266E-2</v>
      </c>
      <c r="I35" s="119">
        <f>ROUND(F35*Прил.10!$D$13,2)</f>
        <v>369000.02</v>
      </c>
      <c r="J35" s="120">
        <f t="shared" si="2"/>
        <v>738000.04</v>
      </c>
      <c r="K35" s="46"/>
    </row>
    <row r="36" spans="1:12" ht="25.5" customHeight="1" x14ac:dyDescent="0.25">
      <c r="A36" s="2">
        <v>15</v>
      </c>
      <c r="B36" s="115" t="s">
        <v>84</v>
      </c>
      <c r="C36" s="116" t="s">
        <v>92</v>
      </c>
      <c r="D36" s="117" t="s">
        <v>93</v>
      </c>
      <c r="E36" s="118">
        <v>1</v>
      </c>
      <c r="F36" s="119">
        <v>110738.02</v>
      </c>
      <c r="G36" s="120">
        <f t="shared" si="0"/>
        <v>110738.02</v>
      </c>
      <c r="H36" s="121">
        <f t="shared" si="1"/>
        <v>1.6674075525233888E-2</v>
      </c>
      <c r="I36" s="119">
        <f>ROUND(F36*Прил.10!$D$13,2)</f>
        <v>693220.01</v>
      </c>
      <c r="J36" s="120">
        <f t="shared" si="2"/>
        <v>693220.01</v>
      </c>
      <c r="K36" s="46"/>
    </row>
    <row r="37" spans="1:12" x14ac:dyDescent="0.25">
      <c r="A37" s="69"/>
      <c r="B37" s="117"/>
      <c r="C37" s="116" t="s">
        <v>182</v>
      </c>
      <c r="D37" s="117"/>
      <c r="E37" s="118"/>
      <c r="F37" s="119"/>
      <c r="G37" s="120">
        <f>SUM(G30:G36)</f>
        <v>5931844.2599999998</v>
      </c>
      <c r="H37" s="121">
        <f t="shared" si="1"/>
        <v>0.89317128114774957</v>
      </c>
      <c r="I37" s="120"/>
      <c r="J37" s="120">
        <f>SUM(J30:J36)</f>
        <v>37133345.060000002</v>
      </c>
      <c r="K37" s="46"/>
    </row>
    <row r="38" spans="1:12" ht="38.25" hidden="1" customHeight="1" outlineLevel="1" x14ac:dyDescent="0.25">
      <c r="A38" s="2">
        <v>16</v>
      </c>
      <c r="B38" s="122" t="s">
        <v>84</v>
      </c>
      <c r="C38" s="116" t="s">
        <v>94</v>
      </c>
      <c r="D38" s="117" t="s">
        <v>86</v>
      </c>
      <c r="E38" s="118">
        <v>1</v>
      </c>
      <c r="F38" s="119">
        <v>101757.19</v>
      </c>
      <c r="G38" s="120">
        <f t="shared" ref="G38:G43" si="3">ROUND(E38*F38,2)</f>
        <v>101757.19</v>
      </c>
      <c r="H38" s="121">
        <f t="shared" si="1"/>
        <v>1.5321811526841228E-2</v>
      </c>
      <c r="I38" s="119">
        <f>ROUND(F38*Прил.10!$D$13,2)</f>
        <v>637000.01</v>
      </c>
      <c r="J38" s="120">
        <f t="shared" ref="J38:J43" si="4">ROUND(I38*E38,2)</f>
        <v>637000.01</v>
      </c>
      <c r="K38" s="46"/>
    </row>
    <row r="39" spans="1:12" ht="38.25" hidden="1" customHeight="1" outlineLevel="1" x14ac:dyDescent="0.25">
      <c r="A39" s="2">
        <v>17</v>
      </c>
      <c r="B39" s="122" t="s">
        <v>84</v>
      </c>
      <c r="C39" s="116" t="s">
        <v>95</v>
      </c>
      <c r="D39" s="117" t="s">
        <v>86</v>
      </c>
      <c r="E39" s="118">
        <v>40</v>
      </c>
      <c r="F39" s="119">
        <v>6309.9</v>
      </c>
      <c r="G39" s="120">
        <f t="shared" si="3"/>
        <v>252396</v>
      </c>
      <c r="H39" s="121">
        <f t="shared" si="1"/>
        <v>3.800383974959036E-2</v>
      </c>
      <c r="I39" s="119">
        <f>ROUND(F39*Прил.10!$D$13,2)</f>
        <v>39499.97</v>
      </c>
      <c r="J39" s="120">
        <f t="shared" si="4"/>
        <v>1579998.8</v>
      </c>
      <c r="K39" s="46"/>
    </row>
    <row r="40" spans="1:12" ht="38.25" hidden="1" customHeight="1" outlineLevel="1" x14ac:dyDescent="0.25">
      <c r="A40" s="2">
        <v>18</v>
      </c>
      <c r="B40" s="122" t="s">
        <v>84</v>
      </c>
      <c r="C40" s="116" t="s">
        <v>96</v>
      </c>
      <c r="D40" s="117" t="s">
        <v>86</v>
      </c>
      <c r="E40" s="118">
        <v>1</v>
      </c>
      <c r="F40" s="119">
        <v>89416.93</v>
      </c>
      <c r="G40" s="120">
        <f t="shared" si="3"/>
        <v>89416.93</v>
      </c>
      <c r="H40" s="121">
        <f t="shared" si="1"/>
        <v>1.3463710512925475E-2</v>
      </c>
      <c r="I40" s="119">
        <f>ROUND(F40*Прил.10!$D$13,2)</f>
        <v>559749.98</v>
      </c>
      <c r="J40" s="120">
        <f t="shared" si="4"/>
        <v>559749.98</v>
      </c>
      <c r="K40" s="46"/>
    </row>
    <row r="41" spans="1:12" ht="38.25" hidden="1" customHeight="1" outlineLevel="1" x14ac:dyDescent="0.25">
      <c r="A41" s="2">
        <v>19</v>
      </c>
      <c r="B41" s="122" t="s">
        <v>84</v>
      </c>
      <c r="C41" s="116" t="s">
        <v>97</v>
      </c>
      <c r="D41" s="117" t="s">
        <v>86</v>
      </c>
      <c r="E41" s="118">
        <v>1</v>
      </c>
      <c r="F41" s="119">
        <v>80411.34</v>
      </c>
      <c r="G41" s="120">
        <f t="shared" si="3"/>
        <v>80411.34</v>
      </c>
      <c r="H41" s="121">
        <f t="shared" si="1"/>
        <v>1.2107718345020623E-2</v>
      </c>
      <c r="I41" s="119">
        <f>ROUND(F41*Прил.10!$D$13,2)</f>
        <v>503374.99</v>
      </c>
      <c r="J41" s="120">
        <f t="shared" si="4"/>
        <v>503374.99</v>
      </c>
      <c r="K41" s="46"/>
    </row>
    <row r="42" spans="1:12" ht="38.25" hidden="1" customHeight="1" outlineLevel="1" x14ac:dyDescent="0.25">
      <c r="A42" s="2">
        <v>20</v>
      </c>
      <c r="B42" s="122" t="s">
        <v>84</v>
      </c>
      <c r="C42" s="116" t="s">
        <v>98</v>
      </c>
      <c r="D42" s="117" t="s">
        <v>86</v>
      </c>
      <c r="E42" s="118">
        <v>1</v>
      </c>
      <c r="F42" s="119">
        <v>74001.600000000006</v>
      </c>
      <c r="G42" s="120">
        <f t="shared" si="3"/>
        <v>74001.600000000006</v>
      </c>
      <c r="H42" s="121">
        <f t="shared" si="1"/>
        <v>1.114258921541263E-2</v>
      </c>
      <c r="I42" s="119">
        <f>ROUND(F42*Прил.10!$D$13,2)</f>
        <v>463250.02</v>
      </c>
      <c r="J42" s="120">
        <f t="shared" si="4"/>
        <v>463250.02</v>
      </c>
      <c r="K42" s="46"/>
    </row>
    <row r="43" spans="1:12" ht="38.25" hidden="1" customHeight="1" outlineLevel="1" x14ac:dyDescent="0.25">
      <c r="A43" s="2">
        <v>21</v>
      </c>
      <c r="B43" s="122" t="s">
        <v>84</v>
      </c>
      <c r="C43" s="116" t="s">
        <v>99</v>
      </c>
      <c r="D43" s="117" t="s">
        <v>86</v>
      </c>
      <c r="E43" s="118">
        <v>40</v>
      </c>
      <c r="F43" s="119">
        <v>2787.54</v>
      </c>
      <c r="G43" s="120">
        <f t="shared" si="3"/>
        <v>111501.6</v>
      </c>
      <c r="H43" s="121">
        <f t="shared" si="1"/>
        <v>1.6789049502460119E-2</v>
      </c>
      <c r="I43" s="119">
        <f>ROUND(F43*Прил.10!$D$13,2)</f>
        <v>17450</v>
      </c>
      <c r="J43" s="120">
        <f t="shared" si="4"/>
        <v>698000</v>
      </c>
      <c r="K43" s="46"/>
    </row>
    <row r="44" spans="1:12" collapsed="1" x14ac:dyDescent="0.25">
      <c r="A44" s="69"/>
      <c r="B44" s="117"/>
      <c r="C44" s="116" t="s">
        <v>183</v>
      </c>
      <c r="D44" s="117"/>
      <c r="E44" s="123"/>
      <c r="F44" s="119"/>
      <c r="G44" s="120">
        <f>SUM(G38:G43)</f>
        <v>709484.65999999992</v>
      </c>
      <c r="H44" s="121">
        <f t="shared" si="1"/>
        <v>0.10682871885225043</v>
      </c>
      <c r="I44" s="120"/>
      <c r="J44" s="120">
        <f>SUM(J38:J43)</f>
        <v>4441373.8000000007</v>
      </c>
      <c r="K44" s="46"/>
      <c r="L44" s="100"/>
    </row>
    <row r="45" spans="1:12" x14ac:dyDescent="0.25">
      <c r="A45" s="2"/>
      <c r="B45" s="117"/>
      <c r="C45" s="124" t="s">
        <v>184</v>
      </c>
      <c r="D45" s="117"/>
      <c r="E45" s="123"/>
      <c r="F45" s="119"/>
      <c r="G45" s="120">
        <f>G37+G44</f>
        <v>6641328.9199999999</v>
      </c>
      <c r="H45" s="121">
        <f>(G37+G44)/G45</f>
        <v>1</v>
      </c>
      <c r="I45" s="120"/>
      <c r="J45" s="120">
        <f>J44+J37</f>
        <v>41574718.859999999</v>
      </c>
      <c r="K45" s="46"/>
    </row>
    <row r="46" spans="1:12" ht="25.5" customHeight="1" x14ac:dyDescent="0.25">
      <c r="A46" s="2"/>
      <c r="B46" s="117"/>
      <c r="C46" s="116" t="s">
        <v>185</v>
      </c>
      <c r="D46" s="117"/>
      <c r="E46" s="123"/>
      <c r="F46" s="119"/>
      <c r="G46" s="120">
        <f>'Прил.6 Расчет ОБ'!G27</f>
        <v>6641328.9199999981</v>
      </c>
      <c r="H46" s="121">
        <f>G46/$G$45</f>
        <v>0.99999999999999967</v>
      </c>
      <c r="I46" s="120"/>
      <c r="J46" s="120">
        <f>ROUND(G46*Прил.10!$D$13,2)</f>
        <v>41574719.039999999</v>
      </c>
      <c r="K46" s="46"/>
    </row>
    <row r="47" spans="1:12" s="1" customFormat="1" ht="14.25" customHeight="1" x14ac:dyDescent="0.2">
      <c r="A47" s="67"/>
      <c r="B47" s="151" t="s">
        <v>100</v>
      </c>
      <c r="C47" s="152"/>
      <c r="D47" s="152"/>
      <c r="E47" s="152"/>
      <c r="F47" s="152"/>
      <c r="G47" s="152"/>
      <c r="H47" s="152"/>
      <c r="I47" s="152"/>
      <c r="J47" s="153"/>
      <c r="K47" s="46"/>
    </row>
    <row r="48" spans="1:12" s="1" customFormat="1" ht="14.25" customHeight="1" x14ac:dyDescent="0.2">
      <c r="A48" s="2"/>
      <c r="B48" s="145" t="s">
        <v>186</v>
      </c>
      <c r="C48" s="145"/>
      <c r="D48" s="146"/>
      <c r="E48" s="147"/>
      <c r="F48" s="148"/>
      <c r="G48" s="148"/>
      <c r="H48" s="149"/>
      <c r="I48" s="121"/>
      <c r="J48" s="121"/>
    </row>
    <row r="49" spans="1:12" s="1" customFormat="1" ht="25.5" customHeight="1" x14ac:dyDescent="0.2">
      <c r="A49" s="2">
        <v>22</v>
      </c>
      <c r="B49" s="115" t="s">
        <v>101</v>
      </c>
      <c r="C49" s="116" t="s">
        <v>187</v>
      </c>
      <c r="D49" s="117" t="s">
        <v>103</v>
      </c>
      <c r="E49" s="118">
        <v>317.99720000000002</v>
      </c>
      <c r="F49" s="125">
        <v>1</v>
      </c>
      <c r="G49" s="120">
        <f>ROUND(E49*F49,2)</f>
        <v>318</v>
      </c>
      <c r="H49" s="121">
        <f t="shared" ref="H49:H59" si="5">G49/$G$61</f>
        <v>0.43887493444477998</v>
      </c>
      <c r="I49" s="120">
        <f>ROUND(F49*Прил.10!$D$12,2)</f>
        <v>8.0399999999999991</v>
      </c>
      <c r="J49" s="120">
        <f>ROUND(I49*E49,2)</f>
        <v>2556.6999999999998</v>
      </c>
    </row>
    <row r="50" spans="1:12" s="1" customFormat="1" ht="51" customHeight="1" x14ac:dyDescent="0.2">
      <c r="A50" s="2">
        <v>23</v>
      </c>
      <c r="B50" s="115" t="s">
        <v>104</v>
      </c>
      <c r="C50" s="116" t="s">
        <v>105</v>
      </c>
      <c r="D50" s="117" t="s">
        <v>106</v>
      </c>
      <c r="E50" s="118">
        <v>2.8000000000000001E-2</v>
      </c>
      <c r="F50" s="125">
        <v>6834.81</v>
      </c>
      <c r="G50" s="120">
        <f>ROUND(E50*F50,2)</f>
        <v>191.37</v>
      </c>
      <c r="H50" s="121">
        <f t="shared" si="5"/>
        <v>0.26411162328520998</v>
      </c>
      <c r="I50" s="120">
        <f>ROUND(F50*Прил.10!$D$12,2)</f>
        <v>54951.87</v>
      </c>
      <c r="J50" s="120">
        <f>ROUND(I50*E50,2)</f>
        <v>1538.65</v>
      </c>
    </row>
    <row r="51" spans="1:12" s="1" customFormat="1" ht="14.25" customHeight="1" x14ac:dyDescent="0.2">
      <c r="A51" s="2">
        <v>24</v>
      </c>
      <c r="B51" s="115" t="s">
        <v>107</v>
      </c>
      <c r="C51" s="116" t="s">
        <v>108</v>
      </c>
      <c r="D51" s="117" t="s">
        <v>109</v>
      </c>
      <c r="E51" s="118">
        <v>15</v>
      </c>
      <c r="F51" s="125">
        <v>12.6</v>
      </c>
      <c r="G51" s="120">
        <f>ROUND(E51*F51,2)</f>
        <v>189</v>
      </c>
      <c r="H51" s="121">
        <f t="shared" si="5"/>
        <v>0.26084076292473002</v>
      </c>
      <c r="I51" s="120">
        <f>ROUND(F51*Прил.10!$D$12,2)</f>
        <v>101.3</v>
      </c>
      <c r="J51" s="120">
        <f>ROUND(I51*E51,2)</f>
        <v>1519.5</v>
      </c>
    </row>
    <row r="52" spans="1:12" s="1" customFormat="1" ht="14.25" customHeight="1" x14ac:dyDescent="0.2">
      <c r="B52" s="2"/>
      <c r="C52" s="3" t="s">
        <v>188</v>
      </c>
      <c r="D52" s="2"/>
      <c r="E52" s="47"/>
      <c r="F52" s="4"/>
      <c r="G52" s="14">
        <f>SUM(G49:G51)</f>
        <v>698.37</v>
      </c>
      <c r="H52" s="45">
        <f t="shared" si="5"/>
        <v>0.96382732065471999</v>
      </c>
      <c r="I52" s="14"/>
      <c r="J52" s="14">
        <f>SUM(J49:J51)</f>
        <v>5614.85</v>
      </c>
      <c r="K52" s="46"/>
    </row>
    <row r="53" spans="1:12" s="1" customFormat="1" ht="14.25" hidden="1" customHeight="1" outlineLevel="1" x14ac:dyDescent="0.2">
      <c r="A53" s="2">
        <v>25</v>
      </c>
      <c r="B53" s="64" t="s">
        <v>110</v>
      </c>
      <c r="C53" s="3" t="s">
        <v>111</v>
      </c>
      <c r="D53" s="2" t="s">
        <v>93</v>
      </c>
      <c r="E53" s="47">
        <v>50</v>
      </c>
      <c r="F53" s="9">
        <v>0.27</v>
      </c>
      <c r="G53" s="14">
        <f t="shared" ref="G53:G59" si="6">ROUND(F53*E53,2)</f>
        <v>13.5</v>
      </c>
      <c r="H53" s="45">
        <f t="shared" si="5"/>
        <v>1.8631483066052001E-2</v>
      </c>
      <c r="I53" s="14">
        <f>ROUND(F53*Прил.10!$D$12,2)</f>
        <v>2.17</v>
      </c>
      <c r="J53" s="14">
        <f t="shared" ref="J53:J59" si="7">ROUND(I53*E53,2)</f>
        <v>108.5</v>
      </c>
    </row>
    <row r="54" spans="1:12" s="1" customFormat="1" ht="25.5" hidden="1" customHeight="1" outlineLevel="1" x14ac:dyDescent="0.2">
      <c r="A54" s="2">
        <v>26</v>
      </c>
      <c r="B54" s="48" t="s">
        <v>112</v>
      </c>
      <c r="C54" s="3" t="s">
        <v>113</v>
      </c>
      <c r="D54" s="2" t="s">
        <v>109</v>
      </c>
      <c r="E54" s="47">
        <v>0.23780000000000001</v>
      </c>
      <c r="F54" s="9">
        <v>25.76</v>
      </c>
      <c r="G54" s="14">
        <f t="shared" si="6"/>
        <v>6.13</v>
      </c>
      <c r="H54" s="45">
        <f t="shared" si="5"/>
        <v>8.4600734218443999E-3</v>
      </c>
      <c r="I54" s="14">
        <f>ROUND(F54*Прил.10!$D$12,2)</f>
        <v>207.11</v>
      </c>
      <c r="J54" s="14">
        <f t="shared" si="7"/>
        <v>49.25</v>
      </c>
    </row>
    <row r="55" spans="1:12" s="1" customFormat="1" ht="14.25" hidden="1" customHeight="1" outlineLevel="1" x14ac:dyDescent="0.2">
      <c r="A55" s="2">
        <v>27</v>
      </c>
      <c r="B55" s="48" t="s">
        <v>114</v>
      </c>
      <c r="C55" s="3" t="s">
        <v>115</v>
      </c>
      <c r="D55" s="2" t="s">
        <v>106</v>
      </c>
      <c r="E55" s="47">
        <v>5.0000000000000001E-4</v>
      </c>
      <c r="F55" s="9">
        <v>10315.01</v>
      </c>
      <c r="G55" s="14">
        <f t="shared" si="6"/>
        <v>5.16</v>
      </c>
      <c r="H55" s="45">
        <f t="shared" si="5"/>
        <v>7.1213668608021002E-3</v>
      </c>
      <c r="I55" s="14">
        <f>ROUND(F55*Прил.10!$D$12,2)</f>
        <v>82932.679999999993</v>
      </c>
      <c r="J55" s="14">
        <f t="shared" si="7"/>
        <v>41.47</v>
      </c>
    </row>
    <row r="56" spans="1:12" s="1" customFormat="1" ht="14.25" hidden="1" customHeight="1" outlineLevel="1" x14ac:dyDescent="0.2">
      <c r="A56" s="2">
        <v>28</v>
      </c>
      <c r="B56" s="48" t="s">
        <v>117</v>
      </c>
      <c r="C56" s="3" t="s">
        <v>118</v>
      </c>
      <c r="D56" s="2" t="s">
        <v>106</v>
      </c>
      <c r="E56" s="47">
        <v>3.0000000000000001E-5</v>
      </c>
      <c r="F56" s="9">
        <v>28300.400000000001</v>
      </c>
      <c r="G56" s="14">
        <f t="shared" si="6"/>
        <v>0.85</v>
      </c>
      <c r="H56" s="45">
        <f t="shared" si="5"/>
        <v>1.1730933782328999E-3</v>
      </c>
      <c r="I56" s="14">
        <f>ROUND(F56*Прил.10!$D$12,2)</f>
        <v>227535.22</v>
      </c>
      <c r="J56" s="14">
        <f t="shared" si="7"/>
        <v>6.83</v>
      </c>
    </row>
    <row r="57" spans="1:12" s="1" customFormat="1" ht="14.25" hidden="1" customHeight="1" outlineLevel="1" x14ac:dyDescent="0.2">
      <c r="A57" s="2">
        <v>29</v>
      </c>
      <c r="B57" s="48" t="s">
        <v>119</v>
      </c>
      <c r="C57" s="3" t="s">
        <v>120</v>
      </c>
      <c r="D57" s="2" t="s">
        <v>106</v>
      </c>
      <c r="E57" s="47">
        <v>2.0000000000000002E-5</v>
      </c>
      <c r="F57" s="9">
        <v>15620</v>
      </c>
      <c r="G57" s="14">
        <f t="shared" si="6"/>
        <v>0.31</v>
      </c>
      <c r="H57" s="45">
        <f t="shared" si="5"/>
        <v>4.2783405559082999E-4</v>
      </c>
      <c r="I57" s="14">
        <f>ROUND(F57*Прил.10!$D$12,2)</f>
        <v>125584.8</v>
      </c>
      <c r="J57" s="14">
        <f t="shared" si="7"/>
        <v>2.5099999999999998</v>
      </c>
    </row>
    <row r="58" spans="1:12" s="1" customFormat="1" ht="14.25" hidden="1" customHeight="1" outlineLevel="1" x14ac:dyDescent="0.2">
      <c r="A58" s="2">
        <v>30</v>
      </c>
      <c r="B58" s="48" t="s">
        <v>121</v>
      </c>
      <c r="C58" s="3" t="s">
        <v>122</v>
      </c>
      <c r="D58" s="2" t="s">
        <v>109</v>
      </c>
      <c r="E58" s="47">
        <v>0.02</v>
      </c>
      <c r="F58" s="9">
        <v>9.42</v>
      </c>
      <c r="G58" s="14">
        <f t="shared" si="6"/>
        <v>0.19</v>
      </c>
      <c r="H58" s="45">
        <f t="shared" si="5"/>
        <v>2.6222087278147E-4</v>
      </c>
      <c r="I58" s="14">
        <f>ROUND(F58*Прил.10!$D$12,2)</f>
        <v>75.739999999999995</v>
      </c>
      <c r="J58" s="14">
        <f t="shared" si="7"/>
        <v>1.51</v>
      </c>
    </row>
    <row r="59" spans="1:12" s="1" customFormat="1" ht="14.25" hidden="1" customHeight="1" outlineLevel="1" x14ac:dyDescent="0.2">
      <c r="A59" s="2">
        <v>31</v>
      </c>
      <c r="B59" s="48" t="s">
        <v>123</v>
      </c>
      <c r="C59" s="3" t="s">
        <v>124</v>
      </c>
      <c r="D59" s="2" t="s">
        <v>109</v>
      </c>
      <c r="E59" s="47">
        <v>0.01</v>
      </c>
      <c r="F59" s="9">
        <v>6.67</v>
      </c>
      <c r="G59" s="14">
        <f t="shared" si="6"/>
        <v>7.0000000000000007E-2</v>
      </c>
      <c r="H59" s="45">
        <f t="shared" si="5"/>
        <v>9.6607689972122004E-5</v>
      </c>
      <c r="I59" s="14">
        <f>ROUND(F59*Прил.10!$D$12,2)</f>
        <v>53.63</v>
      </c>
      <c r="J59" s="14">
        <f t="shared" si="7"/>
        <v>0.54</v>
      </c>
    </row>
    <row r="60" spans="1:12" s="1" customFormat="1" collapsed="1" x14ac:dyDescent="0.25">
      <c r="A60" s="2"/>
      <c r="B60" s="2"/>
      <c r="C60" s="3" t="s">
        <v>189</v>
      </c>
      <c r="D60" s="2"/>
      <c r="E60" s="50"/>
      <c r="F60" s="4"/>
      <c r="G60" s="14">
        <f>SUM(G53:G59)</f>
        <v>26.21</v>
      </c>
      <c r="H60" s="45">
        <f>G60/G61</f>
        <v>3.6172679345276001E-2</v>
      </c>
      <c r="I60" s="14"/>
      <c r="J60" s="14">
        <f>SUM(J53:J59)</f>
        <v>210.61</v>
      </c>
      <c r="L60" s="100"/>
    </row>
    <row r="61" spans="1:12" s="1" customFormat="1" ht="14.25" customHeight="1" x14ac:dyDescent="0.2">
      <c r="A61" s="2"/>
      <c r="B61" s="2"/>
      <c r="C61" s="5" t="s">
        <v>190</v>
      </c>
      <c r="D61" s="2"/>
      <c r="E61" s="50"/>
      <c r="F61" s="4"/>
      <c r="G61" s="14">
        <f>G52+G60</f>
        <v>724.58</v>
      </c>
      <c r="H61" s="45">
        <v>1</v>
      </c>
      <c r="I61" s="4"/>
      <c r="J61" s="14">
        <f>J52+J60</f>
        <v>5825.46</v>
      </c>
      <c r="K61" s="46"/>
    </row>
    <row r="62" spans="1:12" s="1" customFormat="1" ht="14.25" customHeight="1" x14ac:dyDescent="0.2">
      <c r="A62" s="2"/>
      <c r="B62" s="2"/>
      <c r="C62" s="3" t="s">
        <v>191</v>
      </c>
      <c r="D62" s="2"/>
      <c r="E62" s="50"/>
      <c r="F62" s="4"/>
      <c r="G62" s="14">
        <f>G16+G27+G61</f>
        <v>16653.11</v>
      </c>
      <c r="H62" s="45"/>
      <c r="I62" s="4"/>
      <c r="J62" s="14">
        <f>J16+J27+J61</f>
        <v>738547.74</v>
      </c>
    </row>
    <row r="63" spans="1:12" s="1" customFormat="1" ht="14.25" customHeight="1" x14ac:dyDescent="0.2">
      <c r="A63" s="2"/>
      <c r="B63" s="2"/>
      <c r="C63" s="3" t="s">
        <v>192</v>
      </c>
      <c r="D63" s="2" t="s">
        <v>193</v>
      </c>
      <c r="E63" s="56">
        <f>ROUND(G63/(G16+G18),2)</f>
        <v>0.9</v>
      </c>
      <c r="F63" s="4"/>
      <c r="G63" s="14">
        <v>14304.3</v>
      </c>
      <c r="H63" s="45"/>
      <c r="I63" s="4"/>
      <c r="J63" s="14">
        <f>ROUND(E63*(J16+J18),2)</f>
        <v>659148.56000000006</v>
      </c>
      <c r="K63" s="57"/>
    </row>
    <row r="64" spans="1:12" s="1" customFormat="1" ht="14.25" customHeight="1" x14ac:dyDescent="0.2">
      <c r="A64" s="2"/>
      <c r="B64" s="2"/>
      <c r="C64" s="3" t="s">
        <v>194</v>
      </c>
      <c r="D64" s="2" t="s">
        <v>193</v>
      </c>
      <c r="E64" s="56">
        <f>ROUND(G64/(G16+G18),2)</f>
        <v>0.46</v>
      </c>
      <c r="F64" s="4"/>
      <c r="G64" s="14">
        <v>7311.11</v>
      </c>
      <c r="H64" s="45"/>
      <c r="I64" s="4"/>
      <c r="J64" s="14">
        <f>ROUND(E64*(J16+J18),2)</f>
        <v>336898.15</v>
      </c>
      <c r="K64" s="57"/>
    </row>
    <row r="65" spans="1:12" s="1" customFormat="1" ht="14.25" customHeight="1" x14ac:dyDescent="0.2">
      <c r="A65" s="2"/>
      <c r="B65" s="2"/>
      <c r="C65" s="3" t="s">
        <v>195</v>
      </c>
      <c r="D65" s="2"/>
      <c r="E65" s="50"/>
      <c r="F65" s="4"/>
      <c r="G65" s="14">
        <f>G16+G27+G61+G63+G64</f>
        <v>38268.519999999997</v>
      </c>
      <c r="H65" s="45"/>
      <c r="I65" s="4"/>
      <c r="J65" s="14">
        <f>J16+J27+J61+J63+J64</f>
        <v>1734594.4500000002</v>
      </c>
      <c r="L65" s="58"/>
    </row>
    <row r="66" spans="1:12" s="1" customFormat="1" ht="14.25" customHeight="1" x14ac:dyDescent="0.2">
      <c r="A66" s="2"/>
      <c r="B66" s="2"/>
      <c r="C66" s="3" t="s">
        <v>196</v>
      </c>
      <c r="D66" s="2"/>
      <c r="E66" s="50"/>
      <c r="F66" s="4"/>
      <c r="G66" s="14">
        <f>G65+G45</f>
        <v>6679597.4399999995</v>
      </c>
      <c r="H66" s="45"/>
      <c r="I66" s="4"/>
      <c r="J66" s="14">
        <f>J65+J45</f>
        <v>43309313.310000002</v>
      </c>
      <c r="L66" s="57"/>
    </row>
    <row r="67" spans="1:12" s="1" customFormat="1" ht="14.25" customHeight="1" x14ac:dyDescent="0.2">
      <c r="A67" s="2"/>
      <c r="B67" s="2"/>
      <c r="C67" s="3" t="s">
        <v>161</v>
      </c>
      <c r="D67" s="2" t="s">
        <v>197</v>
      </c>
      <c r="E67" s="59">
        <f>'Прил.1 Сравнит табл'!D15</f>
        <v>1</v>
      </c>
      <c r="F67" s="4"/>
      <c r="G67" s="14">
        <f>G66/E67</f>
        <v>6679597.4399999995</v>
      </c>
      <c r="H67" s="45"/>
      <c r="I67" s="4"/>
      <c r="J67" s="14">
        <f>J66/E67</f>
        <v>43309313.310000002</v>
      </c>
      <c r="L67" s="65"/>
    </row>
    <row r="69" spans="1:12" s="1" customFormat="1" ht="14.25" customHeight="1" x14ac:dyDescent="0.2">
      <c r="A69" s="10"/>
    </row>
    <row r="70" spans="1:12" s="1" customFormat="1" ht="14.25" customHeight="1" x14ac:dyDescent="0.2">
      <c r="A70" s="6" t="s">
        <v>33</v>
      </c>
    </row>
    <row r="71" spans="1:12" s="1" customFormat="1" ht="14.25" customHeight="1" x14ac:dyDescent="0.2">
      <c r="A71" s="63" t="s">
        <v>34</v>
      </c>
    </row>
    <row r="72" spans="1:12" s="1" customFormat="1" ht="14.25" customHeight="1" x14ac:dyDescent="0.2">
      <c r="A72" s="6"/>
    </row>
    <row r="73" spans="1:12" s="1" customFormat="1" ht="14.25" customHeight="1" x14ac:dyDescent="0.2">
      <c r="A73" s="6" t="s">
        <v>35</v>
      </c>
    </row>
    <row r="74" spans="1:12" s="1" customFormat="1" ht="14.25" customHeight="1" x14ac:dyDescent="0.2">
      <c r="A74" s="63" t="s">
        <v>36</v>
      </c>
    </row>
  </sheetData>
  <sheetProtection formatCells="0" formatColumns="0" formatRows="0" insertColumns="0" insertRows="0" insertHyperlinks="0" deleteColumns="0" deleteRows="0" sort="0" autoFilter="0" pivotTables="0"/>
  <mergeCells count="19">
    <mergeCell ref="A7:H7"/>
    <mergeCell ref="D6:J6"/>
    <mergeCell ref="A4:H4"/>
    <mergeCell ref="A9:A10"/>
    <mergeCell ref="B9:B10"/>
    <mergeCell ref="C9:C10"/>
    <mergeCell ref="D9:D10"/>
    <mergeCell ref="E9:E10"/>
    <mergeCell ref="F9:G9"/>
    <mergeCell ref="H9:H10"/>
    <mergeCell ref="B48:H48"/>
    <mergeCell ref="B28:J28"/>
    <mergeCell ref="B47:J47"/>
    <mergeCell ref="I9:J9"/>
    <mergeCell ref="B19:H19"/>
    <mergeCell ref="B20:H20"/>
    <mergeCell ref="B29:J29"/>
    <mergeCell ref="B12:H12"/>
    <mergeCell ref="B17:H17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50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34"/>
  <sheetViews>
    <sheetView view="pageBreakPreview" topLeftCell="A22" workbookViewId="0">
      <selection activeCell="F33" sqref="F33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170" t="s">
        <v>198</v>
      </c>
      <c r="B1" s="170"/>
      <c r="C1" s="170"/>
      <c r="D1" s="170"/>
      <c r="E1" s="170"/>
      <c r="F1" s="170"/>
      <c r="G1" s="170"/>
    </row>
    <row r="2" spans="1:7" x14ac:dyDescent="0.25">
      <c r="A2" s="15"/>
      <c r="B2" s="15"/>
      <c r="C2" s="15"/>
      <c r="D2" s="15"/>
      <c r="E2" s="15"/>
      <c r="F2" s="15"/>
      <c r="G2" s="15"/>
    </row>
    <row r="3" spans="1:7" x14ac:dyDescent="0.25">
      <c r="A3" s="15"/>
      <c r="B3" s="15"/>
      <c r="C3" s="15"/>
      <c r="D3" s="15"/>
      <c r="E3" s="15"/>
      <c r="F3" s="15"/>
      <c r="G3" s="15"/>
    </row>
    <row r="4" spans="1:7" x14ac:dyDescent="0.25">
      <c r="A4" s="15"/>
      <c r="B4" s="15"/>
      <c r="C4" s="15"/>
      <c r="D4" s="15"/>
      <c r="E4" s="15"/>
      <c r="F4" s="15"/>
      <c r="G4" s="15"/>
    </row>
    <row r="5" spans="1:7" x14ac:dyDescent="0.25">
      <c r="A5" s="142" t="s">
        <v>199</v>
      </c>
      <c r="B5" s="142"/>
      <c r="C5" s="142"/>
      <c r="D5" s="142"/>
      <c r="E5" s="142"/>
      <c r="F5" s="142"/>
      <c r="G5" s="142"/>
    </row>
    <row r="6" spans="1:7" ht="64.5" customHeight="1" x14ac:dyDescent="0.25">
      <c r="A6" s="172" t="str">
        <f>'Прил.1 Сравнит табл'!B7</f>
        <v>Наименование разрабатываемого показателя УНЦ - Постоянная часть ПС, ПАК информационной безопасности для защиты ПС 220 кВ</v>
      </c>
      <c r="B6" s="172"/>
      <c r="C6" s="172"/>
      <c r="D6" s="172"/>
      <c r="E6" s="172"/>
      <c r="F6" s="172"/>
      <c r="G6" s="172"/>
    </row>
    <row r="7" spans="1:7" x14ac:dyDescent="0.25">
      <c r="A7" s="6"/>
      <c r="B7" s="6"/>
      <c r="C7" s="6"/>
      <c r="D7" s="6"/>
      <c r="E7" s="6"/>
      <c r="F7" s="6"/>
      <c r="G7" s="6"/>
    </row>
    <row r="8" spans="1:7" ht="30" customHeight="1" x14ac:dyDescent="0.25">
      <c r="A8" s="171" t="s">
        <v>166</v>
      </c>
      <c r="B8" s="171" t="s">
        <v>55</v>
      </c>
      <c r="C8" s="171" t="s">
        <v>127</v>
      </c>
      <c r="D8" s="171" t="s">
        <v>57</v>
      </c>
      <c r="E8" s="164" t="s">
        <v>167</v>
      </c>
      <c r="F8" s="171" t="s">
        <v>59</v>
      </c>
      <c r="G8" s="171"/>
    </row>
    <row r="9" spans="1:7" x14ac:dyDescent="0.25">
      <c r="A9" s="171"/>
      <c r="B9" s="171"/>
      <c r="C9" s="171"/>
      <c r="D9" s="171"/>
      <c r="E9" s="165"/>
      <c r="F9" s="2" t="s">
        <v>170</v>
      </c>
      <c r="G9" s="2" t="s">
        <v>61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7"/>
      <c r="B11" s="166" t="s">
        <v>200</v>
      </c>
      <c r="C11" s="167"/>
      <c r="D11" s="167"/>
      <c r="E11" s="167"/>
      <c r="F11" s="167"/>
      <c r="G11" s="168"/>
    </row>
    <row r="12" spans="1:7" ht="27" customHeight="1" x14ac:dyDescent="0.25">
      <c r="A12" s="2"/>
      <c r="B12" s="5"/>
      <c r="C12" s="3" t="s">
        <v>201</v>
      </c>
      <c r="D12" s="5"/>
      <c r="E12" s="8"/>
      <c r="F12" s="4"/>
      <c r="G12" s="4">
        <v>0</v>
      </c>
    </row>
    <row r="13" spans="1:7" x14ac:dyDescent="0.25">
      <c r="A13" s="2"/>
      <c r="B13" s="157" t="s">
        <v>202</v>
      </c>
      <c r="C13" s="157"/>
      <c r="D13" s="157"/>
      <c r="E13" s="169"/>
      <c r="F13" s="160"/>
      <c r="G13" s="160"/>
    </row>
    <row r="14" spans="1:7" ht="51" customHeight="1" x14ac:dyDescent="0.25">
      <c r="A14" s="2">
        <v>1</v>
      </c>
      <c r="B14" s="59" t="str">
        <f>'Прил.5 Расчет СМР и ОБ'!B30</f>
        <v>Прайс из СД ОП</v>
      </c>
      <c r="C14" s="102" t="str">
        <f>'Прил.5 Расчет СМР и ОБ'!C30</f>
        <v>Антивирусное ПО для серверов Kaspersky Industrial CyberSecurity for Nodes, Server Russian Edition. 5-9 Node 1 year Base License</v>
      </c>
      <c r="D14" s="59" t="str">
        <f>'Прил.5 Расчет СМР и ОБ'!D30</f>
        <v>шт.</v>
      </c>
      <c r="E14" s="59">
        <f>'Прил.5 Расчет СМР и ОБ'!E30</f>
        <v>20</v>
      </c>
      <c r="F14" s="14">
        <f>'Прил.5 Расчет СМР и ОБ'!F30</f>
        <v>153634.19</v>
      </c>
      <c r="G14" s="14">
        <f t="shared" ref="G14:G26" si="0">ROUND(E14*F14,2)</f>
        <v>3072683.8</v>
      </c>
    </row>
    <row r="15" spans="1:7" ht="25.5" customHeight="1" x14ac:dyDescent="0.25">
      <c r="A15" s="2">
        <v>2</v>
      </c>
      <c r="B15" s="59" t="str">
        <f>'Прил.5 Расчет СМР и ОБ'!B31</f>
        <v>Прайс из СД ОП</v>
      </c>
      <c r="C15" s="102" t="str">
        <f>'Прил.5 Расчет СМР и ОБ'!C31</f>
        <v>Система обнаружения вторжений  ПАК ViPNet IDS NS1000 3.x</v>
      </c>
      <c r="D15" s="59" t="str">
        <f>'Прил.5 Расчет СМР и ОБ'!D31</f>
        <v>шт.</v>
      </c>
      <c r="E15" s="59">
        <f>'Прил.5 Расчет СМР и ОБ'!E31</f>
        <v>2</v>
      </c>
      <c r="F15" s="14">
        <f>'Прил.5 Расчет СМР и ОБ'!F31</f>
        <v>277693.77</v>
      </c>
      <c r="G15" s="14">
        <f t="shared" si="0"/>
        <v>555387.54</v>
      </c>
    </row>
    <row r="16" spans="1:7" ht="25.5" customHeight="1" x14ac:dyDescent="0.25">
      <c r="A16" s="2">
        <v>3</v>
      </c>
      <c r="B16" s="59" t="str">
        <f>'Прил.5 Расчет СМР и ОБ'!B32</f>
        <v>Прайс из СД ОП</v>
      </c>
      <c r="C16" s="102" t="str">
        <f>'Прил.5 Расчет СМР и ОБ'!C32</f>
        <v>Аппаратная платформа UserGate C150 с сертификатом ФСТЭК</v>
      </c>
      <c r="D16" s="59" t="str">
        <f>'Прил.5 Расчет СМР и ОБ'!D32</f>
        <v>шт.</v>
      </c>
      <c r="E16" s="59">
        <f>'Прил.5 Расчет СМР и ОБ'!E32</f>
        <v>2</v>
      </c>
      <c r="F16" s="14">
        <f>'Прил.5 Расчет СМР и ОБ'!F32</f>
        <v>277006.71000000002</v>
      </c>
      <c r="G16" s="14">
        <f t="shared" si="0"/>
        <v>554013.42000000004</v>
      </c>
    </row>
    <row r="17" spans="1:7" ht="51" customHeight="1" x14ac:dyDescent="0.25">
      <c r="A17" s="2">
        <v>4</v>
      </c>
      <c r="B17" s="59" t="str">
        <f>'Прил.5 Расчет СМР и ОБ'!B33</f>
        <v>Прайс из СД ОП</v>
      </c>
      <c r="C17" s="102" t="str">
        <f>'Прил.5 Расчет СМР и ОБ'!C33</f>
        <v>Антивирусное ПО для АРМ Kaspersky Industrial CyberSecurity for Nodes, Workstation Russian Edition. 5-9 Node 1 year Base License</v>
      </c>
      <c r="D17" s="59" t="str">
        <f>'Прил.5 Расчет СМР и ОБ'!D33</f>
        <v>шт.</v>
      </c>
      <c r="E17" s="59">
        <f>'Прил.5 Расчет СМР и ОБ'!E33</f>
        <v>20</v>
      </c>
      <c r="F17" s="14">
        <f>'Прил.5 Расчет СМР и ОБ'!F33</f>
        <v>67452.08</v>
      </c>
      <c r="G17" s="14">
        <f t="shared" si="0"/>
        <v>1349041.6</v>
      </c>
    </row>
    <row r="18" spans="1:7" ht="25.5" customHeight="1" x14ac:dyDescent="0.25">
      <c r="A18" s="2">
        <v>5</v>
      </c>
      <c r="B18" s="59" t="str">
        <f>'Прил.5 Расчет СМР и ОБ'!B34</f>
        <v>Прайс из СД ОП</v>
      </c>
      <c r="C18" s="102" t="str">
        <f>'Прил.5 Расчет СМР и ОБ'!C34</f>
        <v>Аппаратная платформа UserGate C100 с сертификатом ФСТЭК</v>
      </c>
      <c r="D18" s="59" t="str">
        <f>'Прил.5 Расчет СМР и ОБ'!D34</f>
        <v>шт.</v>
      </c>
      <c r="E18" s="59">
        <f>'Прил.5 Расчет СМР и ОБ'!E34</f>
        <v>1</v>
      </c>
      <c r="F18" s="14">
        <f>'Прил.5 Расчет СМР и ОБ'!F34</f>
        <v>172088.5</v>
      </c>
      <c r="G18" s="14">
        <f t="shared" si="0"/>
        <v>172088.5</v>
      </c>
    </row>
    <row r="19" spans="1:7" ht="51" customHeight="1" x14ac:dyDescent="0.25">
      <c r="A19" s="2">
        <v>6</v>
      </c>
      <c r="B19" s="59" t="str">
        <f>'Прил.5 Расчет СМР и ОБ'!B35</f>
        <v>Прайс из СД ОП</v>
      </c>
      <c r="C19" s="102" t="str">
        <f>'Прил.5 Расчет СМР и ОБ'!C35</f>
        <v>Сертификат активации сервиса прямой технической поддержки ПАК ViPNet Coordinator HW1000 4.x на срок 1 год, уровень - Расширенный</v>
      </c>
      <c r="D19" s="59" t="str">
        <f>'Прил.5 Расчет СМР и ОБ'!D35</f>
        <v>шт.</v>
      </c>
      <c r="E19" s="59">
        <f>'Прил.5 Расчет СМР и ОБ'!E35</f>
        <v>2</v>
      </c>
      <c r="F19" s="14">
        <f>'Прил.5 Расчет СМР и ОБ'!F35</f>
        <v>58945.69</v>
      </c>
      <c r="G19" s="14">
        <f t="shared" si="0"/>
        <v>117891.38</v>
      </c>
    </row>
    <row r="20" spans="1:7" ht="25.5" customHeight="1" x14ac:dyDescent="0.25">
      <c r="A20" s="2">
        <v>7</v>
      </c>
      <c r="B20" s="59" t="str">
        <f>'Прил.5 Расчет СМР и ОБ'!B36</f>
        <v>Прайс из СД ОП</v>
      </c>
      <c r="C20" s="102" t="str">
        <f>'Прил.5 Расчет СМР и ОБ'!C36</f>
        <v>Шкаф ИБ (только металлоконструкция) 800х1000х2000 (ШхГхВ)</v>
      </c>
      <c r="D20" s="59" t="str">
        <f>'Прил.5 Расчет СМР и ОБ'!D36</f>
        <v>шт</v>
      </c>
      <c r="E20" s="59">
        <f>'Прил.5 Расчет СМР и ОБ'!E36</f>
        <v>1</v>
      </c>
      <c r="F20" s="14">
        <f>'Прил.5 Расчет СМР и ОБ'!F36</f>
        <v>110738.02</v>
      </c>
      <c r="G20" s="14">
        <f t="shared" si="0"/>
        <v>110738.02</v>
      </c>
    </row>
    <row r="21" spans="1:7" ht="38.25" customHeight="1" x14ac:dyDescent="0.25">
      <c r="A21" s="2">
        <v>8</v>
      </c>
      <c r="B21" s="59" t="str">
        <f>'Прил.5 Расчет СМР и ОБ'!B38</f>
        <v>Прайс из СД ОП</v>
      </c>
      <c r="C21" s="102" t="str">
        <f>'Прил.5 Расчет СМР и ОБ'!C38</f>
        <v>Лицензия без ограничения числа пользователей для UserGate С150 (кластер, 1-я нода) с сертификатом ФСТЭК</v>
      </c>
      <c r="D21" s="59" t="str">
        <f>'Прил.5 Расчет СМР и ОБ'!D38</f>
        <v>шт.</v>
      </c>
      <c r="E21" s="59">
        <f>'Прил.5 Расчет СМР и ОБ'!E38</f>
        <v>1</v>
      </c>
      <c r="F21" s="14">
        <f>'Прил.5 Расчет СМР и ОБ'!F38</f>
        <v>101757.19</v>
      </c>
      <c r="G21" s="14">
        <f t="shared" si="0"/>
        <v>101757.19</v>
      </c>
    </row>
    <row r="22" spans="1:7" ht="38.25" customHeight="1" x14ac:dyDescent="0.25">
      <c r="A22" s="2">
        <v>9</v>
      </c>
      <c r="B22" s="59" t="str">
        <f>'Прил.5 Расчет СМР и ОБ'!B39</f>
        <v>Прайс из СД ОП</v>
      </c>
      <c r="C22" s="102" t="str">
        <f>'Прил.5 Расчет СМР и ОБ'!C39</f>
        <v>Модуль защиты от НСД и контроля устройств Средства защиты информации Secret Net Studio 8</v>
      </c>
      <c r="D22" s="59" t="str">
        <f>'Прил.5 Расчет СМР и ОБ'!D39</f>
        <v>шт.</v>
      </c>
      <c r="E22" s="59">
        <f>'Прил.5 Расчет СМР и ОБ'!E39</f>
        <v>40</v>
      </c>
      <c r="F22" s="14">
        <f>'Прил.5 Расчет СМР и ОБ'!F39</f>
        <v>6309.9</v>
      </c>
      <c r="G22" s="14">
        <f t="shared" si="0"/>
        <v>252396</v>
      </c>
    </row>
    <row r="23" spans="1:7" ht="38.25" customHeight="1" x14ac:dyDescent="0.25">
      <c r="A23" s="2">
        <v>10</v>
      </c>
      <c r="B23" s="59" t="str">
        <f>'Прил.5 Расчет СМР и ОБ'!B40</f>
        <v>Прайс из СД ОП</v>
      </c>
      <c r="C23" s="102" t="str">
        <f>'Прил.5 Расчет СМР и ОБ'!C40</f>
        <v>Лицензия без ограничения числа пользователей для UserGate C150 (кластер, 2-я нода) с сертификатом ФСТЭК</v>
      </c>
      <c r="D23" s="59" t="str">
        <f>'Прил.5 Расчет СМР и ОБ'!D40</f>
        <v>шт.</v>
      </c>
      <c r="E23" s="59">
        <f>'Прил.5 Расчет СМР и ОБ'!E40</f>
        <v>1</v>
      </c>
      <c r="F23" s="14">
        <f>'Прил.5 Расчет СМР и ОБ'!F40</f>
        <v>89416.93</v>
      </c>
      <c r="G23" s="14">
        <f t="shared" si="0"/>
        <v>89416.93</v>
      </c>
    </row>
    <row r="24" spans="1:7" ht="38.25" customHeight="1" x14ac:dyDescent="0.25">
      <c r="A24" s="2">
        <v>11</v>
      </c>
      <c r="B24" s="59" t="str">
        <f>'Прил.5 Расчет СМР и ОБ'!B41</f>
        <v>Прайс из СД ОП</v>
      </c>
      <c r="C24" s="102" t="str">
        <f>'Прил.5 Расчет СМР и ОБ'!C41</f>
        <v>Лицензия без ограничения числа пользователей для UserGate C100 с сертифика-том ФСТЭК</v>
      </c>
      <c r="D24" s="59" t="str">
        <f>'Прил.5 Расчет СМР и ОБ'!D41</f>
        <v>шт.</v>
      </c>
      <c r="E24" s="59">
        <f>'Прил.5 Расчет СМР и ОБ'!E41</f>
        <v>1</v>
      </c>
      <c r="F24" s="14">
        <f>'Прил.5 Расчет СМР и ОБ'!F41</f>
        <v>80411.34</v>
      </c>
      <c r="G24" s="14">
        <f t="shared" si="0"/>
        <v>80411.34</v>
      </c>
    </row>
    <row r="25" spans="1:7" ht="38.25" customHeight="1" x14ac:dyDescent="0.25">
      <c r="A25" s="2">
        <v>12</v>
      </c>
      <c r="B25" s="59" t="str">
        <f>'Прил.5 Расчет СМР и ОБ'!B42</f>
        <v>Прайс из СД ОП</v>
      </c>
      <c r="C25" s="102" t="str">
        <f>'Прил.5 Расчет СМР и ОБ'!C42</f>
        <v>Система обнаружения вторжений Kaspersky Industrial CyberSecurity for Networks, 1 year Base License</v>
      </c>
      <c r="D25" s="59" t="str">
        <f>'Прил.5 Расчет СМР и ОБ'!D42</f>
        <v>шт.</v>
      </c>
      <c r="E25" s="59">
        <f>'Прил.5 Расчет СМР и ОБ'!E42</f>
        <v>1</v>
      </c>
      <c r="F25" s="14">
        <f>'Прил.5 Расчет СМР и ОБ'!F42</f>
        <v>74001.600000000006</v>
      </c>
      <c r="G25" s="14">
        <f t="shared" si="0"/>
        <v>74001.600000000006</v>
      </c>
    </row>
    <row r="26" spans="1:7" ht="38.25" customHeight="1" x14ac:dyDescent="0.25">
      <c r="A26" s="2">
        <v>13</v>
      </c>
      <c r="B26" s="59" t="str">
        <f>'Прил.5 Расчет СМР и ОБ'!B43</f>
        <v>Прайс из СД ОП</v>
      </c>
      <c r="C26" s="102" t="str">
        <f>'Прил.5 Расчет СМР и ОБ'!C43</f>
        <v>Установочный комплект. Сертифицированное Средство защиты информации Secret Net Studio 8</v>
      </c>
      <c r="D26" s="59" t="str">
        <f>'Прил.5 Расчет СМР и ОБ'!D43</f>
        <v>шт.</v>
      </c>
      <c r="E26" s="59">
        <f>'Прил.5 Расчет СМР и ОБ'!E43</f>
        <v>40</v>
      </c>
      <c r="F26" s="14">
        <f>'Прил.5 Расчет СМР и ОБ'!F43</f>
        <v>2787.54</v>
      </c>
      <c r="G26" s="14">
        <f t="shared" si="0"/>
        <v>111501.6</v>
      </c>
    </row>
    <row r="27" spans="1:7" ht="25.5" customHeight="1" x14ac:dyDescent="0.25">
      <c r="A27" s="2"/>
      <c r="B27" s="12"/>
      <c r="C27" s="12" t="s">
        <v>203</v>
      </c>
      <c r="D27" s="12"/>
      <c r="E27" s="13"/>
      <c r="F27" s="4"/>
      <c r="G27" s="14">
        <f>SUM(G14:G26)</f>
        <v>6641328.9199999981</v>
      </c>
    </row>
    <row r="28" spans="1:7" ht="19.5" customHeight="1" x14ac:dyDescent="0.25">
      <c r="A28" s="2"/>
      <c r="B28" s="3"/>
      <c r="C28" s="3" t="s">
        <v>204</v>
      </c>
      <c r="D28" s="3"/>
      <c r="E28" s="9"/>
      <c r="F28" s="4"/>
      <c r="G28" s="14">
        <f>G12+G27</f>
        <v>6641328.9199999981</v>
      </c>
    </row>
    <row r="29" spans="1:7" x14ac:dyDescent="0.25">
      <c r="A29" s="10"/>
      <c r="B29" s="11"/>
      <c r="C29" s="10"/>
      <c r="D29" s="10"/>
      <c r="E29" s="10"/>
      <c r="F29" s="10"/>
      <c r="G29" s="10"/>
    </row>
    <row r="30" spans="1:7" x14ac:dyDescent="0.25">
      <c r="A30" s="6" t="s">
        <v>33</v>
      </c>
      <c r="B30" s="1"/>
      <c r="C30" s="1"/>
      <c r="D30" s="10"/>
      <c r="E30" s="10"/>
      <c r="F30" s="10"/>
      <c r="G30" s="10"/>
    </row>
    <row r="31" spans="1:7" x14ac:dyDescent="0.25">
      <c r="A31" s="63" t="s">
        <v>34</v>
      </c>
      <c r="B31" s="1"/>
      <c r="C31" s="1"/>
      <c r="D31" s="10"/>
      <c r="E31" s="10"/>
      <c r="F31" s="10"/>
      <c r="G31" s="10"/>
    </row>
    <row r="32" spans="1:7" x14ac:dyDescent="0.25">
      <c r="A32" s="6"/>
      <c r="B32" s="1"/>
      <c r="C32" s="1"/>
      <c r="D32" s="10"/>
      <c r="E32" s="10"/>
      <c r="F32" s="10"/>
      <c r="G32" s="10"/>
    </row>
    <row r="33" spans="1:7" x14ac:dyDescent="0.25">
      <c r="A33" s="6" t="s">
        <v>35</v>
      </c>
      <c r="B33" s="1"/>
      <c r="C33" s="1"/>
      <c r="D33" s="10"/>
      <c r="E33" s="10"/>
      <c r="F33" s="10"/>
      <c r="G33" s="10"/>
    </row>
    <row r="34" spans="1:7" x14ac:dyDescent="0.25">
      <c r="A34" s="63" t="s">
        <v>36</v>
      </c>
      <c r="B34" s="1"/>
      <c r="C34" s="1"/>
      <c r="D34" s="10"/>
      <c r="E34" s="10"/>
      <c r="F34" s="10"/>
      <c r="G34" s="10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17"/>
  <sheetViews>
    <sheetView view="pageBreakPreview" workbookViewId="0">
      <selection activeCell="D16" sqref="D16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62"/>
      <c r="B1" s="62"/>
      <c r="C1" s="62"/>
      <c r="D1" s="62" t="s">
        <v>205</v>
      </c>
    </row>
    <row r="2" spans="1:4" ht="15.75" customHeight="1" x14ac:dyDescent="0.25">
      <c r="A2" s="62"/>
      <c r="B2" s="62"/>
      <c r="C2" s="62"/>
      <c r="D2" s="62"/>
    </row>
    <row r="3" spans="1:4" ht="15.75" customHeight="1" x14ac:dyDescent="0.25">
      <c r="A3" s="62"/>
      <c r="B3" s="85" t="s">
        <v>206</v>
      </c>
      <c r="C3" s="62"/>
      <c r="D3" s="62"/>
    </row>
    <row r="4" spans="1:4" ht="15.75" customHeight="1" x14ac:dyDescent="0.25">
      <c r="A4" s="62"/>
      <c r="B4" s="62"/>
      <c r="C4" s="62"/>
      <c r="D4" s="62"/>
    </row>
    <row r="5" spans="1:4" ht="31.5" customHeight="1" x14ac:dyDescent="0.25">
      <c r="A5" s="173" t="s">
        <v>207</v>
      </c>
      <c r="B5" s="173"/>
      <c r="C5" s="173"/>
      <c r="D5" s="111" t="str">
        <f>'Прил.5 Расчет СМР и ОБ'!D6:J6</f>
        <v>Постоянная часть ПС, ПАК информационной безопасности для защиты ПС 220 кВ</v>
      </c>
    </row>
    <row r="6" spans="1:4" ht="15.75" customHeight="1" x14ac:dyDescent="0.25">
      <c r="A6" s="62" t="s">
        <v>208</v>
      </c>
      <c r="B6" s="62"/>
      <c r="C6" s="62"/>
      <c r="D6" s="62"/>
    </row>
    <row r="7" spans="1:4" ht="15.75" customHeight="1" x14ac:dyDescent="0.25">
      <c r="A7" s="62"/>
      <c r="B7" s="62"/>
      <c r="C7" s="62"/>
      <c r="D7" s="62"/>
    </row>
    <row r="8" spans="1:4" x14ac:dyDescent="0.25">
      <c r="A8" s="135" t="s">
        <v>209</v>
      </c>
      <c r="B8" s="135" t="s">
        <v>210</v>
      </c>
      <c r="C8" s="135" t="s">
        <v>211</v>
      </c>
      <c r="D8" s="135" t="s">
        <v>212</v>
      </c>
    </row>
    <row r="9" spans="1:4" x14ac:dyDescent="0.25">
      <c r="A9" s="135"/>
      <c r="B9" s="135"/>
      <c r="C9" s="135"/>
      <c r="D9" s="135"/>
    </row>
    <row r="10" spans="1:4" ht="15.75" customHeight="1" x14ac:dyDescent="0.25">
      <c r="A10" s="37">
        <v>1</v>
      </c>
      <c r="B10" s="37">
        <v>2</v>
      </c>
      <c r="C10" s="37">
        <v>3</v>
      </c>
      <c r="D10" s="37">
        <v>4</v>
      </c>
    </row>
    <row r="11" spans="1:4" ht="63" customHeight="1" x14ac:dyDescent="0.25">
      <c r="A11" s="37" t="s">
        <v>213</v>
      </c>
      <c r="B11" s="126" t="s">
        <v>214</v>
      </c>
      <c r="C11" s="127" t="s">
        <v>215</v>
      </c>
      <c r="D11" s="110">
        <f>'Прил.4 РМ'!C41/1000</f>
        <v>47714.841129999993</v>
      </c>
    </row>
    <row r="13" spans="1:4" x14ac:dyDescent="0.25">
      <c r="A13" s="6" t="s">
        <v>216</v>
      </c>
      <c r="B13" s="1"/>
      <c r="C13" s="1"/>
      <c r="D13" s="10"/>
    </row>
    <row r="14" spans="1:4" x14ac:dyDescent="0.25">
      <c r="A14" s="63" t="s">
        <v>34</v>
      </c>
      <c r="B14" s="1"/>
      <c r="C14" s="1"/>
      <c r="D14" s="10"/>
    </row>
    <row r="15" spans="1:4" x14ac:dyDescent="0.25">
      <c r="A15" s="6"/>
      <c r="B15" s="1"/>
      <c r="C15" s="1"/>
      <c r="D15" s="10"/>
    </row>
    <row r="16" spans="1:4" x14ac:dyDescent="0.25">
      <c r="A16" s="6" t="s">
        <v>35</v>
      </c>
      <c r="B16" s="1"/>
      <c r="C16" s="1"/>
      <c r="D16" s="10"/>
    </row>
    <row r="17" spans="1:4" x14ac:dyDescent="0.25">
      <c r="A17" s="63" t="s">
        <v>36</v>
      </c>
      <c r="B17" s="1"/>
      <c r="C17" s="1"/>
      <c r="D17" s="10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0"/>
  <sheetViews>
    <sheetView view="pageBreakPreview" topLeftCell="A7" zoomScale="60" zoomScaleNormal="100" workbookViewId="0">
      <selection activeCell="E28" sqref="E28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29" t="s">
        <v>217</v>
      </c>
      <c r="C4" s="129"/>
      <c r="D4" s="129"/>
    </row>
    <row r="5" spans="2:5" ht="18.75" customHeight="1" x14ac:dyDescent="0.25">
      <c r="B5" s="35"/>
    </row>
    <row r="6" spans="2:5" ht="15.75" customHeight="1" x14ac:dyDescent="0.25">
      <c r="B6" s="130" t="s">
        <v>218</v>
      </c>
      <c r="C6" s="130"/>
      <c r="D6" s="130"/>
    </row>
    <row r="7" spans="2:5" x14ac:dyDescent="0.25">
      <c r="B7" s="174"/>
      <c r="C7" s="174"/>
      <c r="D7" s="174"/>
      <c r="E7" s="174"/>
    </row>
    <row r="8" spans="2:5" ht="47.25" customHeight="1" x14ac:dyDescent="0.25">
      <c r="B8" s="37" t="s">
        <v>219</v>
      </c>
      <c r="C8" s="37" t="s">
        <v>220</v>
      </c>
      <c r="D8" s="37" t="s">
        <v>221</v>
      </c>
    </row>
    <row r="9" spans="2:5" ht="15.75" customHeight="1" x14ac:dyDescent="0.25">
      <c r="B9" s="37">
        <v>1</v>
      </c>
      <c r="C9" s="37">
        <v>2</v>
      </c>
      <c r="D9" s="37">
        <v>3</v>
      </c>
    </row>
    <row r="10" spans="2:5" ht="31.5" customHeight="1" x14ac:dyDescent="0.25">
      <c r="B10" s="37" t="s">
        <v>222</v>
      </c>
      <c r="C10" s="37" t="s">
        <v>223</v>
      </c>
      <c r="D10" s="37">
        <v>44.29</v>
      </c>
    </row>
    <row r="11" spans="2:5" ht="31.5" customHeight="1" x14ac:dyDescent="0.25">
      <c r="B11" s="37" t="s">
        <v>224</v>
      </c>
      <c r="C11" s="37" t="s">
        <v>223</v>
      </c>
      <c r="D11" s="37">
        <v>13.47</v>
      </c>
    </row>
    <row r="12" spans="2:5" ht="31.5" customHeight="1" x14ac:dyDescent="0.25">
      <c r="B12" s="37" t="s">
        <v>225</v>
      </c>
      <c r="C12" s="37" t="s">
        <v>223</v>
      </c>
      <c r="D12" s="37">
        <v>8.0399999999999991</v>
      </c>
    </row>
    <row r="13" spans="2:5" ht="31.5" customHeight="1" x14ac:dyDescent="0.25">
      <c r="B13" s="37" t="s">
        <v>226</v>
      </c>
      <c r="C13" s="75" t="s">
        <v>227</v>
      </c>
      <c r="D13" s="37">
        <v>6.26</v>
      </c>
    </row>
    <row r="14" spans="2:5" ht="78.75" customHeight="1" x14ac:dyDescent="0.25">
      <c r="B14" s="37" t="s">
        <v>228</v>
      </c>
      <c r="C14" s="37" t="s">
        <v>229</v>
      </c>
      <c r="D14" s="38">
        <v>3.9E-2</v>
      </c>
    </row>
    <row r="15" spans="2:5" ht="78.75" customHeight="1" x14ac:dyDescent="0.25">
      <c r="B15" s="37" t="s">
        <v>230</v>
      </c>
      <c r="C15" s="37" t="s">
        <v>231</v>
      </c>
      <c r="D15" s="38">
        <v>2.1000000000000001E-2</v>
      </c>
    </row>
    <row r="16" spans="2:5" ht="15.75" customHeight="1" x14ac:dyDescent="0.25">
      <c r="B16" s="37"/>
      <c r="C16" s="37"/>
      <c r="D16" s="38"/>
    </row>
    <row r="17" spans="2:4" ht="31.5" customHeight="1" x14ac:dyDescent="0.25">
      <c r="B17" s="37" t="s">
        <v>232</v>
      </c>
      <c r="C17" s="37" t="s">
        <v>233</v>
      </c>
      <c r="D17" s="38">
        <v>2.1399999999999999E-2</v>
      </c>
    </row>
    <row r="18" spans="2:4" ht="31.5" customHeight="1" x14ac:dyDescent="0.25">
      <c r="B18" s="37" t="s">
        <v>157</v>
      </c>
      <c r="C18" s="37" t="s">
        <v>234</v>
      </c>
      <c r="D18" s="38">
        <v>2E-3</v>
      </c>
    </row>
    <row r="19" spans="2:4" ht="24" customHeight="1" x14ac:dyDescent="0.25">
      <c r="B19" s="37" t="s">
        <v>235</v>
      </c>
      <c r="C19" s="37" t="s">
        <v>236</v>
      </c>
      <c r="D19" s="38">
        <v>0.03</v>
      </c>
    </row>
    <row r="20" spans="2:4" ht="18.75" customHeight="1" x14ac:dyDescent="0.25">
      <c r="B20" s="36"/>
    </row>
    <row r="21" spans="2:4" ht="18.75" customHeight="1" x14ac:dyDescent="0.25">
      <c r="B21" s="36"/>
    </row>
    <row r="22" spans="2:4" ht="18.75" customHeight="1" x14ac:dyDescent="0.25">
      <c r="B22" s="36"/>
    </row>
    <row r="23" spans="2:4" ht="18.75" customHeight="1" x14ac:dyDescent="0.25">
      <c r="B23" s="36"/>
    </row>
    <row r="26" spans="2:4" x14ac:dyDescent="0.25">
      <c r="B26" s="6" t="s">
        <v>33</v>
      </c>
      <c r="C26" s="1"/>
    </row>
    <row r="27" spans="2:4" x14ac:dyDescent="0.25">
      <c r="B27" s="63" t="s">
        <v>34</v>
      </c>
      <c r="C27" s="1"/>
    </row>
    <row r="28" spans="2:4" x14ac:dyDescent="0.25">
      <c r="B28" s="6"/>
      <c r="C28" s="1"/>
    </row>
    <row r="29" spans="2:4" x14ac:dyDescent="0.25">
      <c r="B29" s="6" t="s">
        <v>35</v>
      </c>
      <c r="C29" s="1"/>
    </row>
    <row r="30" spans="2:4" x14ac:dyDescent="0.25">
      <c r="B30" s="63" t="s">
        <v>36</v>
      </c>
      <c r="C30" s="1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5"/>
  <sheetViews>
    <sheetView tabSelected="1" view="pageBreakPreview" topLeftCell="A6" workbookViewId="0">
      <selection activeCell="G12" sqref="G12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175" t="s">
        <v>237</v>
      </c>
      <c r="B2" s="175"/>
      <c r="C2" s="175"/>
      <c r="D2" s="175"/>
      <c r="E2" s="175"/>
      <c r="F2" s="175"/>
    </row>
    <row r="4" spans="1:7" ht="18" customHeight="1" x14ac:dyDescent="0.25">
      <c r="A4" s="20" t="s">
        <v>238</v>
      </c>
    </row>
    <row r="5" spans="1:7" x14ac:dyDescent="0.25">
      <c r="A5" s="21" t="s">
        <v>166</v>
      </c>
      <c r="B5" s="21" t="s">
        <v>239</v>
      </c>
      <c r="C5" s="21" t="s">
        <v>240</v>
      </c>
      <c r="D5" s="21" t="s">
        <v>241</v>
      </c>
      <c r="E5" s="21" t="s">
        <v>242</v>
      </c>
      <c r="F5" s="21" t="s">
        <v>243</v>
      </c>
    </row>
    <row r="6" spans="1:7" x14ac:dyDescent="0.25">
      <c r="A6" s="21">
        <v>1</v>
      </c>
      <c r="B6" s="21">
        <v>2</v>
      </c>
      <c r="C6" s="21">
        <v>3</v>
      </c>
      <c r="D6" s="21">
        <v>4</v>
      </c>
      <c r="E6" s="21">
        <v>5</v>
      </c>
      <c r="F6" s="21">
        <v>6</v>
      </c>
    </row>
    <row r="7" spans="1:7" ht="90" customHeight="1" x14ac:dyDescent="0.25">
      <c r="A7" s="22" t="s">
        <v>244</v>
      </c>
      <c r="B7" s="24" t="s">
        <v>245</v>
      </c>
      <c r="C7" s="23" t="s">
        <v>246</v>
      </c>
      <c r="D7" s="23" t="s">
        <v>247</v>
      </c>
      <c r="E7" s="25">
        <v>47872.94</v>
      </c>
      <c r="F7" s="24" t="s">
        <v>248</v>
      </c>
    </row>
    <row r="8" spans="1:7" ht="30" customHeight="1" x14ac:dyDescent="0.25">
      <c r="A8" s="22" t="s">
        <v>249</v>
      </c>
      <c r="B8" s="24" t="s">
        <v>250</v>
      </c>
      <c r="C8" s="23" t="s">
        <v>251</v>
      </c>
      <c r="D8" s="23" t="s">
        <v>252</v>
      </c>
      <c r="E8" s="25">
        <f>1973/12</f>
        <v>164.41666666667001</v>
      </c>
      <c r="F8" s="24" t="s">
        <v>253</v>
      </c>
      <c r="G8" s="26"/>
    </row>
    <row r="9" spans="1:7" x14ac:dyDescent="0.25">
      <c r="A9" s="22" t="s">
        <v>254</v>
      </c>
      <c r="B9" s="24" t="s">
        <v>255</v>
      </c>
      <c r="C9" s="23" t="s">
        <v>256</v>
      </c>
      <c r="D9" s="23" t="s">
        <v>247</v>
      </c>
      <c r="E9" s="25">
        <v>1</v>
      </c>
      <c r="F9" s="24"/>
      <c r="G9" s="27"/>
    </row>
    <row r="10" spans="1:7" x14ac:dyDescent="0.25">
      <c r="A10" s="22" t="s">
        <v>257</v>
      </c>
      <c r="B10" s="24" t="s">
        <v>258</v>
      </c>
      <c r="C10" s="23"/>
      <c r="D10" s="23"/>
      <c r="E10" s="28">
        <v>3.6</v>
      </c>
      <c r="F10" s="24" t="s">
        <v>259</v>
      </c>
      <c r="G10" s="27"/>
    </row>
    <row r="11" spans="1:7" ht="75" customHeight="1" x14ac:dyDescent="0.25">
      <c r="A11" s="22" t="s">
        <v>260</v>
      </c>
      <c r="B11" s="24" t="s">
        <v>261</v>
      </c>
      <c r="C11" s="23" t="s">
        <v>262</v>
      </c>
      <c r="D11" s="23" t="s">
        <v>247</v>
      </c>
      <c r="E11" s="29">
        <v>1.278</v>
      </c>
      <c r="F11" s="24" t="s">
        <v>263</v>
      </c>
    </row>
    <row r="12" spans="1:7" ht="75" customHeight="1" x14ac:dyDescent="0.25">
      <c r="A12" s="22" t="s">
        <v>264</v>
      </c>
      <c r="B12" s="30" t="s">
        <v>265</v>
      </c>
      <c r="C12" s="23" t="s">
        <v>266</v>
      </c>
      <c r="D12" s="23" t="s">
        <v>247</v>
      </c>
      <c r="E12" s="31">
        <v>1.139</v>
      </c>
      <c r="F12" s="32" t="s">
        <v>267</v>
      </c>
      <c r="G12" s="27"/>
    </row>
    <row r="13" spans="1:7" ht="60" customHeight="1" x14ac:dyDescent="0.25">
      <c r="A13" s="22" t="s">
        <v>268</v>
      </c>
      <c r="B13" s="33" t="s">
        <v>269</v>
      </c>
      <c r="C13" s="23" t="s">
        <v>270</v>
      </c>
      <c r="D13" s="23" t="s">
        <v>271</v>
      </c>
      <c r="E13" s="34">
        <v>423.83697188533</v>
      </c>
      <c r="F13" s="24" t="s">
        <v>272</v>
      </c>
    </row>
    <row r="14" spans="1:7" ht="60" customHeight="1" x14ac:dyDescent="0.25">
      <c r="A14" s="22" t="s">
        <v>273</v>
      </c>
      <c r="B14" s="33" t="s">
        <v>274</v>
      </c>
      <c r="C14" s="23" t="s">
        <v>275</v>
      </c>
      <c r="D14" s="23" t="s">
        <v>271</v>
      </c>
      <c r="E14" s="34">
        <v>713.02776960364997</v>
      </c>
      <c r="F14" s="24" t="s">
        <v>272</v>
      </c>
    </row>
    <row r="15" spans="1:7" ht="60" customHeight="1" x14ac:dyDescent="0.25">
      <c r="A15" s="22" t="s">
        <v>276</v>
      </c>
      <c r="B15" s="33" t="s">
        <v>277</v>
      </c>
      <c r="C15" s="23" t="s">
        <v>275</v>
      </c>
      <c r="D15" s="23" t="s">
        <v>271</v>
      </c>
      <c r="E15" s="34">
        <v>650.01601322007002</v>
      </c>
      <c r="F15" s="24" t="s">
        <v>278</v>
      </c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10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2023-11-25T09:14:43Z</cp:lastPrinted>
  <dcterms:created xsi:type="dcterms:W3CDTF">2020-09-30T08:50:27Z</dcterms:created>
  <dcterms:modified xsi:type="dcterms:W3CDTF">2023-11-25T09:15:02Z</dcterms:modified>
  <cp:category/>
</cp:coreProperties>
</file>