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C568656-2B7E-49E3-8ADA-E916D95575B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Прил.3!$A$1:$H$81</definedName>
    <definedName name="_xlnm.Print_Area" localSheetId="6">'Прил.4 РМ'!$A$1:$E$48</definedName>
    <definedName name="_xlnm.Print_Area" localSheetId="7">'Прил.5 Расчет СМР и ОБ'!$A$1:$J$93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2" i="9"/>
  <c r="E12" i="9"/>
  <c r="G12" i="9" s="1"/>
  <c r="G13" i="9" s="1"/>
  <c r="G14" i="9" s="1"/>
  <c r="D12" i="9"/>
  <c r="C12" i="9"/>
  <c r="B12" i="9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J51" i="8"/>
  <c r="I51" i="8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I41" i="8"/>
  <c r="J41" i="8" s="1"/>
  <c r="J42" i="8" s="1"/>
  <c r="G41" i="8"/>
  <c r="G42" i="8" s="1"/>
  <c r="J33" i="8"/>
  <c r="J35" i="8" s="1"/>
  <c r="J37" i="8" s="1"/>
  <c r="G33" i="8"/>
  <c r="G35" i="8" s="1"/>
  <c r="F33" i="8"/>
  <c r="J28" i="8"/>
  <c r="I28" i="8"/>
  <c r="G28" i="8"/>
  <c r="J27" i="8"/>
  <c r="I27" i="8"/>
  <c r="G27" i="8"/>
  <c r="I26" i="8"/>
  <c r="J26" i="8" s="1"/>
  <c r="G26" i="8"/>
  <c r="J25" i="8"/>
  <c r="I25" i="8"/>
  <c r="G25" i="8"/>
  <c r="J24" i="8"/>
  <c r="I24" i="8"/>
  <c r="G24" i="8"/>
  <c r="I23" i="8"/>
  <c r="J23" i="8" s="1"/>
  <c r="G23" i="8"/>
  <c r="G29" i="8" s="1"/>
  <c r="J22" i="8"/>
  <c r="I22" i="8"/>
  <c r="G22" i="8"/>
  <c r="J21" i="8"/>
  <c r="I21" i="8"/>
  <c r="G21" i="8"/>
  <c r="G20" i="8"/>
  <c r="J19" i="8"/>
  <c r="J20" i="8" s="1"/>
  <c r="C12" i="7" s="1"/>
  <c r="I19" i="8"/>
  <c r="G19" i="8"/>
  <c r="G16" i="8"/>
  <c r="E16" i="8"/>
  <c r="G14" i="8"/>
  <c r="D82" i="8" s="1"/>
  <c r="I13" i="8"/>
  <c r="G13" i="8"/>
  <c r="E13" i="8"/>
  <c r="E14" i="8" s="1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H20" i="6"/>
  <c r="H19" i="6"/>
  <c r="H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9" i="8" l="1"/>
  <c r="C16" i="7"/>
  <c r="H22" i="8"/>
  <c r="J78" i="8"/>
  <c r="C17" i="7" s="1"/>
  <c r="G37" i="8"/>
  <c r="G30" i="8"/>
  <c r="H19" i="8" s="1"/>
  <c r="J38" i="8"/>
  <c r="C26" i="7" s="1"/>
  <c r="C25" i="7"/>
  <c r="G78" i="8"/>
  <c r="H13" i="8"/>
  <c r="D81" i="8"/>
  <c r="C23" i="7" s="1"/>
  <c r="C21" i="7"/>
  <c r="F16" i="8"/>
  <c r="I16" i="8" s="1"/>
  <c r="J16" i="8" s="1"/>
  <c r="C15" i="7" s="1"/>
  <c r="J13" i="8"/>
  <c r="J14" i="8" s="1"/>
  <c r="H25" i="8" l="1"/>
  <c r="J30" i="8"/>
  <c r="C13" i="7"/>
  <c r="C14" i="7" s="1"/>
  <c r="G80" i="8"/>
  <c r="H29" i="8"/>
  <c r="H20" i="8"/>
  <c r="G79" i="8"/>
  <c r="H36" i="8"/>
  <c r="H37" i="8" s="1"/>
  <c r="G38" i="8"/>
  <c r="H33" i="8"/>
  <c r="H27" i="8"/>
  <c r="H24" i="8"/>
  <c r="H21" i="8"/>
  <c r="H23" i="8"/>
  <c r="H26" i="8"/>
  <c r="H28" i="8"/>
  <c r="J82" i="8"/>
  <c r="H35" i="8"/>
  <c r="C18" i="7"/>
  <c r="J79" i="8"/>
  <c r="C11" i="7"/>
  <c r="J80" i="8"/>
  <c r="C22" i="7"/>
  <c r="J81" i="8"/>
  <c r="H77" i="8" l="1"/>
  <c r="H74" i="8"/>
  <c r="H71" i="8"/>
  <c r="H68" i="8"/>
  <c r="H65" i="8"/>
  <c r="H62" i="8"/>
  <c r="H59" i="8"/>
  <c r="H56" i="8"/>
  <c r="H53" i="8"/>
  <c r="H50" i="8"/>
  <c r="H47" i="8"/>
  <c r="H44" i="8"/>
  <c r="H79" i="8"/>
  <c r="H41" i="8"/>
  <c r="H61" i="8"/>
  <c r="H55" i="8"/>
  <c r="H43" i="8"/>
  <c r="H69" i="8"/>
  <c r="H63" i="8"/>
  <c r="H48" i="8"/>
  <c r="H64" i="8"/>
  <c r="H46" i="8"/>
  <c r="H49" i="8"/>
  <c r="H52" i="8"/>
  <c r="H73" i="8"/>
  <c r="H58" i="8"/>
  <c r="H72" i="8"/>
  <c r="H54" i="8"/>
  <c r="H67" i="8"/>
  <c r="H60" i="8"/>
  <c r="H76" i="8"/>
  <c r="G83" i="8"/>
  <c r="G84" i="8" s="1"/>
  <c r="G85" i="8" s="1"/>
  <c r="H45" i="8"/>
  <c r="H75" i="8"/>
  <c r="H66" i="8"/>
  <c r="H51" i="8"/>
  <c r="H70" i="8"/>
  <c r="H42" i="8"/>
  <c r="H57" i="8"/>
  <c r="J83" i="8"/>
  <c r="J84" i="8" s="1"/>
  <c r="J85" i="8" s="1"/>
  <c r="H78" i="8"/>
  <c r="C19" i="7"/>
  <c r="C20" i="7"/>
  <c r="C24" i="7" l="1"/>
  <c r="D20" i="7" s="1"/>
  <c r="D17" i="7" l="1"/>
  <c r="D13" i="7"/>
  <c r="C29" i="7"/>
  <c r="C30" i="7" s="1"/>
  <c r="D14" i="7"/>
  <c r="C27" i="7"/>
  <c r="D24" i="7"/>
  <c r="D16" i="7"/>
  <c r="D12" i="7"/>
  <c r="D18" i="7"/>
  <c r="D15" i="7"/>
  <c r="D22" i="7"/>
  <c r="D11" i="7"/>
  <c r="C35" i="7" l="1"/>
  <c r="C33" i="7"/>
  <c r="C37" i="7" s="1"/>
  <c r="C36" i="7"/>
  <c r="C38" i="7" l="1"/>
  <c r="C39" i="7" l="1"/>
  <c r="C40" i="7" l="1"/>
  <c r="E39" i="7"/>
  <c r="C41" i="7" l="1"/>
  <c r="D11" i="10" s="1"/>
  <c r="E25" i="7"/>
  <c r="E32" i="7"/>
  <c r="E31" i="7"/>
  <c r="E40" i="7"/>
  <c r="E34" i="7"/>
  <c r="E18" i="7"/>
  <c r="E16" i="7"/>
  <c r="E14" i="7"/>
  <c r="E12" i="7"/>
  <c r="E17" i="7"/>
  <c r="E26" i="7"/>
  <c r="E13" i="7"/>
  <c r="E15" i="7"/>
  <c r="E22" i="7"/>
  <c r="E11" i="7"/>
  <c r="E20" i="7"/>
  <c r="E24" i="7"/>
  <c r="E27" i="7"/>
  <c r="E37" i="7"/>
  <c r="E36" i="7"/>
  <c r="E33" i="7"/>
  <c r="E35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<sst xmlns="http://schemas.openxmlformats.org/spreadsheetml/2006/main" count="794" uniqueCount="475">
  <si>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</si>
  <si>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</si>
  <si>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</si>
  <si>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</si>
  <si>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</si>
  <si>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</si>
  <si>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</si>
  <si>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</si>
  <si>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</si>
  <si>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</si>
  <si>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</si>
  <si>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</si>
  <si>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</si>
  <si>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</si>
  <si>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</si>
  <si>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</si>
  <si>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</si>
  <si>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</si>
  <si>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</si>
  <si>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</si>
  <si>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</si>
  <si>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</si>
  <si>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</si>
  <si>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</si>
  <si>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</si>
  <si>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</si>
  <si>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</si>
  <si>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</si>
  <si>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</si>
  <si>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</si>
  <si>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</si>
  <si>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</si>
  <si>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</si>
  <si>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</si>
  <si>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</si>
  <si>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</si>
  <si>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</si>
  <si>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</si>
  <si>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</si>
  <si>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</si>
  <si>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</si>
  <si>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</si>
  <si>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</si>
  <si>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</si>
  <si>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</si>
  <si>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</si>
  <si>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</si>
  <si>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</si>
  <si>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ПАК информационной безопасности для защиты ПС 750 кВ</t>
  </si>
  <si>
    <t>Сопоставимый уровень цен: 4 кв. 2018 г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</si>
  <si>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</si>
  <si>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</si>
  <si>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</si>
  <si>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</si>
  <si>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</si>
  <si>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</si>
  <si>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</si>
  <si>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</si>
  <si>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</si>
  <si>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</si>
  <si>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</si>
  <si>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Комплекс межсетевого экранирования и обнаружения вторжений
Комплекс антивирусной защиты 
Комплекс контроля целостности конфигураций данных и защиты от НСД
Комплекс резервного копирования и восстановления информации
Комплекс управления информационной безопасностью
Оборудование, материалы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</si>
  <si>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</si>
  <si>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</si>
  <si>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</si>
  <si>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</si>
  <si>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</si>
  <si>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</si>
  <si>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</si>
  <si>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</si>
  <si>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</si>
  <si>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</si>
  <si>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</si>
  <si>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</si>
  <si>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</si>
  <si>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</si>
  <si>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Е. М. Добровольская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</si>
  <si>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</si>
  <si>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</si>
  <si>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</si>
  <si>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</si>
  <si>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</si>
  <si>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</si>
  <si>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</si>
  <si>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</si>
  <si>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</si>
  <si>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</si>
  <si>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</si>
  <si>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</si>
  <si>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</si>
  <si>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</si>
  <si>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ПАК информационной безопасности для защиты ПС 750 кВ</t>
  </si>
  <si>
    <t>Всего по объекту:</t>
  </si>
  <si>
    <t>Всего по объекту в сопоставимом уровне цен 4 кв. 2018 г:</t>
  </si>
  <si>
    <t>Составил ______________________     Е. М. Добровольская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</si>
  <si>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</si>
  <si>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</si>
  <si>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</si>
  <si>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</si>
  <si>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</si>
  <si>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</si>
  <si>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</si>
  <si>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</si>
  <si>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</si>
  <si>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</si>
  <si>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</si>
  <si>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</si>
  <si>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</si>
  <si>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</si>
  <si>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</si>
  <si>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</si>
  <si>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</si>
  <si>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1-5-0</t>
  </si>
  <si>
    <t>Затраты труда рабочих (ср 5)</t>
  </si>
  <si>
    <t>1-3-8</t>
  </si>
  <si>
    <t>Затраты труда рабочих (ср 3,8)</t>
  </si>
  <si>
    <t>1-3-6</t>
  </si>
  <si>
    <t>Затраты труда рабочих (ср 3,6)</t>
  </si>
  <si>
    <t>1-4-2</t>
  </si>
  <si>
    <t>Затраты труда рабочих (ср 4,2)</t>
  </si>
  <si>
    <t>1-4-4</t>
  </si>
  <si>
    <t>Затраты труда рабочих (ср 4,4)</t>
  </si>
  <si>
    <t>1-4-1</t>
  </si>
  <si>
    <t>Затраты труда рабочих (ср 4,1)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</si>
  <si>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</si>
  <si>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</si>
  <si>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</si>
  <si>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</si>
  <si>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</si>
  <si>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</si>
  <si>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</si>
  <si>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91.05.05-015</t>
  </si>
  <si>
    <t>Краны на автомобильном ходу, грузоподъемность 16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</si>
  <si>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</si>
  <si>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</si>
  <si>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</si>
  <si>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</si>
  <si>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</si>
  <si>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</si>
  <si>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</si>
  <si>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</si>
  <si>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</si>
  <si>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</si>
  <si>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91.04.01-041</t>
  </si>
  <si>
    <t>Молотки бурильные легкие при работе от передвижных компрессорных станций</t>
  </si>
  <si>
    <t>91.06.06-042</t>
  </si>
  <si>
    <t>Подъемники гидравлические, высота подъема 10 м</t>
  </si>
  <si>
    <t>Прайс из СД ОП</t>
  </si>
  <si>
    <t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t>
  </si>
  <si>
    <t>комплект</t>
  </si>
  <si>
    <t xml:space="preserve"> 804331-B21 HPE Smart Array P408i-a SR Gen10 (8 Internal Lanes/2GB Cache) 12G SAS Modular Controller
=1шт; P08449-B21 Intel I350-T4 Ethernet 1Gb 4-port BASE-T OCP3 Adapter for HPE=1шт; P26477-B21 HPE ProLiant DL36X Gen10 Plus High Performance Fan Kit
с=1шт; 865408-B21 HPE 500W Flex Slot Platinum Hot Plug Low Halogen Power Supply Kit
с=2шт; BD505A HPE iLO Advanced 1-server License with 3yr Support on iLO Licensed Features
с=1шт; P26479-B21 HPE ProLiant DL360 Gen10 Plus High Performance Heat Sink Kit
с=1шт; P26485-B21 HPE ProLiant DL300 Gen10 Plus 1U SFF Easy Install Rail Kit
с=1шт; HU4B2A3 ZSA HPE Proliant DL360 Gen10+ Support
с=1шт; P11060-B21 Microsoft Windows Server 2019 (16-Core) Standard FIO Not Pre-installed English SW = 4шт; арт. 1022816 SMC3000R2I-RS     APC Smart-UPS C 3000VA LCD RM 2U 230V Russia
с=2шт; ШТК-С-42.6.10-44 АА0. Шкаф серверный напольный 42U (600 х 1000) дверь перфорированная 2 шт
с=1шт; КП-АВ. 19" панель с DIN-рейкой PS-3U  КП-АВ = 1шт; ПЗ-19-500.200А. Панель заземления горизонтальная/вертикальная 19" 500мм/200А=1шт; КМ-2-50. Комплект монтажный №2 (винт, шайба, гайка с защелкой), упаковка 50шт=1шт; R-16-8S-V-440-1.8. Блок розеток Rem-16 с выкл.,., 8 Schuko, 16A, алюм. 19", шнур 1.8м=2шт; ГКО-4.62. Горизонтальный кабельный органайзер 19"1U, 4 кольца=1шт; СВ-75. Полка перфорированная , глубина 750мм
=2шт; mdse-47-pro. Розетка для евровилки с заземлением PDE-47 230В EKF PROxima
=2шт; Автоматический выключатель ABB SH202L 2P (С) 4,5kA 40 А 2CDS242001R0404
=2шт; Автоматический выключатель ABB SH202L (2CDS242001R0324) 2P 32А тип C 4,5 кА 400 В на DIN-рейку., карандандиум   2CDS242001R0324=2шт; NM-UTP5E4PR-CU     Кабель NewMax UTP CCA, 4 пары, Кат.5e, PVC, серый, 305 метров=305м; Коннекторы 8P8C UTP Cat.5e (RJ-45) (100шт)=1шт</t>
  </si>
  <si>
    <t>Материалы</t>
  </si>
  <si>
    <t>10m (33ft) LC UPC - LC UPC оптический патч-корд Duplex OM4 MM PVC (OFNR) 2.0mm</t>
  </si>
  <si>
    <t>шт</t>
  </si>
  <si>
    <t>20.1.02.07-0001</t>
  </si>
  <si>
    <t>Наконечник изолированный алюминиевый с медной клеммой (СИП): CPTAU 16</t>
  </si>
  <si>
    <t>21.1.06.03-0023</t>
  </si>
  <si>
    <t>Кабель малогабаритный КМПВЭВнг(А)-LS 2x2,5-1000</t>
  </si>
  <si>
    <t>1000 м</t>
  </si>
  <si>
    <t>21.2.03.05-0068</t>
  </si>
  <si>
    <t>Провод силовой установочный с медными жилами ПуГВ 1х4-450</t>
  </si>
  <si>
    <t>24.3.01.02-0014</t>
  </si>
  <si>
    <t>Трубы гибкие гофрированные легкие из самозатухающего ПВХ (IP55) серии FL, диаметром: 32 мм</t>
  </si>
  <si>
    <t>10 м</t>
  </si>
  <si>
    <t>01.7.15.07-0014</t>
  </si>
  <si>
    <t>Дюбели распорные полипропиленовые</t>
  </si>
  <si>
    <t>100 шт</t>
  </si>
  <si>
    <t>07.2.07.04-0007</t>
  </si>
  <si>
    <t>Конструкции стальные индивидуальные решетчатые сварные, масса до 0,1 т</t>
  </si>
  <si>
    <t>т</t>
  </si>
  <si>
    <t>14.4.02.04-0221</t>
  </si>
  <si>
    <t>Краска масляная готовая к применению для наружных и внутренних работ МА-15, белила цинковые</t>
  </si>
  <si>
    <t>999-9950</t>
  </si>
  <si>
    <t>Вспомогательные ненормируемые ресурсы (2% от Оплаты труда рабочих)</t>
  </si>
  <si>
    <t>руб</t>
  </si>
  <si>
    <t>01.7.15.14-0168</t>
  </si>
  <si>
    <t>Шурупы с полукруглой головкой 5х70 мм</t>
  </si>
  <si>
    <t>20.1.02.18-0002</t>
  </si>
  <si>
    <t>Стяжка нейлоновая PER15 длиной 300 мм под винт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</si>
  <si>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</si>
  <si>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</si>
  <si>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</si>
  <si>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</si>
  <si>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кг</t>
  </si>
  <si>
    <t>01.7.15.03-0042</t>
  </si>
  <si>
    <t>Болты с гайками и шайбами строительные</t>
  </si>
  <si>
    <t>20.1.02.23-0082</t>
  </si>
  <si>
    <t>Перемычки гибкие, тип ПГС-50</t>
  </si>
  <si>
    <t>10 шт</t>
  </si>
  <si>
    <t>14.4.02.09-0001</t>
  </si>
  <si>
    <t>Краска</t>
  </si>
  <si>
    <t>01.7.06.07-0002</t>
  </si>
  <si>
    <t>Лента монтажная, тип ЛМ-5</t>
  </si>
  <si>
    <t>23.8.03.02-0003</t>
  </si>
  <si>
    <t>Клипса для крепежа гофротрубы, номинальный диаметр 32 мм</t>
  </si>
  <si>
    <t>10.3.02.03-0011</t>
  </si>
  <si>
    <t>Припои оловянно-свинцовые бессурьмянистые, марка ПОС30</t>
  </si>
  <si>
    <t>01.7.15.07-0152</t>
  </si>
  <si>
    <t>Дюбели с шурупом, размер 6х35 мм</t>
  </si>
  <si>
    <t>01.7.11.07-0034</t>
  </si>
  <si>
    <t>Электроды сварочные Э42А, диаметр 4 мм</t>
  </si>
  <si>
    <t>20.1.02.14-0001</t>
  </si>
  <si>
    <t>Серьга</t>
  </si>
  <si>
    <t>01.7.15.14-0165</t>
  </si>
  <si>
    <t>Шурупы с полукруглой головкой 4х40 мм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</si>
  <si>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</si>
  <si>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</si>
  <si>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14.4.03.03-0002</t>
  </si>
  <si>
    <t>Лак битумный БТ-123</t>
  </si>
  <si>
    <t>01.7.15.07-0012</t>
  </si>
  <si>
    <t>Дюбели пластмассовые с шурупами, размер 12х70 мм</t>
  </si>
  <si>
    <t>14.4.03.17-0011</t>
  </si>
  <si>
    <t>Лак электроизоляционный 318</t>
  </si>
  <si>
    <t>01.3.01.02-0002</t>
  </si>
  <si>
    <t>Вазелин технический</t>
  </si>
  <si>
    <t>08.3.07.01-0076</t>
  </si>
  <si>
    <t>Прокат полосовой, горячекатаный, марка стали Ст3сп, ширина 50-200 мм, толщина 4-5 мм</t>
  </si>
  <si>
    <t>10.3.02.03-0012</t>
  </si>
  <si>
    <t>Припои оловянно-свинцовые бессурьмянистые, марка ПОС40</t>
  </si>
  <si>
    <t>20.2.02.01-0019</t>
  </si>
  <si>
    <t>Втулки изолирующие</t>
  </si>
  <si>
    <t>1000 шт</t>
  </si>
  <si>
    <t>01.7.20.04-0005</t>
  </si>
  <si>
    <t>Нитки швейные</t>
  </si>
  <si>
    <t>20.2.09.13-0011</t>
  </si>
  <si>
    <t>Муфты</t>
  </si>
  <si>
    <t>01.7.02.09-0002</t>
  </si>
  <si>
    <t>Шпагат бумажный</t>
  </si>
  <si>
    <t>01.3.05.17-0002</t>
  </si>
  <si>
    <t>Канифоль сосновая</t>
  </si>
  <si>
    <t>01.7.15.04-0011</t>
  </si>
  <si>
    <t>Винты с полукруглой головкой, длина 50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</si>
  <si>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</si>
  <si>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</si>
  <si>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</si>
  <si>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</si>
  <si>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</si>
  <si>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</si>
  <si>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</si>
  <si>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</si>
  <si>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</si>
  <si>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</si>
  <si>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</si>
  <si>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</si>
  <si>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</si>
  <si>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</si>
  <si>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</si>
  <si>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</si>
  <si>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</si>
  <si>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</si>
  <si>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</si>
  <si>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</si>
  <si>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</si>
  <si>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</si>
  <si>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</si>
  <si>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</si>
  <si>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</si>
  <si>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</si>
  <si>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</si>
  <si>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</si>
  <si>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</si>
  <si>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</si>
  <si>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</si>
  <si>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</si>
  <si>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</si>
  <si>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</si>
  <si>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</si>
  <si>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</si>
  <si>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</si>
  <si>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Е. М. Добровольская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</si>
  <si>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</si>
  <si>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</si>
  <si>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</si>
  <si>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Расчет стоимости СМР и оборудования</t>
  </si>
  <si>
    <t>Наименование разрабатываемого показателя УНЦ</t>
  </si>
  <si>
    <t>Постоянная часть ПС, ПАК информационной безопасности для защиты ПС 750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</si>
  <si>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</si>
  <si>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</si>
  <si>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</si>
  <si>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</si>
  <si>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</si>
  <si>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</si>
  <si>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</si>
  <si>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</si>
  <si>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</si>
  <si>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</si>
  <si>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</si>
  <si>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</si>
  <si>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</si>
  <si>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Прайс из  СД ОП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</si>
  <si>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</si>
  <si>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</si>
  <si>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</si>
  <si>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</si>
  <si>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</si>
  <si>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</si>
  <si>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</si>
  <si>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</si>
  <si>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</si>
  <si>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</si>
  <si>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</si>
  <si>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</si>
  <si>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</si>
  <si>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</si>
  <si>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</si>
  <si>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</si>
  <si>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</si>
  <si>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</si>
  <si>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</si>
  <si>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</si>
  <si>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</si>
  <si>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</si>
  <si>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</si>
  <si>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Е. М. Добровольская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</si>
  <si>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</si>
  <si>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</si>
  <si>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</si>
  <si>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</si>
  <si>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</si>
  <si>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</si>
  <si>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</si>
  <si>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</si>
  <si>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</si>
  <si>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</si>
  <si>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</si>
  <si>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</si>
  <si>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</si>
  <si>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</si>
  <si>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01.04.2023г. №17772-ИФ/09 прил.9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</si>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</sst>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"/>
    <numFmt numFmtId="170" formatCode="0.00000"/>
    <numFmt numFmtId="171" formatCode="#,##0.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4" fontId="20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left" vertical="top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0" xfId="0" applyFont="1"/>
    <xf numFmtId="0" fontId="18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3" fontId="0" fillId="0" borderId="0" xfId="0" applyNumberForma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2" fontId="16" fillId="0" borderId="2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401544</xdr:colOff>
      <xdr:row>28</xdr:row>
      <xdr:rowOff>122704</xdr:rowOff>
    </xdr:from>
    <xdr:to>
      <xdr:col>2</xdr:col>
      <xdr:colOff>1346346</xdr:colOff>
      <xdr:row>31</xdr:row>
      <xdr:rowOff>26111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E56A54F-80F8-4B90-B003-260867D7A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779" y="13468910"/>
          <a:ext cx="944802" cy="508525"/>
        </a:xfrm>
        <a:prstGeom prst="rect">
          <a:avLst/>
        </a:prstGeom>
      </xdr:spPr>
    </xdr:pic>
    <xdr:clientData/>
  </xdr:twoCellAnchor>
  <xdr:twoCellAnchor editAs="oneCell">
    <xdr:from>
      <xdr:col>2</xdr:col>
      <xdr:colOff>496794</xdr:colOff>
      <xdr:row>26</xdr:row>
      <xdr:rowOff>418726</xdr:rowOff>
    </xdr:from>
    <xdr:to>
      <xdr:col>2</xdr:col>
      <xdr:colOff>1485335</xdr:colOff>
      <xdr:row>27</xdr:row>
      <xdr:rowOff>189379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DF118DC7-E5EB-4576-8734-72EE7347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029" y="13081373"/>
          <a:ext cx="988541" cy="252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850446</xdr:colOff>
      <xdr:row>18</xdr:row>
      <xdr:rowOff>66221</xdr:rowOff>
    </xdr:from>
    <xdr:to>
      <xdr:col>2</xdr:col>
      <xdr:colOff>1795248</xdr:colOff>
      <xdr:row>21</xdr:row>
      <xdr:rowOff>18934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6D3EA5-A6F3-4EC9-B150-EB638D4A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160" y="597172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945696</xdr:colOff>
      <xdr:row>16</xdr:row>
      <xdr:rowOff>56696</xdr:rowOff>
    </xdr:from>
    <xdr:to>
      <xdr:col>2</xdr:col>
      <xdr:colOff>1934237</xdr:colOff>
      <xdr:row>17</xdr:row>
      <xdr:rowOff>123371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4E20488A-EBF6-4860-A1DF-5EFE72DD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410" y="5581196"/>
          <a:ext cx="988541" cy="257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357188</xdr:colOff>
      <xdr:row>75</xdr:row>
      <xdr:rowOff>158894</xdr:rowOff>
    </xdr:from>
    <xdr:to>
      <xdr:col>2</xdr:col>
      <xdr:colOff>1301990</xdr:colOff>
      <xdr:row>78</xdr:row>
      <xdr:rowOff>59653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424582-07E8-4900-9E9B-F4B0B854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5590644"/>
          <a:ext cx="944802" cy="472259"/>
        </a:xfrm>
        <a:prstGeom prst="rect">
          <a:avLst/>
        </a:prstGeom>
      </xdr:spPr>
    </xdr:pic>
    <xdr:clientData/>
  </xdr:twoCellAnchor>
  <xdr:twoCellAnchor editAs="oneCell">
    <xdr:from>
      <xdr:col>2</xdr:col>
      <xdr:colOff>452438</xdr:colOff>
      <xdr:row>73</xdr:row>
      <xdr:rowOff>166687</xdr:rowOff>
    </xdr:from>
    <xdr:to>
      <xdr:col>2</xdr:col>
      <xdr:colOff>1440979</xdr:colOff>
      <xdr:row>75</xdr:row>
      <xdr:rowOff>25544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79FB43D1-B5DD-4F61-924E-06FD8770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25217437"/>
          <a:ext cx="988541" cy="239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819150</xdr:colOff>
      <xdr:row>43</xdr:row>
      <xdr:rowOff>76200</xdr:rowOff>
    </xdr:from>
    <xdr:to>
      <xdr:col>1</xdr:col>
      <xdr:colOff>1763952</xdr:colOff>
      <xdr:row>46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C278FC-690B-4AD7-9B9E-91CA84B9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11696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41</xdr:row>
      <xdr:rowOff>66675</xdr:rowOff>
    </xdr:from>
    <xdr:to>
      <xdr:col>1</xdr:col>
      <xdr:colOff>1902941</xdr:colOff>
      <xdr:row>42</xdr:row>
      <xdr:rowOff>133350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2D9D7751-B605-4C20-B31A-BFA26A91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1306175"/>
          <a:ext cx="988541" cy="257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654144</xdr:colOff>
      <xdr:row>87</xdr:row>
      <xdr:rowOff>127188</xdr:rowOff>
    </xdr:from>
    <xdr:to>
      <xdr:col>2</xdr:col>
      <xdr:colOff>93996</xdr:colOff>
      <xdr:row>90</xdr:row>
      <xdr:rowOff>79901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AE6D526-57ED-41BA-8B15-BDD12E31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144" y="28392626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749394</xdr:colOff>
      <xdr:row>85</xdr:row>
      <xdr:rowOff>117663</xdr:rowOff>
    </xdr:from>
    <xdr:to>
      <xdr:col>2</xdr:col>
      <xdr:colOff>232985</xdr:colOff>
      <xdr:row>86</xdr:row>
      <xdr:rowOff>184338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5ABEB087-CD47-447B-9400-CE649A995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94" y="28002101"/>
          <a:ext cx="983779" cy="257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16</xdr:row>
      <xdr:rowOff>66675</xdr:rowOff>
    </xdr:from>
    <xdr:to>
      <xdr:col>2</xdr:col>
      <xdr:colOff>220902</xdr:colOff>
      <xdr:row>19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1A4164B-80EB-45DD-845C-2ADBB6451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8877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14</xdr:row>
      <xdr:rowOff>57150</xdr:rowOff>
    </xdr:from>
    <xdr:to>
      <xdr:col>2</xdr:col>
      <xdr:colOff>359891</xdr:colOff>
      <xdr:row>15</xdr:row>
      <xdr:rowOff>123825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5BA10C55-4E5A-46A8-B23E-CC816FC5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8486775"/>
          <a:ext cx="988541" cy="257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85725</xdr:rowOff>
    </xdr:from>
    <xdr:to>
      <xdr:col>1</xdr:col>
      <xdr:colOff>916227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74871F5-0591-4666-8546-4F0A38A93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11</xdr:row>
      <xdr:rowOff>76200</xdr:rowOff>
    </xdr:from>
    <xdr:to>
      <xdr:col>1</xdr:col>
      <xdr:colOff>1055216</xdr:colOff>
      <xdr:row>12</xdr:row>
      <xdr:rowOff>142875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DE292442-D519-4B32-8A8E-A4CEE249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057525"/>
          <a:ext cx="988541" cy="257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26</xdr:row>
      <xdr:rowOff>104775</xdr:rowOff>
    </xdr:from>
    <xdr:to>
      <xdr:col>1</xdr:col>
      <xdr:colOff>1849677</xdr:colOff>
      <xdr:row>29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CDB3C1-0881-4A14-9069-FA2EE3F9A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8963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24</xdr:row>
      <xdr:rowOff>95250</xdr:rowOff>
    </xdr:from>
    <xdr:to>
      <xdr:col>1</xdr:col>
      <xdr:colOff>1988666</xdr:colOff>
      <xdr:row>25</xdr:row>
      <xdr:rowOff>161925</xdr:rowOff>
    </xdr:to>
    <xdr:pic>
      <xdr:nvPicPr>
        <xdr:cNvPr id="3" name="Рисунок 2" descr="Изображение выглядит как рукописный текст, Шрифт, каллиграфия, Графика&#10;&#10;Автоматически созданное описание">
          <a:extLst>
            <a:ext uri="{FF2B5EF4-FFF2-40B4-BE49-F238E27FC236}">
              <a16:creationId xmlns:a16="http://schemas.microsoft.com/office/drawing/2014/main" id="{4CB356DA-04BE-46B2-B11F-065336A6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5" y="8572500"/>
          <a:ext cx="988541" cy="25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4" t="s">
        <v>0</v>
      </c>
      <c r="B2" s="324"/>
      <c r="C2" s="324"/>
    </row>
    <row r="3" spans="1:3" x14ac:dyDescent="0.25">
      <c r="A3" s="1"/>
      <c r="B3" s="1"/>
      <c r="C3" s="1"/>
    </row>
    <row r="4" spans="1:3" x14ac:dyDescent="0.25">
      <c r="A4" s="325" t="s">
        <v>1</v>
      </c>
      <c r="B4" s="325"/>
      <c r="C4" s="32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6" t="s">
        <v>3</v>
      </c>
      <c r="C6" s="326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307" customWidth="1"/>
    <col min="2" max="2" width="16.42578125" style="307" customWidth="1"/>
    <col min="3" max="3" width="37.140625" style="307" customWidth="1"/>
    <col min="4" max="4" width="49" style="307" customWidth="1"/>
    <col min="5" max="5" width="9.140625" style="307" customWidth="1"/>
  </cols>
  <sheetData>
    <row r="1" spans="1:4" ht="15.75" customHeight="1" x14ac:dyDescent="0.25">
      <c r="A1" s="316"/>
      <c r="B1" s="316"/>
      <c r="C1" s="316"/>
      <c r="D1" s="316" t="s">
        <v>314</v>
      </c>
    </row>
    <row r="2" spans="1:4" ht="15.75" customHeight="1" x14ac:dyDescent="0.25">
      <c r="A2" s="316"/>
      <c r="B2" s="316"/>
      <c r="C2" s="316"/>
      <c r="D2" s="316"/>
    </row>
    <row r="3" spans="1:4" ht="15.75" customHeight="1" x14ac:dyDescent="0.25">
      <c r="A3" s="316"/>
      <c r="B3" s="317" t="s">
        <v>315</v>
      </c>
      <c r="C3" s="316"/>
      <c r="D3" s="316"/>
    </row>
    <row r="4" spans="1:4" ht="15.75" customHeight="1" x14ac:dyDescent="0.25">
      <c r="A4" s="316"/>
      <c r="B4" s="316"/>
      <c r="C4" s="316"/>
      <c r="D4" s="316"/>
    </row>
    <row r="5" spans="1:4" ht="31.5" customHeight="1" x14ac:dyDescent="0.25">
      <c r="A5" s="379" t="s">
        <v>316</v>
      </c>
      <c r="B5" s="379"/>
      <c r="C5" s="379"/>
      <c r="D5" s="315" t="str">
        <f>'Прил.5 Расчет СМР и ОБ'!D5:J5</f>
        <v>Постоянная часть ПС, ПАК информационной безопасности для защиты ПС 750 кВ</v>
      </c>
    </row>
    <row r="6" spans="1:4" ht="15.75" customHeight="1" x14ac:dyDescent="0.25">
      <c r="A6" s="314" t="s">
        <v>50</v>
      </c>
      <c r="B6" s="314"/>
      <c r="C6" s="314"/>
      <c r="D6" s="314"/>
    </row>
    <row r="7" spans="1:4" ht="15.75" customHeight="1" x14ac:dyDescent="0.25">
      <c r="A7" s="314"/>
      <c r="B7" s="314"/>
      <c r="C7" s="314"/>
      <c r="D7" s="314"/>
    </row>
    <row r="8" spans="1:4" x14ac:dyDescent="0.25">
      <c r="A8" s="336" t="s">
        <v>5</v>
      </c>
      <c r="B8" s="336" t="s">
        <v>6</v>
      </c>
      <c r="C8" s="336" t="s">
        <v>317</v>
      </c>
      <c r="D8" s="336" t="s">
        <v>318</v>
      </c>
    </row>
    <row r="9" spans="1:4" x14ac:dyDescent="0.25">
      <c r="A9" s="336"/>
      <c r="B9" s="336"/>
      <c r="C9" s="336"/>
      <c r="D9" s="336"/>
    </row>
    <row r="10" spans="1:4" ht="15.75" customHeight="1" x14ac:dyDescent="0.25">
      <c r="A10" s="313">
        <v>1</v>
      </c>
      <c r="B10" s="313">
        <v>2</v>
      </c>
      <c r="C10" s="313">
        <v>3</v>
      </c>
      <c r="D10" s="313">
        <v>4</v>
      </c>
    </row>
    <row r="11" spans="1:4" ht="63" customHeight="1" x14ac:dyDescent="0.25">
      <c r="A11" s="313" t="s">
        <v>319</v>
      </c>
      <c r="B11" s="318" t="s">
        <v>320</v>
      </c>
      <c r="C11" s="319" t="str">
        <f>D5</f>
        <v>Постоянная часть ПС, ПАК информационной безопасности для защиты ПС 750 кВ</v>
      </c>
      <c r="D11" s="312">
        <f>'Прил.4 РМ'!C41/1000</f>
        <v>66403.722030000004</v>
      </c>
    </row>
    <row r="13" spans="1:4" x14ac:dyDescent="0.25">
      <c r="A13" s="311" t="s">
        <v>321</v>
      </c>
      <c r="B13" s="309"/>
      <c r="C13" s="309"/>
      <c r="D13" s="308"/>
    </row>
    <row r="14" spans="1:4" x14ac:dyDescent="0.25">
      <c r="A14" s="310" t="s">
        <v>77</v>
      </c>
      <c r="B14" s="309"/>
      <c r="C14" s="309"/>
      <c r="D14" s="308"/>
    </row>
    <row r="15" spans="1:4" x14ac:dyDescent="0.25">
      <c r="A15" s="311"/>
      <c r="B15" s="309"/>
      <c r="C15" s="309"/>
      <c r="D15" s="308"/>
    </row>
    <row r="16" spans="1:4" x14ac:dyDescent="0.25">
      <c r="A16" s="311" t="s">
        <v>78</v>
      </c>
      <c r="B16" s="309"/>
      <c r="C16" s="309"/>
      <c r="D16" s="308"/>
    </row>
    <row r="17" spans="1:4" x14ac:dyDescent="0.25">
      <c r="A17" s="310" t="s">
        <v>79</v>
      </c>
      <c r="B17" s="309"/>
      <c r="C17" s="309"/>
      <c r="D17" s="30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topLeftCell="A16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1" t="s">
        <v>322</v>
      </c>
      <c r="C4" s="331"/>
      <c r="D4" s="331"/>
    </row>
    <row r="5" spans="2:5" ht="18.75" customHeight="1" x14ac:dyDescent="0.25">
      <c r="B5" s="184"/>
    </row>
    <row r="6" spans="2:5" ht="15.75" customHeight="1" x14ac:dyDescent="0.25">
      <c r="B6" s="332" t="s">
        <v>323</v>
      </c>
      <c r="C6" s="332"/>
      <c r="D6" s="332"/>
    </row>
    <row r="7" spans="2:5" x14ac:dyDescent="0.25">
      <c r="B7" s="380"/>
      <c r="C7" s="380"/>
      <c r="D7" s="380"/>
      <c r="E7" s="380"/>
    </row>
    <row r="8" spans="2:5" x14ac:dyDescent="0.25">
      <c r="B8" s="189"/>
      <c r="C8" s="189"/>
      <c r="D8" s="189"/>
      <c r="E8" s="189"/>
    </row>
    <row r="9" spans="2:5" ht="47.25" customHeight="1" x14ac:dyDescent="0.25">
      <c r="B9" s="186" t="s">
        <v>324</v>
      </c>
      <c r="C9" s="186" t="s">
        <v>325</v>
      </c>
      <c r="D9" s="186" t="s">
        <v>326</v>
      </c>
    </row>
    <row r="10" spans="2:5" ht="15.75" customHeight="1" x14ac:dyDescent="0.25">
      <c r="B10" s="186">
        <v>1</v>
      </c>
      <c r="C10" s="186">
        <v>2</v>
      </c>
      <c r="D10" s="186">
        <v>3</v>
      </c>
    </row>
    <row r="11" spans="2:5" ht="45" customHeight="1" x14ac:dyDescent="0.25">
      <c r="B11" s="186" t="s">
        <v>327</v>
      </c>
      <c r="C11" s="186" t="s">
        <v>328</v>
      </c>
      <c r="D11" s="186">
        <v>44.29</v>
      </c>
    </row>
    <row r="12" spans="2:5" ht="29.25" customHeight="1" x14ac:dyDescent="0.25">
      <c r="B12" s="186" t="s">
        <v>329</v>
      </c>
      <c r="C12" s="186" t="s">
        <v>328</v>
      </c>
      <c r="D12" s="186">
        <v>13.47</v>
      </c>
    </row>
    <row r="13" spans="2:5" ht="29.25" customHeight="1" x14ac:dyDescent="0.25">
      <c r="B13" s="186" t="s">
        <v>330</v>
      </c>
      <c r="C13" s="186" t="s">
        <v>328</v>
      </c>
      <c r="D13" s="186">
        <v>8.0399999999999991</v>
      </c>
    </row>
    <row r="14" spans="2:5" ht="30.75" customHeight="1" x14ac:dyDescent="0.25">
      <c r="B14" s="186" t="s">
        <v>331</v>
      </c>
      <c r="C14" s="165" t="s">
        <v>332</v>
      </c>
      <c r="D14" s="186">
        <v>6.26</v>
      </c>
    </row>
    <row r="15" spans="2:5" ht="89.25" customHeight="1" x14ac:dyDescent="0.25">
      <c r="B15" s="186" t="s">
        <v>333</v>
      </c>
      <c r="C15" s="186" t="s">
        <v>334</v>
      </c>
      <c r="D15" s="187">
        <v>3.9E-2</v>
      </c>
    </row>
    <row r="16" spans="2:5" ht="78.75" customHeight="1" x14ac:dyDescent="0.25">
      <c r="B16" s="186" t="s">
        <v>335</v>
      </c>
      <c r="C16" s="186" t="s">
        <v>336</v>
      </c>
      <c r="D16" s="187">
        <v>2.1000000000000001E-2</v>
      </c>
    </row>
    <row r="17" spans="2:4" ht="31.5" customHeight="1" x14ac:dyDescent="0.25">
      <c r="B17" s="186" t="s">
        <v>337</v>
      </c>
      <c r="C17" s="186" t="s">
        <v>338</v>
      </c>
      <c r="D17" s="187">
        <v>2.1399999999999999E-2</v>
      </c>
    </row>
    <row r="18" spans="2:4" ht="31.5" customHeight="1" x14ac:dyDescent="0.25">
      <c r="B18" s="186" t="s">
        <v>264</v>
      </c>
      <c r="C18" s="186" t="s">
        <v>339</v>
      </c>
      <c r="D18" s="187">
        <v>2E-3</v>
      </c>
    </row>
    <row r="19" spans="2:4" ht="24" customHeight="1" x14ac:dyDescent="0.25">
      <c r="B19" s="186" t="s">
        <v>266</v>
      </c>
      <c r="C19" s="186" t="s">
        <v>340</v>
      </c>
      <c r="D19" s="187">
        <v>0.03</v>
      </c>
    </row>
    <row r="20" spans="2:4" ht="18.75" customHeight="1" x14ac:dyDescent="0.25">
      <c r="B20" s="185"/>
    </row>
    <row r="21" spans="2:4" ht="18.75" customHeight="1" x14ac:dyDescent="0.25">
      <c r="B21" s="185"/>
    </row>
    <row r="22" spans="2:4" ht="18.75" customHeight="1" x14ac:dyDescent="0.25">
      <c r="B22" s="185"/>
    </row>
    <row r="23" spans="2:4" ht="18.75" customHeight="1" x14ac:dyDescent="0.25">
      <c r="B23" s="185"/>
    </row>
    <row r="26" spans="2:4" x14ac:dyDescent="0.25">
      <c r="B26" s="4" t="s">
        <v>341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305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"/>
    </sheetView>
  </sheetViews>
  <sheetFormatPr defaultRowHeight="15" x14ac:dyDescent="0.25"/>
  <cols>
    <col min="1" max="1" width="9.140625" style="166" customWidth="1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 customWidth="1"/>
  </cols>
  <sheetData>
    <row r="2" spans="1:7" ht="17.25" customHeight="1" x14ac:dyDescent="0.25">
      <c r="A2" s="332" t="s">
        <v>342</v>
      </c>
      <c r="B2" s="332"/>
      <c r="C2" s="332"/>
      <c r="D2" s="332"/>
      <c r="E2" s="332"/>
      <c r="F2" s="332"/>
    </row>
    <row r="4" spans="1:7" ht="18" customHeight="1" x14ac:dyDescent="0.25">
      <c r="A4" s="167" t="s">
        <v>343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344</v>
      </c>
      <c r="C5" s="169" t="s">
        <v>345</v>
      </c>
      <c r="D5" s="169" t="s">
        <v>346</v>
      </c>
      <c r="E5" s="169" t="s">
        <v>347</v>
      </c>
      <c r="F5" s="169" t="s">
        <v>348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349</v>
      </c>
      <c r="B7" s="171" t="s">
        <v>350</v>
      </c>
      <c r="C7" s="172" t="s">
        <v>351</v>
      </c>
      <c r="D7" s="172" t="s">
        <v>352</v>
      </c>
      <c r="E7" s="173">
        <v>47872.94</v>
      </c>
      <c r="F7" s="171" t="s">
        <v>353</v>
      </c>
      <c r="G7" s="168"/>
    </row>
    <row r="8" spans="1:7" ht="31.5" customHeight="1" x14ac:dyDescent="0.25">
      <c r="A8" s="170" t="s">
        <v>354</v>
      </c>
      <c r="B8" s="171" t="s">
        <v>355</v>
      </c>
      <c r="C8" s="172" t="s">
        <v>356</v>
      </c>
      <c r="D8" s="172" t="s">
        <v>357</v>
      </c>
      <c r="E8" s="173">
        <f>1973/12</f>
        <v>164.41666666667001</v>
      </c>
      <c r="F8" s="174" t="s">
        <v>358</v>
      </c>
      <c r="G8" s="175"/>
    </row>
    <row r="9" spans="1:7" ht="15.75" customHeight="1" x14ac:dyDescent="0.25">
      <c r="A9" s="170" t="s">
        <v>359</v>
      </c>
      <c r="B9" s="171" t="s">
        <v>360</v>
      </c>
      <c r="C9" s="172" t="s">
        <v>361</v>
      </c>
      <c r="D9" s="172" t="s">
        <v>352</v>
      </c>
      <c r="E9" s="173">
        <v>1</v>
      </c>
      <c r="F9" s="174"/>
      <c r="G9" s="176"/>
    </row>
    <row r="10" spans="1:7" ht="15.75" customHeight="1" x14ac:dyDescent="0.25">
      <c r="A10" s="170" t="s">
        <v>362</v>
      </c>
      <c r="B10" s="171" t="s">
        <v>363</v>
      </c>
      <c r="C10" s="172"/>
      <c r="D10" s="172"/>
      <c r="E10" s="177">
        <v>4.2</v>
      </c>
      <c r="F10" s="174" t="s">
        <v>364</v>
      </c>
      <c r="G10" s="176"/>
    </row>
    <row r="11" spans="1:7" ht="78.75" customHeight="1" x14ac:dyDescent="0.25">
      <c r="A11" s="170" t="s">
        <v>365</v>
      </c>
      <c r="B11" s="171" t="s">
        <v>366</v>
      </c>
      <c r="C11" s="172" t="s">
        <v>367</v>
      </c>
      <c r="D11" s="172" t="s">
        <v>352</v>
      </c>
      <c r="E11" s="178">
        <v>1.38</v>
      </c>
      <c r="F11" s="171" t="s">
        <v>368</v>
      </c>
      <c r="G11" s="168"/>
    </row>
    <row r="12" spans="1:7" ht="78.75" customHeight="1" x14ac:dyDescent="0.25">
      <c r="A12" s="170" t="s">
        <v>369</v>
      </c>
      <c r="B12" s="179" t="s">
        <v>370</v>
      </c>
      <c r="C12" s="172" t="s">
        <v>371</v>
      </c>
      <c r="D12" s="172" t="s">
        <v>352</v>
      </c>
      <c r="E12" s="180">
        <v>1.139</v>
      </c>
      <c r="F12" s="181" t="s">
        <v>372</v>
      </c>
      <c r="G12" s="176"/>
    </row>
    <row r="13" spans="1:7" ht="63" customHeight="1" x14ac:dyDescent="0.25">
      <c r="A13" s="170" t="s">
        <v>373</v>
      </c>
      <c r="B13" s="182" t="s">
        <v>374</v>
      </c>
      <c r="C13" s="172" t="s">
        <v>375</v>
      </c>
      <c r="D13" s="172" t="s">
        <v>376</v>
      </c>
      <c r="E13" s="183">
        <f>((E7*E9/E8)*E11)*E12</f>
        <v>457.66433583861999</v>
      </c>
      <c r="F13" s="171" t="s">
        <v>377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81" t="s">
        <v>378</v>
      </c>
      <c r="B1" s="381"/>
      <c r="C1" s="381"/>
      <c r="D1" s="381"/>
      <c r="E1" s="381"/>
      <c r="F1" s="381"/>
      <c r="G1" s="381"/>
      <c r="H1" s="381"/>
      <c r="I1" s="381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7" t="e">
        <f>#REF!</f>
        <v>#REF!</v>
      </c>
      <c r="B3" s="327"/>
      <c r="C3" s="327"/>
      <c r="D3" s="327"/>
      <c r="E3" s="327"/>
      <c r="F3" s="327"/>
      <c r="G3" s="327"/>
      <c r="H3" s="327"/>
      <c r="I3" s="327"/>
    </row>
    <row r="4" spans="1:13" s="4" customFormat="1" ht="15.75" customHeight="1" x14ac:dyDescent="0.2">
      <c r="A4" s="382"/>
      <c r="B4" s="382"/>
      <c r="C4" s="382"/>
      <c r="D4" s="382"/>
      <c r="E4" s="382"/>
      <c r="F4" s="382"/>
      <c r="G4" s="382"/>
      <c r="H4" s="382"/>
      <c r="I4" s="382"/>
    </row>
    <row r="5" spans="1:13" s="32" customFormat="1" ht="36.6" customHeight="1" x14ac:dyDescent="0.35">
      <c r="A5" s="383" t="s">
        <v>13</v>
      </c>
      <c r="B5" s="383" t="s">
        <v>379</v>
      </c>
      <c r="C5" s="383" t="s">
        <v>380</v>
      </c>
      <c r="D5" s="383" t="s">
        <v>381</v>
      </c>
      <c r="E5" s="378" t="s">
        <v>382</v>
      </c>
      <c r="F5" s="378"/>
      <c r="G5" s="378"/>
      <c r="H5" s="378"/>
      <c r="I5" s="378"/>
    </row>
    <row r="6" spans="1:13" s="26" customFormat="1" ht="31.5" customHeight="1" x14ac:dyDescent="0.2">
      <c r="A6" s="383"/>
      <c r="B6" s="383"/>
      <c r="C6" s="383"/>
      <c r="D6" s="383"/>
      <c r="E6" s="33" t="s">
        <v>87</v>
      </c>
      <c r="F6" s="33" t="s">
        <v>88</v>
      </c>
      <c r="G6" s="33" t="s">
        <v>43</v>
      </c>
      <c r="H6" s="33" t="s">
        <v>383</v>
      </c>
      <c r="I6" s="33" t="s">
        <v>384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254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385</v>
      </c>
      <c r="C9" s="9" t="s">
        <v>386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387</v>
      </c>
      <c r="C11" s="9" t="s">
        <v>335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388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389</v>
      </c>
      <c r="C12" s="9" t="s">
        <v>390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391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338</v>
      </c>
      <c r="C14" s="9" t="s">
        <v>392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393</v>
      </c>
      <c r="C16" s="9" t="s">
        <v>394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395</v>
      </c>
    </row>
    <row r="17" spans="1:10" s="26" customFormat="1" ht="81.75" customHeight="1" x14ac:dyDescent="0.2">
      <c r="A17" s="34">
        <v>7</v>
      </c>
      <c r="B17" s="9" t="s">
        <v>393</v>
      </c>
      <c r="C17" s="147" t="s">
        <v>396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397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398</v>
      </c>
      <c r="C20" s="9" t="s">
        <v>266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399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400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401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402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403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8" t="s">
        <v>404</v>
      </c>
      <c r="O2" s="388"/>
    </row>
    <row r="3" spans="1:16" x14ac:dyDescent="0.25">
      <c r="A3" s="389" t="s">
        <v>405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</row>
    <row r="5" spans="1:16" s="50" customFormat="1" ht="37.5" customHeight="1" x14ac:dyDescent="0.25">
      <c r="A5" s="390" t="s">
        <v>406</v>
      </c>
      <c r="B5" s="393" t="s">
        <v>407</v>
      </c>
      <c r="C5" s="396" t="s">
        <v>408</v>
      </c>
      <c r="D5" s="399" t="s">
        <v>409</v>
      </c>
      <c r="E5" s="400"/>
      <c r="F5" s="400"/>
      <c r="G5" s="400"/>
      <c r="H5" s="400"/>
      <c r="I5" s="399" t="s">
        <v>410</v>
      </c>
      <c r="J5" s="400"/>
      <c r="K5" s="400"/>
      <c r="L5" s="400"/>
      <c r="M5" s="400"/>
      <c r="N5" s="400"/>
      <c r="O5" s="53" t="s">
        <v>411</v>
      </c>
    </row>
    <row r="6" spans="1:16" s="56" customFormat="1" ht="150" customHeight="1" x14ac:dyDescent="0.25">
      <c r="A6" s="391"/>
      <c r="B6" s="394"/>
      <c r="C6" s="397"/>
      <c r="D6" s="396" t="s">
        <v>412</v>
      </c>
      <c r="E6" s="401" t="s">
        <v>413</v>
      </c>
      <c r="F6" s="402"/>
      <c r="G6" s="403"/>
      <c r="H6" s="54" t="s">
        <v>414</v>
      </c>
      <c r="I6" s="404" t="s">
        <v>415</v>
      </c>
      <c r="J6" s="404" t="s">
        <v>412</v>
      </c>
      <c r="K6" s="405" t="s">
        <v>413</v>
      </c>
      <c r="L6" s="405"/>
      <c r="M6" s="405"/>
      <c r="N6" s="54" t="s">
        <v>414</v>
      </c>
      <c r="O6" s="55" t="s">
        <v>416</v>
      </c>
    </row>
    <row r="7" spans="1:16" s="56" customFormat="1" ht="30.75" customHeight="1" x14ac:dyDescent="0.25">
      <c r="A7" s="392"/>
      <c r="B7" s="395"/>
      <c r="C7" s="398"/>
      <c r="D7" s="398"/>
      <c r="E7" s="53" t="s">
        <v>87</v>
      </c>
      <c r="F7" s="53" t="s">
        <v>88</v>
      </c>
      <c r="G7" s="53" t="s">
        <v>43</v>
      </c>
      <c r="H7" s="57" t="s">
        <v>417</v>
      </c>
      <c r="I7" s="404"/>
      <c r="J7" s="404"/>
      <c r="K7" s="53" t="s">
        <v>87</v>
      </c>
      <c r="L7" s="53" t="s">
        <v>88</v>
      </c>
      <c r="M7" s="53" t="s">
        <v>43</v>
      </c>
      <c r="N7" s="57" t="s">
        <v>417</v>
      </c>
      <c r="O7" s="53" t="s">
        <v>418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90" t="s">
        <v>419</v>
      </c>
      <c r="C9" s="59" t="s">
        <v>420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2"/>
      <c r="C10" s="63" t="s">
        <v>421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90" t="s">
        <v>422</v>
      </c>
      <c r="C11" s="63" t="s">
        <v>423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2"/>
      <c r="C12" s="63" t="s">
        <v>424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90" t="s">
        <v>425</v>
      </c>
      <c r="C13" s="59" t="s">
        <v>426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2"/>
      <c r="C14" s="63" t="s">
        <v>427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428</v>
      </c>
      <c r="C15" s="63" t="s">
        <v>429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430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431</v>
      </c>
    </row>
    <row r="19" spans="1:15" ht="30.75" customHeight="1" x14ac:dyDescent="0.25">
      <c r="L19" s="75"/>
    </row>
    <row r="20" spans="1:15" ht="15" customHeight="1" outlineLevel="1" x14ac:dyDescent="0.25">
      <c r="G20" s="387" t="s">
        <v>432</v>
      </c>
      <c r="H20" s="387"/>
      <c r="I20" s="387"/>
      <c r="J20" s="387"/>
      <c r="K20" s="387"/>
      <c r="L20" s="387"/>
      <c r="M20" s="387"/>
      <c r="N20" s="387"/>
      <c r="O20" s="52"/>
    </row>
    <row r="21" spans="1:15" ht="15.75" customHeight="1" outlineLevel="1" x14ac:dyDescent="0.25">
      <c r="G21" s="76"/>
      <c r="H21" s="76" t="s">
        <v>433</v>
      </c>
      <c r="I21" s="76" t="s">
        <v>434</v>
      </c>
      <c r="J21" s="77" t="s">
        <v>435</v>
      </c>
      <c r="K21" s="78" t="s">
        <v>436</v>
      </c>
      <c r="L21" s="76" t="s">
        <v>437</v>
      </c>
      <c r="M21" s="76" t="s">
        <v>438</v>
      </c>
      <c r="N21" s="77" t="s">
        <v>439</v>
      </c>
      <c r="O21" s="79"/>
    </row>
    <row r="22" spans="1:15" ht="15.75" customHeight="1" outlineLevel="1" x14ac:dyDescent="0.25">
      <c r="G22" s="385" t="s">
        <v>440</v>
      </c>
      <c r="H22" s="384">
        <v>6.09</v>
      </c>
      <c r="I22" s="386">
        <v>6.44</v>
      </c>
      <c r="J22" s="384">
        <v>5.77</v>
      </c>
      <c r="K22" s="386">
        <v>5.77</v>
      </c>
      <c r="L22" s="384">
        <v>5.23</v>
      </c>
      <c r="M22" s="384">
        <v>5.77</v>
      </c>
      <c r="N22" s="80">
        <v>6.29</v>
      </c>
      <c r="O22" s="51" t="s">
        <v>441</v>
      </c>
    </row>
    <row r="23" spans="1:15" ht="15.75" customHeight="1" outlineLevel="1" x14ac:dyDescent="0.25">
      <c r="G23" s="385"/>
      <c r="H23" s="384"/>
      <c r="I23" s="386"/>
      <c r="J23" s="384"/>
      <c r="K23" s="386"/>
      <c r="L23" s="384"/>
      <c r="M23" s="384"/>
      <c r="N23" s="80">
        <v>6.56</v>
      </c>
      <c r="O23" s="51" t="s">
        <v>442</v>
      </c>
    </row>
    <row r="24" spans="1:15" ht="15.75" customHeight="1" outlineLevel="1" x14ac:dyDescent="0.25">
      <c r="G24" s="81" t="s">
        <v>443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417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444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445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383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6" t="s">
        <v>446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</row>
    <row r="4" spans="1:18" ht="36.75" customHeight="1" x14ac:dyDescent="0.25">
      <c r="A4" s="390" t="s">
        <v>406</v>
      </c>
      <c r="B4" s="393" t="s">
        <v>407</v>
      </c>
      <c r="C4" s="396" t="s">
        <v>447</v>
      </c>
      <c r="D4" s="396" t="s">
        <v>448</v>
      </c>
      <c r="E4" s="399" t="s">
        <v>449</v>
      </c>
      <c r="F4" s="400"/>
      <c r="G4" s="400"/>
      <c r="H4" s="400"/>
      <c r="I4" s="400"/>
      <c r="J4" s="400"/>
      <c r="K4" s="400"/>
      <c r="L4" s="400"/>
      <c r="M4" s="400"/>
      <c r="N4" s="407" t="s">
        <v>450</v>
      </c>
      <c r="O4" s="408"/>
      <c r="P4" s="408"/>
      <c r="Q4" s="408"/>
      <c r="R4" s="409"/>
    </row>
    <row r="5" spans="1:18" ht="60" customHeight="1" x14ac:dyDescent="0.25">
      <c r="A5" s="391"/>
      <c r="B5" s="394"/>
      <c r="C5" s="397"/>
      <c r="D5" s="397"/>
      <c r="E5" s="404" t="s">
        <v>451</v>
      </c>
      <c r="F5" s="404" t="s">
        <v>452</v>
      </c>
      <c r="G5" s="401" t="s">
        <v>413</v>
      </c>
      <c r="H5" s="402"/>
      <c r="I5" s="402"/>
      <c r="J5" s="403"/>
      <c r="K5" s="404" t="s">
        <v>453</v>
      </c>
      <c r="L5" s="404"/>
      <c r="M5" s="404"/>
      <c r="N5" s="89" t="s">
        <v>454</v>
      </c>
      <c r="O5" s="89" t="s">
        <v>455</v>
      </c>
      <c r="P5" s="90" t="s">
        <v>456</v>
      </c>
      <c r="Q5" s="91" t="s">
        <v>457</v>
      </c>
      <c r="R5" s="90" t="s">
        <v>458</v>
      </c>
    </row>
    <row r="6" spans="1:18" ht="49.5" customHeight="1" x14ac:dyDescent="0.25">
      <c r="A6" s="392"/>
      <c r="B6" s="395"/>
      <c r="C6" s="398"/>
      <c r="D6" s="398"/>
      <c r="E6" s="404"/>
      <c r="F6" s="404"/>
      <c r="G6" s="53" t="s">
        <v>87</v>
      </c>
      <c r="H6" s="53" t="s">
        <v>88</v>
      </c>
      <c r="I6" s="92" t="s">
        <v>43</v>
      </c>
      <c r="J6" s="92" t="s">
        <v>383</v>
      </c>
      <c r="K6" s="53" t="s">
        <v>454</v>
      </c>
      <c r="L6" s="53" t="s">
        <v>455</v>
      </c>
      <c r="M6" s="53" t="s">
        <v>456</v>
      </c>
      <c r="N6" s="92" t="s">
        <v>459</v>
      </c>
      <c r="O6" s="92" t="s">
        <v>460</v>
      </c>
      <c r="P6" s="92" t="s">
        <v>461</v>
      </c>
      <c r="Q6" s="93" t="s">
        <v>462</v>
      </c>
      <c r="R6" s="94" t="s">
        <v>463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90">
        <v>1</v>
      </c>
      <c r="B9" s="390" t="s">
        <v>464</v>
      </c>
      <c r="C9" s="410" t="s">
        <v>420</v>
      </c>
      <c r="D9" s="99" t="s">
        <v>465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92"/>
      <c r="B10" s="391"/>
      <c r="C10" s="411"/>
      <c r="D10" s="99" t="s">
        <v>466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90">
        <v>2</v>
      </c>
      <c r="B11" s="391"/>
      <c r="C11" s="410" t="s">
        <v>467</v>
      </c>
      <c r="D11" s="104" t="s">
        <v>465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2"/>
      <c r="B12" s="392"/>
      <c r="C12" s="411"/>
      <c r="D12" s="104" t="s">
        <v>466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90">
        <v>3</v>
      </c>
      <c r="B13" s="390" t="s">
        <v>422</v>
      </c>
      <c r="C13" s="412" t="s">
        <v>423</v>
      </c>
      <c r="D13" s="99" t="s">
        <v>468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92"/>
      <c r="B14" s="391"/>
      <c r="C14" s="413"/>
      <c r="D14" s="99" t="s">
        <v>466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90">
        <v>4</v>
      </c>
      <c r="B15" s="391"/>
      <c r="C15" s="414" t="s">
        <v>424</v>
      </c>
      <c r="D15" s="105" t="s">
        <v>468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2"/>
      <c r="B16" s="392"/>
      <c r="C16" s="415"/>
      <c r="D16" s="105" t="s">
        <v>466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90">
        <v>5</v>
      </c>
      <c r="B17" s="405" t="s">
        <v>425</v>
      </c>
      <c r="C17" s="410" t="s">
        <v>469</v>
      </c>
      <c r="D17" s="99" t="s">
        <v>470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2"/>
      <c r="B18" s="405"/>
      <c r="C18" s="411"/>
      <c r="D18" s="99" t="s">
        <v>466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90">
        <v>6</v>
      </c>
      <c r="B19" s="405"/>
      <c r="C19" s="410" t="s">
        <v>427</v>
      </c>
      <c r="D19" s="105" t="s">
        <v>468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2"/>
      <c r="B20" s="405"/>
      <c r="C20" s="411"/>
      <c r="D20" s="105" t="s">
        <v>466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90">
        <v>7</v>
      </c>
      <c r="B21" s="390" t="s">
        <v>428</v>
      </c>
      <c r="C21" s="410" t="s">
        <v>429</v>
      </c>
      <c r="D21" s="105" t="s">
        <v>471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2"/>
      <c r="B22" s="392"/>
      <c r="C22" s="411"/>
      <c r="D22" s="106" t="s">
        <v>466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472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6" t="s">
        <v>473</v>
      </c>
      <c r="E26" s="416"/>
      <c r="F26" s="416"/>
      <c r="G26" s="416"/>
      <c r="H26" s="416"/>
      <c r="I26" s="416"/>
      <c r="J26" s="416"/>
      <c r="K26" s="416"/>
      <c r="L26" s="121"/>
      <c r="R26" s="122"/>
    </row>
    <row r="27" spans="1:18" outlineLevel="1" x14ac:dyDescent="0.25">
      <c r="D27" s="123"/>
      <c r="E27" s="123" t="s">
        <v>433</v>
      </c>
      <c r="F27" s="123" t="s">
        <v>434</v>
      </c>
      <c r="G27" s="123" t="s">
        <v>435</v>
      </c>
      <c r="H27" s="124" t="s">
        <v>436</v>
      </c>
      <c r="I27" s="124" t="s">
        <v>437</v>
      </c>
      <c r="J27" s="124" t="s">
        <v>438</v>
      </c>
      <c r="K27" s="111" t="s">
        <v>439</v>
      </c>
      <c r="L27" s="52"/>
    </row>
    <row r="28" spans="1:18" outlineLevel="1" x14ac:dyDescent="0.25">
      <c r="D28" s="417" t="s">
        <v>440</v>
      </c>
      <c r="E28" s="419">
        <v>6.09</v>
      </c>
      <c r="F28" s="421">
        <v>6.63</v>
      </c>
      <c r="G28" s="419">
        <v>5.77</v>
      </c>
      <c r="H28" s="423">
        <v>5.77</v>
      </c>
      <c r="I28" s="423">
        <v>6.35</v>
      </c>
      <c r="J28" s="419">
        <v>5.77</v>
      </c>
      <c r="K28" s="125">
        <v>6.29</v>
      </c>
      <c r="L28" s="87" t="s">
        <v>441</v>
      </c>
      <c r="M28" s="52"/>
    </row>
    <row r="29" spans="1:18" outlineLevel="1" x14ac:dyDescent="0.25">
      <c r="D29" s="418"/>
      <c r="E29" s="420"/>
      <c r="F29" s="422"/>
      <c r="G29" s="420"/>
      <c r="H29" s="424"/>
      <c r="I29" s="424"/>
      <c r="J29" s="420"/>
      <c r="K29" s="125">
        <v>6.56</v>
      </c>
      <c r="L29" s="87" t="s">
        <v>442</v>
      </c>
      <c r="M29" s="52"/>
    </row>
    <row r="30" spans="1:18" outlineLevel="1" x14ac:dyDescent="0.25">
      <c r="D30" s="126" t="s">
        <v>443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7" t="s">
        <v>417</v>
      </c>
      <c r="E31" s="419">
        <v>11.37</v>
      </c>
      <c r="F31" s="421">
        <v>13.56</v>
      </c>
      <c r="G31" s="419">
        <v>15.91</v>
      </c>
      <c r="H31" s="423">
        <v>15.91</v>
      </c>
      <c r="I31" s="423">
        <v>14.03</v>
      </c>
      <c r="J31" s="419">
        <v>15.91</v>
      </c>
      <c r="K31" s="125">
        <v>8.2899999999999991</v>
      </c>
      <c r="L31" s="87" t="s">
        <v>441</v>
      </c>
      <c r="R31" s="116"/>
    </row>
    <row r="32" spans="1:18" s="87" customFormat="1" outlineLevel="1" x14ac:dyDescent="0.25">
      <c r="D32" s="418"/>
      <c r="E32" s="420"/>
      <c r="F32" s="422"/>
      <c r="G32" s="420"/>
      <c r="H32" s="424"/>
      <c r="I32" s="424"/>
      <c r="J32" s="420"/>
      <c r="K32" s="125">
        <v>11.84</v>
      </c>
      <c r="L32" s="87" t="s">
        <v>442</v>
      </c>
      <c r="R32" s="116"/>
    </row>
    <row r="33" spans="4:18" s="87" customFormat="1" ht="15" customHeight="1" outlineLevel="1" x14ac:dyDescent="0.25">
      <c r="D33" s="129" t="s">
        <v>444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474</v>
      </c>
      <c r="R33" s="116"/>
    </row>
    <row r="34" spans="4:18" s="87" customFormat="1" outlineLevel="1" x14ac:dyDescent="0.25">
      <c r="D34" s="129" t="s">
        <v>445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474</v>
      </c>
      <c r="R34" s="116"/>
    </row>
    <row r="35" spans="4:18" s="87" customFormat="1" outlineLevel="1" x14ac:dyDescent="0.25">
      <c r="D35" s="126" t="s">
        <v>383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4" t="s">
        <v>10</v>
      </c>
      <c r="B2" s="324"/>
      <c r="C2" s="324"/>
      <c r="D2" s="324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7"/>
    </row>
    <row r="5" spans="1:4" x14ac:dyDescent="0.25">
      <c r="A5" s="6"/>
      <c r="B5" s="1"/>
      <c r="C5" s="1"/>
    </row>
    <row r="6" spans="1:4" x14ac:dyDescent="0.25">
      <c r="A6" s="324" t="s">
        <v>12</v>
      </c>
      <c r="B6" s="324"/>
      <c r="C6" s="324"/>
      <c r="D6" s="324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8" t="s">
        <v>5</v>
      </c>
      <c r="B15" s="329" t="s">
        <v>15</v>
      </c>
      <c r="C15" s="329"/>
      <c r="D15" s="329"/>
    </row>
    <row r="16" spans="1:4" x14ac:dyDescent="0.25">
      <c r="A16" s="328"/>
      <c r="B16" s="328" t="s">
        <v>17</v>
      </c>
      <c r="C16" s="329" t="s">
        <v>28</v>
      </c>
      <c r="D16" s="329"/>
    </row>
    <row r="17" spans="1:4" ht="39" customHeight="1" x14ac:dyDescent="0.25">
      <c r="A17" s="328"/>
      <c r="B17" s="328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0" t="s">
        <v>29</v>
      </c>
      <c r="B2" s="330"/>
      <c r="C2" s="330"/>
      <c r="D2" s="330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85" zoomScaleNormal="70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91"/>
    <col min="3" max="3" width="51.7109375" style="191" customWidth="1"/>
    <col min="4" max="4" width="51.42578125" style="191" customWidth="1"/>
    <col min="5" max="5" width="37.42578125" style="191" customWidth="1"/>
    <col min="6" max="6" width="9.140625" style="191"/>
  </cols>
  <sheetData>
    <row r="3" spans="2:5" x14ac:dyDescent="0.25">
      <c r="B3" s="331" t="s">
        <v>45</v>
      </c>
      <c r="C3" s="331"/>
      <c r="D3" s="331"/>
    </row>
    <row r="4" spans="2:5" x14ac:dyDescent="0.25">
      <c r="B4" s="332" t="s">
        <v>46</v>
      </c>
      <c r="C4" s="332"/>
      <c r="D4" s="332"/>
    </row>
    <row r="5" spans="2:5" ht="84" customHeight="1" x14ac:dyDescent="0.25">
      <c r="B5" s="334" t="s">
        <v>47</v>
      </c>
      <c r="C5" s="334"/>
      <c r="D5" s="334"/>
    </row>
    <row r="6" spans="2:5" ht="18.75" customHeight="1" x14ac:dyDescent="0.25">
      <c r="B6" s="223"/>
      <c r="C6" s="223"/>
      <c r="D6" s="223"/>
    </row>
    <row r="7" spans="2:5" ht="64.5" customHeight="1" x14ac:dyDescent="0.25">
      <c r="B7" s="333" t="s">
        <v>48</v>
      </c>
      <c r="C7" s="333"/>
      <c r="D7" s="333"/>
    </row>
    <row r="8" spans="2:5" ht="31.5" customHeight="1" x14ac:dyDescent="0.25">
      <c r="B8" s="333" t="s">
        <v>49</v>
      </c>
      <c r="C8" s="333"/>
      <c r="D8" s="333"/>
    </row>
    <row r="9" spans="2:5" ht="15.75" customHeight="1" x14ac:dyDescent="0.25">
      <c r="B9" s="333" t="s">
        <v>50</v>
      </c>
      <c r="C9" s="333"/>
      <c r="D9" s="333"/>
    </row>
    <row r="10" spans="2:5" x14ac:dyDescent="0.25">
      <c r="B10" s="190"/>
    </row>
    <row r="11" spans="2:5" x14ac:dyDescent="0.25">
      <c r="B11" s="186" t="s">
        <v>33</v>
      </c>
      <c r="C11" s="186" t="s">
        <v>51</v>
      </c>
      <c r="D11" s="186" t="s">
        <v>52</v>
      </c>
      <c r="E11" s="200"/>
    </row>
    <row r="12" spans="2:5" ht="96.75" customHeight="1" x14ac:dyDescent="0.25">
      <c r="B12" s="186">
        <v>1</v>
      </c>
      <c r="C12" s="195" t="s">
        <v>53</v>
      </c>
      <c r="D12" s="305" t="s">
        <v>54</v>
      </c>
    </row>
    <row r="13" spans="2:5" x14ac:dyDescent="0.25">
      <c r="B13" s="186">
        <v>2</v>
      </c>
      <c r="C13" s="195" t="s">
        <v>55</v>
      </c>
      <c r="D13" s="305" t="s">
        <v>56</v>
      </c>
    </row>
    <row r="14" spans="2:5" x14ac:dyDescent="0.25">
      <c r="B14" s="186">
        <v>3</v>
      </c>
      <c r="C14" s="195" t="s">
        <v>57</v>
      </c>
      <c r="D14" s="305" t="s">
        <v>58</v>
      </c>
    </row>
    <row r="15" spans="2:5" x14ac:dyDescent="0.25">
      <c r="B15" s="186">
        <v>4</v>
      </c>
      <c r="C15" s="195" t="s">
        <v>59</v>
      </c>
      <c r="D15" s="305">
        <v>1</v>
      </c>
    </row>
    <row r="16" spans="2:5" ht="116.25" customHeight="1" x14ac:dyDescent="0.25">
      <c r="B16" s="186">
        <v>5</v>
      </c>
      <c r="C16" s="165" t="s">
        <v>60</v>
      </c>
      <c r="D16" s="305" t="s">
        <v>61</v>
      </c>
    </row>
    <row r="17" spans="2:5" ht="79.5" customHeight="1" x14ac:dyDescent="0.25">
      <c r="B17" s="186">
        <v>6</v>
      </c>
      <c r="C17" s="165" t="s">
        <v>62</v>
      </c>
      <c r="D17" s="209">
        <f>D18+D19</f>
        <v>47139.661722899997</v>
      </c>
      <c r="E17" s="222"/>
    </row>
    <row r="18" spans="2:5" x14ac:dyDescent="0.25">
      <c r="B18" s="199" t="s">
        <v>63</v>
      </c>
      <c r="C18" s="195" t="s">
        <v>64</v>
      </c>
      <c r="D18" s="209">
        <f>'Прил.2 Расч стоим'!F12</f>
        <v>1332.8624064000001</v>
      </c>
    </row>
    <row r="19" spans="2:5" ht="15.75" customHeight="1" x14ac:dyDescent="0.25">
      <c r="B19" s="199" t="s">
        <v>65</v>
      </c>
      <c r="C19" s="195" t="s">
        <v>66</v>
      </c>
      <c r="D19" s="209">
        <f>'Прил.2 Расч стоим'!H12</f>
        <v>45806.799316500001</v>
      </c>
    </row>
    <row r="20" spans="2:5" ht="16.5" customHeight="1" x14ac:dyDescent="0.25">
      <c r="B20" s="199" t="s">
        <v>67</v>
      </c>
      <c r="C20" s="195" t="s">
        <v>68</v>
      </c>
      <c r="D20" s="209"/>
    </row>
    <row r="21" spans="2:5" ht="35.25" customHeight="1" x14ac:dyDescent="0.25">
      <c r="B21" s="199" t="s">
        <v>69</v>
      </c>
      <c r="C21" s="198" t="s">
        <v>70</v>
      </c>
      <c r="D21" s="209"/>
    </row>
    <row r="22" spans="2:5" x14ac:dyDescent="0.25">
      <c r="B22" s="186">
        <v>7</v>
      </c>
      <c r="C22" s="198" t="s">
        <v>71</v>
      </c>
      <c r="D22" s="241" t="s">
        <v>72</v>
      </c>
      <c r="E22" s="196"/>
    </row>
    <row r="23" spans="2:5" ht="123" customHeight="1" x14ac:dyDescent="0.25">
      <c r="B23" s="186">
        <v>8</v>
      </c>
      <c r="C23" s="197" t="s">
        <v>73</v>
      </c>
      <c r="D23" s="209">
        <f>D17</f>
        <v>47139.661722899997</v>
      </c>
      <c r="E23" s="222"/>
    </row>
    <row r="24" spans="2:5" ht="60.75" customHeight="1" x14ac:dyDescent="0.25">
      <c r="B24" s="186">
        <v>9</v>
      </c>
      <c r="C24" s="165" t="s">
        <v>74</v>
      </c>
      <c r="D24" s="209">
        <f>D23/D15</f>
        <v>47139.661722899997</v>
      </c>
      <c r="E24" s="196"/>
    </row>
    <row r="25" spans="2:5" ht="48" customHeight="1" x14ac:dyDescent="0.25">
      <c r="B25" s="186">
        <v>10</v>
      </c>
      <c r="C25" s="195" t="s">
        <v>75</v>
      </c>
      <c r="D25" s="186"/>
    </row>
    <row r="26" spans="2:5" x14ac:dyDescent="0.25">
      <c r="B26" s="194"/>
      <c r="C26" s="193"/>
      <c r="D26" s="193"/>
    </row>
    <row r="27" spans="2:5" ht="37.5" customHeight="1" x14ac:dyDescent="0.25">
      <c r="B27" s="192"/>
    </row>
    <row r="28" spans="2:5" x14ac:dyDescent="0.25">
      <c r="B28" s="191" t="s">
        <v>76</v>
      </c>
    </row>
    <row r="29" spans="2:5" x14ac:dyDescent="0.25">
      <c r="B29" s="192" t="s">
        <v>77</v>
      </c>
    </row>
    <row r="31" spans="2:5" x14ac:dyDescent="0.25">
      <c r="B31" s="191" t="s">
        <v>78</v>
      </c>
    </row>
    <row r="32" spans="2:5" x14ac:dyDescent="0.25">
      <c r="B32" s="19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19" sqref="G19"/>
    </sheetView>
  </sheetViews>
  <sheetFormatPr defaultColWidth="9.140625" defaultRowHeight="15.75" x14ac:dyDescent="0.25"/>
  <cols>
    <col min="1" max="1" width="5.5703125" style="191" customWidth="1"/>
    <col min="2" max="2" width="9.140625" style="191"/>
    <col min="3" max="3" width="35.28515625" style="191" customWidth="1"/>
    <col min="4" max="4" width="13.85546875" style="191" customWidth="1"/>
    <col min="5" max="5" width="24.85546875" style="191" customWidth="1"/>
    <col min="6" max="6" width="15.5703125" style="191" customWidth="1"/>
    <col min="7" max="7" width="14.85546875" style="191" customWidth="1"/>
    <col min="8" max="8" width="16.7109375" style="191" customWidth="1"/>
    <col min="9" max="10" width="13" style="191" customWidth="1"/>
    <col min="11" max="11" width="18" style="191" customWidth="1"/>
    <col min="12" max="12" width="9.140625" style="191"/>
  </cols>
  <sheetData>
    <row r="3" spans="2:11" x14ac:dyDescent="0.25">
      <c r="B3" s="331" t="s">
        <v>80</v>
      </c>
      <c r="C3" s="331"/>
      <c r="D3" s="331"/>
      <c r="E3" s="331"/>
      <c r="F3" s="331"/>
      <c r="G3" s="331"/>
      <c r="H3" s="331"/>
      <c r="I3" s="331"/>
      <c r="J3" s="331"/>
      <c r="K3" s="192"/>
    </row>
    <row r="4" spans="2:11" x14ac:dyDescent="0.25">
      <c r="B4" s="332" t="s">
        <v>81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2:11" x14ac:dyDescent="0.25">
      <c r="B5" s="201"/>
      <c r="C5" s="201"/>
      <c r="D5" s="201"/>
      <c r="E5" s="201"/>
      <c r="F5" s="201"/>
      <c r="G5" s="201"/>
      <c r="H5" s="201"/>
      <c r="I5" s="201"/>
      <c r="J5" s="201"/>
      <c r="K5" s="201"/>
    </row>
    <row r="6" spans="2:11" ht="42" customHeight="1" x14ac:dyDescent="0.25">
      <c r="B6" s="337" t="s">
        <v>48</v>
      </c>
      <c r="C6" s="337"/>
      <c r="D6" s="337"/>
      <c r="E6" s="337"/>
      <c r="F6" s="337"/>
      <c r="G6" s="337"/>
      <c r="H6" s="337"/>
      <c r="I6" s="337"/>
      <c r="J6" s="337"/>
      <c r="K6" s="243"/>
    </row>
    <row r="7" spans="2:11" ht="15.75" customHeight="1" x14ac:dyDescent="0.25">
      <c r="B7" s="338" t="s">
        <v>50</v>
      </c>
      <c r="C7" s="338"/>
      <c r="D7" s="338"/>
      <c r="E7" s="338"/>
      <c r="F7" s="338"/>
      <c r="G7" s="338"/>
      <c r="H7" s="338"/>
      <c r="I7" s="338"/>
      <c r="J7" s="338"/>
      <c r="K7" s="243"/>
    </row>
    <row r="8" spans="2:11" ht="18.75" customHeight="1" x14ac:dyDescent="0.25">
      <c r="B8" s="224"/>
    </row>
    <row r="9" spans="2:11" ht="15.75" customHeight="1" x14ac:dyDescent="0.25">
      <c r="B9" s="336" t="s">
        <v>33</v>
      </c>
      <c r="C9" s="336" t="s">
        <v>82</v>
      </c>
      <c r="D9" s="336" t="s">
        <v>83</v>
      </c>
      <c r="E9" s="336"/>
      <c r="F9" s="336"/>
      <c r="G9" s="336"/>
      <c r="H9" s="336"/>
      <c r="I9" s="336"/>
      <c r="J9" s="336"/>
    </row>
    <row r="10" spans="2:11" ht="15.75" customHeight="1" x14ac:dyDescent="0.25">
      <c r="B10" s="336"/>
      <c r="C10" s="336"/>
      <c r="D10" s="336" t="s">
        <v>84</v>
      </c>
      <c r="E10" s="336" t="s">
        <v>85</v>
      </c>
      <c r="F10" s="336" t="s">
        <v>86</v>
      </c>
      <c r="G10" s="336"/>
      <c r="H10" s="336"/>
      <c r="I10" s="336"/>
      <c r="J10" s="336"/>
    </row>
    <row r="11" spans="2:11" ht="92.25" customHeight="1" x14ac:dyDescent="0.25">
      <c r="B11" s="336"/>
      <c r="C11" s="336"/>
      <c r="D11" s="336"/>
      <c r="E11" s="336"/>
      <c r="F11" s="225" t="s">
        <v>87</v>
      </c>
      <c r="G11" s="225" t="s">
        <v>88</v>
      </c>
      <c r="H11" s="225" t="s">
        <v>43</v>
      </c>
      <c r="I11" s="225" t="s">
        <v>89</v>
      </c>
      <c r="J11" s="225" t="s">
        <v>90</v>
      </c>
    </row>
    <row r="12" spans="2:11" ht="91.5" customHeight="1" x14ac:dyDescent="0.25">
      <c r="B12" s="301">
        <v>1</v>
      </c>
      <c r="C12" s="249" t="s">
        <v>91</v>
      </c>
      <c r="D12" s="199"/>
      <c r="E12" s="186"/>
      <c r="F12" s="339">
        <v>1332.8624064000001</v>
      </c>
      <c r="G12" s="340"/>
      <c r="H12" s="302">
        <v>45806.799316500001</v>
      </c>
      <c r="I12" s="303"/>
      <c r="J12" s="304">
        <v>47139.661722899997</v>
      </c>
    </row>
    <row r="13" spans="2:11" ht="15.75" customHeight="1" x14ac:dyDescent="0.25">
      <c r="B13" s="335" t="s">
        <v>92</v>
      </c>
      <c r="C13" s="335"/>
      <c r="D13" s="335"/>
      <c r="E13" s="335"/>
      <c r="F13" s="226"/>
      <c r="G13" s="226"/>
      <c r="H13" s="226"/>
      <c r="I13" s="226"/>
      <c r="J13" s="226"/>
    </row>
    <row r="14" spans="2:11" x14ac:dyDescent="0.25">
      <c r="B14" s="335" t="s">
        <v>93</v>
      </c>
      <c r="C14" s="335"/>
      <c r="D14" s="335"/>
      <c r="E14" s="335"/>
      <c r="F14" s="341">
        <v>1332.8624064000001</v>
      </c>
      <c r="G14" s="342"/>
      <c r="H14" s="321">
        <v>45806.799316500001</v>
      </c>
      <c r="I14" s="322"/>
      <c r="J14" s="323">
        <v>47139.661722899997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9:B11"/>
    <mergeCell ref="C9:C11"/>
    <mergeCell ref="D9:J9"/>
    <mergeCell ref="D10:D11"/>
    <mergeCell ref="E10:E11"/>
    <mergeCell ref="F10:J10"/>
    <mergeCell ref="B6:J6"/>
    <mergeCell ref="B7:J7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9"/>
  <sheetViews>
    <sheetView view="pageBreakPreview" topLeftCell="A54" zoomScale="55" zoomScaleSheetLayoutView="55" workbookViewId="0">
      <selection activeCell="D76" sqref="D76"/>
    </sheetView>
  </sheetViews>
  <sheetFormatPr defaultColWidth="9.140625" defaultRowHeight="15.75" x14ac:dyDescent="0.25"/>
  <cols>
    <col min="1" max="1" width="9.140625" style="191"/>
    <col min="2" max="2" width="12.5703125" style="191" customWidth="1"/>
    <col min="3" max="3" width="22.42578125" style="191" customWidth="1"/>
    <col min="4" max="4" width="71.7109375" style="191" customWidth="1"/>
    <col min="5" max="5" width="10.140625" style="191" customWidth="1"/>
    <col min="6" max="6" width="20.7109375" style="191" customWidth="1"/>
    <col min="7" max="7" width="20" style="191" customWidth="1"/>
    <col min="8" max="8" width="16.7109375" style="191" customWidth="1"/>
    <col min="9" max="9" width="9.140625" style="191"/>
    <col min="12" max="12" width="13.140625" customWidth="1"/>
  </cols>
  <sheetData>
    <row r="2" spans="1:9" s="307" customFormat="1" x14ac:dyDescent="0.25">
      <c r="A2" s="316"/>
      <c r="B2" s="316"/>
      <c r="C2" s="316"/>
      <c r="D2" s="316"/>
      <c r="E2" s="316"/>
      <c r="F2" s="316"/>
      <c r="G2" s="316"/>
      <c r="H2" s="316"/>
      <c r="I2" s="316"/>
    </row>
    <row r="3" spans="1:9" x14ac:dyDescent="0.25">
      <c r="A3" s="331" t="s">
        <v>95</v>
      </c>
      <c r="B3" s="331"/>
      <c r="C3" s="331"/>
      <c r="D3" s="331"/>
      <c r="E3" s="331"/>
      <c r="F3" s="331"/>
      <c r="G3" s="331"/>
      <c r="H3" s="331"/>
    </row>
    <row r="4" spans="1:9" x14ac:dyDescent="0.25">
      <c r="A4" s="332" t="s">
        <v>96</v>
      </c>
      <c r="B4" s="332"/>
      <c r="C4" s="332"/>
      <c r="D4" s="332"/>
      <c r="E4" s="332"/>
      <c r="F4" s="332"/>
      <c r="G4" s="332"/>
      <c r="H4" s="332"/>
    </row>
    <row r="5" spans="1:9" ht="18.75" customHeight="1" x14ac:dyDescent="0.25">
      <c r="A5" s="240"/>
      <c r="B5" s="240"/>
      <c r="C5" s="347" t="s">
        <v>97</v>
      </c>
      <c r="D5" s="347"/>
      <c r="E5" s="347"/>
      <c r="F5" s="347"/>
      <c r="G5" s="347"/>
      <c r="H5" s="347"/>
    </row>
    <row r="6" spans="1:9" x14ac:dyDescent="0.25">
      <c r="A6" s="190"/>
    </row>
    <row r="7" spans="1:9" x14ac:dyDescent="0.25">
      <c r="A7" s="337" t="s">
        <v>48</v>
      </c>
      <c r="B7" s="337"/>
      <c r="C7" s="337"/>
      <c r="D7" s="337"/>
      <c r="E7" s="337"/>
      <c r="F7" s="337"/>
      <c r="G7" s="337"/>
      <c r="H7" s="337"/>
    </row>
    <row r="8" spans="1:9" x14ac:dyDescent="0.25">
      <c r="A8" s="202"/>
      <c r="B8" s="202"/>
      <c r="C8" s="202"/>
      <c r="D8" s="202"/>
      <c r="E8" s="202"/>
      <c r="F8" s="202"/>
      <c r="G8" s="202"/>
      <c r="H8" s="202"/>
    </row>
    <row r="9" spans="1:9" x14ac:dyDescent="0.25">
      <c r="A9" s="336" t="s">
        <v>98</v>
      </c>
      <c r="B9" s="336" t="s">
        <v>99</v>
      </c>
      <c r="C9" s="336" t="s">
        <v>100</v>
      </c>
      <c r="D9" s="336" t="s">
        <v>101</v>
      </c>
      <c r="E9" s="336" t="s">
        <v>102</v>
      </c>
      <c r="F9" s="336" t="s">
        <v>103</v>
      </c>
      <c r="G9" s="336" t="s">
        <v>104</v>
      </c>
      <c r="H9" s="336"/>
    </row>
    <row r="10" spans="1:9" x14ac:dyDescent="0.25">
      <c r="A10" s="336"/>
      <c r="B10" s="336"/>
      <c r="C10" s="336"/>
      <c r="D10" s="336"/>
      <c r="E10" s="336"/>
      <c r="F10" s="336"/>
      <c r="G10" s="186" t="s">
        <v>105</v>
      </c>
      <c r="H10" s="186" t="s">
        <v>106</v>
      </c>
    </row>
    <row r="11" spans="1:9" x14ac:dyDescent="0.25">
      <c r="A11" s="208">
        <v>1</v>
      </c>
      <c r="B11" s="208"/>
      <c r="C11" s="208">
        <v>2</v>
      </c>
      <c r="D11" s="208" t="s">
        <v>107</v>
      </c>
      <c r="E11" s="208">
        <v>4</v>
      </c>
      <c r="F11" s="208">
        <v>5</v>
      </c>
      <c r="G11" s="208">
        <v>6</v>
      </c>
      <c r="H11" s="208">
        <v>7</v>
      </c>
    </row>
    <row r="12" spans="1:9" s="204" customFormat="1" x14ac:dyDescent="0.25">
      <c r="A12" s="344" t="s">
        <v>108</v>
      </c>
      <c r="B12" s="345"/>
      <c r="C12" s="346"/>
      <c r="D12" s="346"/>
      <c r="E12" s="345"/>
      <c r="F12" s="233">
        <f>SUM(F13:F20)</f>
        <v>517.36</v>
      </c>
      <c r="G12" s="234"/>
      <c r="H12" s="233">
        <f>SUM(H13:H20)</f>
        <v>5146.32</v>
      </c>
    </row>
    <row r="13" spans="1:9" x14ac:dyDescent="0.25">
      <c r="A13" s="227">
        <v>1</v>
      </c>
      <c r="B13" s="207"/>
      <c r="C13" s="227" t="s">
        <v>109</v>
      </c>
      <c r="D13" s="228" t="s">
        <v>110</v>
      </c>
      <c r="E13" s="229" t="s">
        <v>111</v>
      </c>
      <c r="F13" s="230">
        <v>334.56</v>
      </c>
      <c r="G13" s="231">
        <v>9.6199999999999992</v>
      </c>
      <c r="H13" s="232">
        <f t="shared" ref="H13:H20" si="0">ROUND(F13*G13,2)</f>
        <v>3218.47</v>
      </c>
    </row>
    <row r="14" spans="1:9" x14ac:dyDescent="0.25">
      <c r="A14" s="229">
        <v>2</v>
      </c>
      <c r="B14" s="207"/>
      <c r="C14" s="227" t="s">
        <v>112</v>
      </c>
      <c r="D14" s="228" t="s">
        <v>113</v>
      </c>
      <c r="E14" s="229" t="s">
        <v>111</v>
      </c>
      <c r="F14" s="230">
        <v>122</v>
      </c>
      <c r="G14" s="231">
        <v>11.09</v>
      </c>
      <c r="H14" s="232">
        <f t="shared" si="0"/>
        <v>1352.98</v>
      </c>
    </row>
    <row r="15" spans="1:9" x14ac:dyDescent="0.25">
      <c r="A15" s="227">
        <v>3</v>
      </c>
      <c r="B15" s="207"/>
      <c r="C15" s="227" t="s">
        <v>114</v>
      </c>
      <c r="D15" s="228" t="s">
        <v>115</v>
      </c>
      <c r="E15" s="229" t="s">
        <v>111</v>
      </c>
      <c r="F15" s="230">
        <v>45.32</v>
      </c>
      <c r="G15" s="231">
        <v>9.4</v>
      </c>
      <c r="H15" s="232">
        <f t="shared" si="0"/>
        <v>426.01</v>
      </c>
    </row>
    <row r="16" spans="1:9" x14ac:dyDescent="0.25">
      <c r="A16" s="229">
        <v>4</v>
      </c>
      <c r="B16" s="207"/>
      <c r="C16" s="227" t="s">
        <v>116</v>
      </c>
      <c r="D16" s="228" t="s">
        <v>117</v>
      </c>
      <c r="E16" s="229" t="s">
        <v>111</v>
      </c>
      <c r="F16" s="230">
        <v>7.6</v>
      </c>
      <c r="G16" s="231">
        <v>9.18</v>
      </c>
      <c r="H16" s="232">
        <f t="shared" si="0"/>
        <v>69.77</v>
      </c>
    </row>
    <row r="17" spans="1:12" x14ac:dyDescent="0.25">
      <c r="A17" s="227">
        <v>5</v>
      </c>
      <c r="B17" s="207"/>
      <c r="C17" s="227" t="s">
        <v>118</v>
      </c>
      <c r="D17" s="228" t="s">
        <v>119</v>
      </c>
      <c r="E17" s="229" t="s">
        <v>111</v>
      </c>
      <c r="F17" s="230">
        <v>3.78</v>
      </c>
      <c r="G17" s="231">
        <v>9.92</v>
      </c>
      <c r="H17" s="232">
        <f t="shared" si="0"/>
        <v>37.5</v>
      </c>
    </row>
    <row r="18" spans="1:12" x14ac:dyDescent="0.25">
      <c r="A18" s="229">
        <v>6</v>
      </c>
      <c r="B18" s="207"/>
      <c r="C18" s="227" t="s">
        <v>120</v>
      </c>
      <c r="D18" s="228" t="s">
        <v>121</v>
      </c>
      <c r="E18" s="229" t="s">
        <v>111</v>
      </c>
      <c r="F18" s="230">
        <v>3.6</v>
      </c>
      <c r="G18" s="231">
        <v>10.210000000000001</v>
      </c>
      <c r="H18" s="232">
        <f t="shared" si="0"/>
        <v>36.76</v>
      </c>
    </row>
    <row r="19" spans="1:12" x14ac:dyDescent="0.25">
      <c r="A19" s="227">
        <v>7</v>
      </c>
      <c r="B19" s="207"/>
      <c r="C19" s="227" t="s">
        <v>122</v>
      </c>
      <c r="D19" s="228" t="s">
        <v>123</v>
      </c>
      <c r="E19" s="229" t="s">
        <v>111</v>
      </c>
      <c r="F19" s="230">
        <v>0.44</v>
      </c>
      <c r="G19" s="231">
        <v>9.76</v>
      </c>
      <c r="H19" s="232">
        <f t="shared" si="0"/>
        <v>4.29</v>
      </c>
    </row>
    <row r="20" spans="1:12" x14ac:dyDescent="0.25">
      <c r="A20" s="229">
        <v>8</v>
      </c>
      <c r="B20" s="207"/>
      <c r="C20" s="227" t="s">
        <v>124</v>
      </c>
      <c r="D20" s="228" t="s">
        <v>125</v>
      </c>
      <c r="E20" s="229" t="s">
        <v>111</v>
      </c>
      <c r="F20" s="230">
        <v>0.06</v>
      </c>
      <c r="G20" s="231">
        <v>9.07</v>
      </c>
      <c r="H20" s="232">
        <f t="shared" si="0"/>
        <v>0.54</v>
      </c>
    </row>
    <row r="21" spans="1:12" x14ac:dyDescent="0.25">
      <c r="A21" s="343" t="s">
        <v>126</v>
      </c>
      <c r="B21" s="343"/>
      <c r="C21" s="343"/>
      <c r="D21" s="343"/>
      <c r="E21" s="343"/>
      <c r="F21" s="206"/>
      <c r="G21" s="205"/>
      <c r="H21" s="233">
        <f>H22</f>
        <v>140.21</v>
      </c>
    </row>
    <row r="22" spans="1:12" x14ac:dyDescent="0.25">
      <c r="A22" s="229">
        <v>9</v>
      </c>
      <c r="B22" s="203"/>
      <c r="C22" s="235">
        <v>2</v>
      </c>
      <c r="D22" s="236" t="s">
        <v>126</v>
      </c>
      <c r="E22" s="237" t="s">
        <v>111</v>
      </c>
      <c r="F22" s="248">
        <v>13.7</v>
      </c>
      <c r="G22" s="232">
        <v>0</v>
      </c>
      <c r="H22" s="238">
        <v>140.21</v>
      </c>
      <c r="L22" s="320"/>
    </row>
    <row r="23" spans="1:12" s="204" customFormat="1" x14ac:dyDescent="0.25">
      <c r="A23" s="344" t="s">
        <v>127</v>
      </c>
      <c r="B23" s="345"/>
      <c r="C23" s="346"/>
      <c r="D23" s="346"/>
      <c r="E23" s="345"/>
      <c r="F23" s="206"/>
      <c r="G23" s="205"/>
      <c r="H23" s="233">
        <f>SUM(H24:H32)</f>
        <v>1251.4000000000001</v>
      </c>
    </row>
    <row r="24" spans="1:12" x14ac:dyDescent="0.25">
      <c r="A24" s="229">
        <v>10</v>
      </c>
      <c r="B24" s="203"/>
      <c r="C24" s="247" t="s">
        <v>128</v>
      </c>
      <c r="D24" s="244" t="s">
        <v>129</v>
      </c>
      <c r="E24" s="245" t="s">
        <v>130</v>
      </c>
      <c r="F24" s="247">
        <v>12.2</v>
      </c>
      <c r="G24" s="246">
        <v>89.99</v>
      </c>
      <c r="H24" s="232">
        <f t="shared" ref="H24:H32" si="1">ROUND(F24*G24,2)</f>
        <v>1097.8800000000001</v>
      </c>
    </row>
    <row r="25" spans="1:12" x14ac:dyDescent="0.25">
      <c r="A25" s="229">
        <v>11</v>
      </c>
      <c r="B25" s="203"/>
      <c r="C25" s="235" t="s">
        <v>131</v>
      </c>
      <c r="D25" s="236" t="s">
        <v>132</v>
      </c>
      <c r="E25" s="237" t="s">
        <v>130</v>
      </c>
      <c r="F25" s="235">
        <v>0.5</v>
      </c>
      <c r="G25" s="250">
        <v>115.4</v>
      </c>
      <c r="H25" s="232">
        <f t="shared" si="1"/>
        <v>57.7</v>
      </c>
    </row>
    <row r="26" spans="1:12" ht="25.5" customHeight="1" x14ac:dyDescent="0.25">
      <c r="A26" s="229">
        <v>12</v>
      </c>
      <c r="B26" s="203"/>
      <c r="C26" s="235" t="s">
        <v>133</v>
      </c>
      <c r="D26" s="236" t="s">
        <v>134</v>
      </c>
      <c r="E26" s="237" t="s">
        <v>130</v>
      </c>
      <c r="F26" s="235">
        <v>0.46</v>
      </c>
      <c r="G26" s="250">
        <v>90</v>
      </c>
      <c r="H26" s="232">
        <f t="shared" si="1"/>
        <v>41.4</v>
      </c>
    </row>
    <row r="27" spans="1:12" x14ac:dyDescent="0.25">
      <c r="A27" s="229">
        <v>13</v>
      </c>
      <c r="B27" s="203"/>
      <c r="C27" s="235" t="s">
        <v>135</v>
      </c>
      <c r="D27" s="236" t="s">
        <v>136</v>
      </c>
      <c r="E27" s="237" t="s">
        <v>130</v>
      </c>
      <c r="F27" s="235">
        <v>0.5</v>
      </c>
      <c r="G27" s="250">
        <v>65.709999999999994</v>
      </c>
      <c r="H27" s="232">
        <f t="shared" si="1"/>
        <v>32.86</v>
      </c>
    </row>
    <row r="28" spans="1:12" x14ac:dyDescent="0.25">
      <c r="A28" s="229">
        <v>14</v>
      </c>
      <c r="B28" s="203"/>
      <c r="C28" s="235" t="s">
        <v>137</v>
      </c>
      <c r="D28" s="236" t="s">
        <v>138</v>
      </c>
      <c r="E28" s="237" t="s">
        <v>130</v>
      </c>
      <c r="F28" s="235">
        <v>1.52</v>
      </c>
      <c r="G28" s="250">
        <v>8.1</v>
      </c>
      <c r="H28" s="232">
        <f t="shared" si="1"/>
        <v>12.31</v>
      </c>
    </row>
    <row r="29" spans="1:12" x14ac:dyDescent="0.25">
      <c r="A29" s="229">
        <v>15</v>
      </c>
      <c r="B29" s="203"/>
      <c r="C29" s="235" t="s">
        <v>139</v>
      </c>
      <c r="D29" s="236" t="s">
        <v>140</v>
      </c>
      <c r="E29" s="237" t="s">
        <v>130</v>
      </c>
      <c r="F29" s="235">
        <v>1.67</v>
      </c>
      <c r="G29" s="250">
        <v>3.28</v>
      </c>
      <c r="H29" s="232">
        <f t="shared" si="1"/>
        <v>5.48</v>
      </c>
    </row>
    <row r="30" spans="1:12" x14ac:dyDescent="0.25">
      <c r="A30" s="229">
        <v>16</v>
      </c>
      <c r="B30" s="203"/>
      <c r="C30" s="235" t="s">
        <v>141</v>
      </c>
      <c r="D30" s="236" t="s">
        <v>142</v>
      </c>
      <c r="E30" s="237" t="s">
        <v>130</v>
      </c>
      <c r="F30" s="235">
        <v>1.67</v>
      </c>
      <c r="G30" s="250">
        <v>0.9</v>
      </c>
      <c r="H30" s="232">
        <f t="shared" si="1"/>
        <v>1.5</v>
      </c>
    </row>
    <row r="31" spans="1:12" ht="25.5" customHeight="1" x14ac:dyDescent="0.25">
      <c r="A31" s="229">
        <v>17</v>
      </c>
      <c r="B31" s="203"/>
      <c r="C31" s="235" t="s">
        <v>143</v>
      </c>
      <c r="D31" s="236" t="s">
        <v>144</v>
      </c>
      <c r="E31" s="237" t="s">
        <v>130</v>
      </c>
      <c r="F31" s="235">
        <v>0.46</v>
      </c>
      <c r="G31" s="250">
        <v>2.99</v>
      </c>
      <c r="H31" s="232">
        <f t="shared" si="1"/>
        <v>1.38</v>
      </c>
    </row>
    <row r="32" spans="1:12" x14ac:dyDescent="0.25">
      <c r="A32" s="229">
        <v>18</v>
      </c>
      <c r="B32" s="203"/>
      <c r="C32" s="235" t="s">
        <v>145</v>
      </c>
      <c r="D32" s="236" t="s">
        <v>146</v>
      </c>
      <c r="E32" s="237" t="s">
        <v>130</v>
      </c>
      <c r="F32" s="235">
        <v>0.03</v>
      </c>
      <c r="G32" s="250">
        <v>29.6</v>
      </c>
      <c r="H32" s="232">
        <f t="shared" si="1"/>
        <v>0.89</v>
      </c>
    </row>
    <row r="33" spans="1:8" x14ac:dyDescent="0.25">
      <c r="A33" s="344" t="s">
        <v>43</v>
      </c>
      <c r="B33" s="345"/>
      <c r="C33" s="346"/>
      <c r="D33" s="346"/>
      <c r="E33" s="345"/>
      <c r="F33" s="206"/>
      <c r="G33" s="205"/>
      <c r="H33" s="233">
        <f>SUM(H34:H34)</f>
        <v>9444700.8900000006</v>
      </c>
    </row>
    <row r="34" spans="1:8" ht="409.5" customHeight="1" x14ac:dyDescent="0.25">
      <c r="A34" s="229">
        <v>19</v>
      </c>
      <c r="B34" s="203"/>
      <c r="C34" s="235" t="s">
        <v>147</v>
      </c>
      <c r="D34" s="236" t="s">
        <v>148</v>
      </c>
      <c r="E34" s="245" t="s">
        <v>149</v>
      </c>
      <c r="F34" s="245">
        <v>1</v>
      </c>
      <c r="G34" s="232">
        <v>9444700.8900000006</v>
      </c>
      <c r="H34" s="232">
        <f>ROUND(F34*G34,2)</f>
        <v>9444700.8900000006</v>
      </c>
    </row>
    <row r="35" spans="1:8" ht="393" customHeight="1" x14ac:dyDescent="0.25">
      <c r="A35" s="229"/>
      <c r="B35" s="203"/>
      <c r="C35" s="235"/>
      <c r="D35" s="236" t="s">
        <v>150</v>
      </c>
      <c r="E35" s="245"/>
      <c r="F35" s="245"/>
      <c r="G35" s="232"/>
      <c r="H35" s="232"/>
    </row>
    <row r="36" spans="1:8" x14ac:dyDescent="0.25">
      <c r="A36" s="344" t="s">
        <v>151</v>
      </c>
      <c r="B36" s="345"/>
      <c r="C36" s="346"/>
      <c r="D36" s="346"/>
      <c r="E36" s="345"/>
      <c r="F36" s="206"/>
      <c r="G36" s="205"/>
      <c r="H36" s="233">
        <f>SUM(H37:H72)</f>
        <v>163470.03</v>
      </c>
    </row>
    <row r="37" spans="1:8" ht="25.5" customHeight="1" x14ac:dyDescent="0.25">
      <c r="A37" s="239">
        <v>20</v>
      </c>
      <c r="B37" s="203"/>
      <c r="C37" s="235" t="s">
        <v>147</v>
      </c>
      <c r="D37" s="236" t="s">
        <v>152</v>
      </c>
      <c r="E37" s="237" t="s">
        <v>153</v>
      </c>
      <c r="F37" s="235">
        <v>32</v>
      </c>
      <c r="G37" s="232">
        <v>4820.25</v>
      </c>
      <c r="H37" s="232">
        <f t="shared" ref="H37:H72" si="2">ROUND(F37*G37,2)</f>
        <v>154248</v>
      </c>
    </row>
    <row r="38" spans="1:8" ht="25.5" customHeight="1" x14ac:dyDescent="0.25">
      <c r="A38" s="239">
        <v>21</v>
      </c>
      <c r="B38" s="203"/>
      <c r="C38" s="235" t="s">
        <v>154</v>
      </c>
      <c r="D38" s="236" t="s">
        <v>155</v>
      </c>
      <c r="E38" s="237" t="s">
        <v>153</v>
      </c>
      <c r="F38" s="237">
        <v>0.78</v>
      </c>
      <c r="G38" s="232">
        <v>6836</v>
      </c>
      <c r="H38" s="232">
        <f t="shared" si="2"/>
        <v>5332.08</v>
      </c>
    </row>
    <row r="39" spans="1:8" x14ac:dyDescent="0.25">
      <c r="A39" s="239">
        <v>22</v>
      </c>
      <c r="B39" s="203"/>
      <c r="C39" s="235" t="s">
        <v>156</v>
      </c>
      <c r="D39" s="236" t="s">
        <v>157</v>
      </c>
      <c r="E39" s="237" t="s">
        <v>158</v>
      </c>
      <c r="F39" s="237">
        <v>5.0999999999999997E-2</v>
      </c>
      <c r="G39" s="232">
        <v>50117.45</v>
      </c>
      <c r="H39" s="232">
        <f t="shared" si="2"/>
        <v>2555.9899999999998</v>
      </c>
    </row>
    <row r="40" spans="1:8" x14ac:dyDescent="0.25">
      <c r="A40" s="239">
        <v>23</v>
      </c>
      <c r="B40" s="203"/>
      <c r="C40" s="235" t="s">
        <v>159</v>
      </c>
      <c r="D40" s="236" t="s">
        <v>160</v>
      </c>
      <c r="E40" s="237" t="s">
        <v>158</v>
      </c>
      <c r="F40" s="235">
        <v>8.1600000000000006E-2</v>
      </c>
      <c r="G40" s="232">
        <v>3368.45</v>
      </c>
      <c r="H40" s="232">
        <f t="shared" si="2"/>
        <v>274.87</v>
      </c>
    </row>
    <row r="41" spans="1:8" ht="25.5" customHeight="1" x14ac:dyDescent="0.25">
      <c r="A41" s="239">
        <v>24</v>
      </c>
      <c r="B41" s="203"/>
      <c r="C41" s="235" t="s">
        <v>161</v>
      </c>
      <c r="D41" s="236" t="s">
        <v>162</v>
      </c>
      <c r="E41" s="237" t="s">
        <v>163</v>
      </c>
      <c r="F41" s="235">
        <v>5</v>
      </c>
      <c r="G41" s="232">
        <v>53.03</v>
      </c>
      <c r="H41" s="232">
        <f t="shared" si="2"/>
        <v>265.14999999999998</v>
      </c>
    </row>
    <row r="42" spans="1:8" x14ac:dyDescent="0.25">
      <c r="A42" s="239">
        <v>25</v>
      </c>
      <c r="B42" s="203"/>
      <c r="C42" s="235" t="s">
        <v>164</v>
      </c>
      <c r="D42" s="236" t="s">
        <v>165</v>
      </c>
      <c r="E42" s="237" t="s">
        <v>166</v>
      </c>
      <c r="F42" s="235">
        <v>1.6924999999999999</v>
      </c>
      <c r="G42" s="232">
        <v>86</v>
      </c>
      <c r="H42" s="232">
        <f t="shared" si="2"/>
        <v>145.56</v>
      </c>
    </row>
    <row r="43" spans="1:8" x14ac:dyDescent="0.25">
      <c r="A43" s="239">
        <v>26</v>
      </c>
      <c r="B43" s="203"/>
      <c r="C43" s="235" t="s">
        <v>167</v>
      </c>
      <c r="D43" s="236" t="s">
        <v>168</v>
      </c>
      <c r="E43" s="237" t="s">
        <v>169</v>
      </c>
      <c r="F43" s="235">
        <v>1.2E-2</v>
      </c>
      <c r="G43" s="232">
        <v>11500</v>
      </c>
      <c r="H43" s="232">
        <f t="shared" si="2"/>
        <v>138</v>
      </c>
    </row>
    <row r="44" spans="1:8" ht="25.5" customHeight="1" x14ac:dyDescent="0.25">
      <c r="A44" s="239">
        <v>27</v>
      </c>
      <c r="B44" s="203"/>
      <c r="C44" s="235" t="s">
        <v>170</v>
      </c>
      <c r="D44" s="236" t="s">
        <v>171</v>
      </c>
      <c r="E44" s="237" t="s">
        <v>169</v>
      </c>
      <c r="F44" s="235">
        <v>4.2700000000000004E-3</v>
      </c>
      <c r="G44" s="232">
        <v>26932.42</v>
      </c>
      <c r="H44" s="232">
        <f t="shared" si="2"/>
        <v>115</v>
      </c>
    </row>
    <row r="45" spans="1:8" x14ac:dyDescent="0.25">
      <c r="A45" s="239">
        <v>28</v>
      </c>
      <c r="B45" s="203"/>
      <c r="C45" s="235" t="s">
        <v>172</v>
      </c>
      <c r="D45" s="236" t="s">
        <v>173</v>
      </c>
      <c r="E45" s="237" t="s">
        <v>174</v>
      </c>
      <c r="F45" s="235">
        <v>102.70135000000001</v>
      </c>
      <c r="G45" s="232">
        <v>1</v>
      </c>
      <c r="H45" s="232">
        <f t="shared" si="2"/>
        <v>102.7</v>
      </c>
    </row>
    <row r="46" spans="1:8" x14ac:dyDescent="0.25">
      <c r="A46" s="239">
        <v>29</v>
      </c>
      <c r="B46" s="203"/>
      <c r="C46" s="235" t="s">
        <v>175</v>
      </c>
      <c r="D46" s="236" t="s">
        <v>176</v>
      </c>
      <c r="E46" s="237" t="s">
        <v>169</v>
      </c>
      <c r="F46" s="235">
        <v>6.1000000000000004E-3</v>
      </c>
      <c r="G46" s="232">
        <v>12430</v>
      </c>
      <c r="H46" s="232">
        <f t="shared" si="2"/>
        <v>75.819999999999993</v>
      </c>
    </row>
    <row r="47" spans="1:8" x14ac:dyDescent="0.25">
      <c r="A47" s="239">
        <v>30</v>
      </c>
      <c r="B47" s="203"/>
      <c r="C47" s="235" t="s">
        <v>177</v>
      </c>
      <c r="D47" s="236" t="s">
        <v>178</v>
      </c>
      <c r="E47" s="237" t="s">
        <v>166</v>
      </c>
      <c r="F47" s="235">
        <v>1</v>
      </c>
      <c r="G47" s="232">
        <v>61.6</v>
      </c>
      <c r="H47" s="232">
        <f t="shared" si="2"/>
        <v>61.6</v>
      </c>
    </row>
    <row r="48" spans="1:8" x14ac:dyDescent="0.25">
      <c r="A48" s="239">
        <v>31</v>
      </c>
      <c r="B48" s="203"/>
      <c r="C48" s="235" t="s">
        <v>179</v>
      </c>
      <c r="D48" s="236" t="s">
        <v>180</v>
      </c>
      <c r="E48" s="237" t="s">
        <v>169</v>
      </c>
      <c r="F48" s="235">
        <v>3.0646E-2</v>
      </c>
      <c r="G48" s="232">
        <v>729.98</v>
      </c>
      <c r="H48" s="232">
        <f t="shared" si="2"/>
        <v>22.37</v>
      </c>
    </row>
    <row r="49" spans="1:8" ht="25.5" customHeight="1" x14ac:dyDescent="0.25">
      <c r="A49" s="239">
        <v>32</v>
      </c>
      <c r="B49" s="203"/>
      <c r="C49" s="235" t="s">
        <v>181</v>
      </c>
      <c r="D49" s="236" t="s">
        <v>182</v>
      </c>
      <c r="E49" s="237" t="s">
        <v>183</v>
      </c>
      <c r="F49" s="235">
        <v>0.64880000000000004</v>
      </c>
      <c r="G49" s="232">
        <v>30.4</v>
      </c>
      <c r="H49" s="232">
        <f t="shared" si="2"/>
        <v>19.72</v>
      </c>
    </row>
    <row r="50" spans="1:8" x14ac:dyDescent="0.25">
      <c r="A50" s="239">
        <v>33</v>
      </c>
      <c r="B50" s="203"/>
      <c r="C50" s="235" t="s">
        <v>184</v>
      </c>
      <c r="D50" s="236" t="s">
        <v>185</v>
      </c>
      <c r="E50" s="237" t="s">
        <v>183</v>
      </c>
      <c r="F50" s="235">
        <v>1.99875</v>
      </c>
      <c r="G50" s="232">
        <v>9.0399999999999991</v>
      </c>
      <c r="H50" s="232">
        <f t="shared" si="2"/>
        <v>18.07</v>
      </c>
    </row>
    <row r="51" spans="1:8" x14ac:dyDescent="0.25">
      <c r="A51" s="239">
        <v>34</v>
      </c>
      <c r="B51" s="203"/>
      <c r="C51" s="235" t="s">
        <v>186</v>
      </c>
      <c r="D51" s="236" t="s">
        <v>187</v>
      </c>
      <c r="E51" s="237" t="s">
        <v>188</v>
      </c>
      <c r="F51" s="235">
        <v>0.4</v>
      </c>
      <c r="G51" s="232">
        <v>39</v>
      </c>
      <c r="H51" s="232">
        <f t="shared" si="2"/>
        <v>15.6</v>
      </c>
    </row>
    <row r="52" spans="1:8" x14ac:dyDescent="0.25">
      <c r="A52" s="239">
        <v>35</v>
      </c>
      <c r="B52" s="203"/>
      <c r="C52" s="235" t="s">
        <v>189</v>
      </c>
      <c r="D52" s="236" t="s">
        <v>190</v>
      </c>
      <c r="E52" s="237" t="s">
        <v>183</v>
      </c>
      <c r="F52" s="235">
        <v>0.40649999999999997</v>
      </c>
      <c r="G52" s="232">
        <v>28.6</v>
      </c>
      <c r="H52" s="232">
        <f t="shared" si="2"/>
        <v>11.63</v>
      </c>
    </row>
    <row r="53" spans="1:8" x14ac:dyDescent="0.25">
      <c r="A53" s="239">
        <v>36</v>
      </c>
      <c r="B53" s="203"/>
      <c r="C53" s="235" t="s">
        <v>191</v>
      </c>
      <c r="D53" s="236" t="s">
        <v>192</v>
      </c>
      <c r="E53" s="237" t="s">
        <v>163</v>
      </c>
      <c r="F53" s="235">
        <v>1.6475</v>
      </c>
      <c r="G53" s="232">
        <v>6.9</v>
      </c>
      <c r="H53" s="232">
        <f t="shared" si="2"/>
        <v>11.37</v>
      </c>
    </row>
    <row r="54" spans="1:8" x14ac:dyDescent="0.25">
      <c r="A54" s="239">
        <v>37</v>
      </c>
      <c r="B54" s="203"/>
      <c r="C54" s="235" t="s">
        <v>193</v>
      </c>
      <c r="D54" s="236" t="s">
        <v>194</v>
      </c>
      <c r="E54" s="237" t="s">
        <v>188</v>
      </c>
      <c r="F54" s="235">
        <v>2</v>
      </c>
      <c r="G54" s="232">
        <v>4.3</v>
      </c>
      <c r="H54" s="232">
        <f t="shared" si="2"/>
        <v>8.6</v>
      </c>
    </row>
    <row r="55" spans="1:8" x14ac:dyDescent="0.25">
      <c r="A55" s="239">
        <v>38</v>
      </c>
      <c r="B55" s="203"/>
      <c r="C55" s="235" t="s">
        <v>195</v>
      </c>
      <c r="D55" s="236" t="s">
        <v>196</v>
      </c>
      <c r="E55" s="237" t="s">
        <v>169</v>
      </c>
      <c r="F55" s="235">
        <v>1.25E-4</v>
      </c>
      <c r="G55" s="232">
        <v>68050</v>
      </c>
      <c r="H55" s="232">
        <f t="shared" si="2"/>
        <v>8.51</v>
      </c>
    </row>
    <row r="56" spans="1:8" x14ac:dyDescent="0.25">
      <c r="A56" s="239">
        <v>39</v>
      </c>
      <c r="B56" s="203"/>
      <c r="C56" s="235" t="s">
        <v>197</v>
      </c>
      <c r="D56" s="236" t="s">
        <v>198</v>
      </c>
      <c r="E56" s="237" t="s">
        <v>166</v>
      </c>
      <c r="F56" s="235">
        <v>0.875</v>
      </c>
      <c r="G56" s="232">
        <v>8</v>
      </c>
      <c r="H56" s="232">
        <f t="shared" si="2"/>
        <v>7</v>
      </c>
    </row>
    <row r="57" spans="1:8" x14ac:dyDescent="0.25">
      <c r="A57" s="239">
        <v>40</v>
      </c>
      <c r="B57" s="203"/>
      <c r="C57" s="235" t="s">
        <v>199</v>
      </c>
      <c r="D57" s="236" t="s">
        <v>200</v>
      </c>
      <c r="E57" s="237" t="s">
        <v>183</v>
      </c>
      <c r="F57" s="235">
        <v>0.56210000000000004</v>
      </c>
      <c r="G57" s="232">
        <v>10.57</v>
      </c>
      <c r="H57" s="232">
        <f t="shared" si="2"/>
        <v>5.94</v>
      </c>
    </row>
    <row r="58" spans="1:8" x14ac:dyDescent="0.25">
      <c r="A58" s="239">
        <v>41</v>
      </c>
      <c r="B58" s="203"/>
      <c r="C58" s="235" t="s">
        <v>201</v>
      </c>
      <c r="D58" s="236" t="s">
        <v>202</v>
      </c>
      <c r="E58" s="237" t="s">
        <v>153</v>
      </c>
      <c r="F58" s="235">
        <v>0.45</v>
      </c>
      <c r="G58" s="232">
        <v>10.54</v>
      </c>
      <c r="H58" s="232">
        <f t="shared" si="2"/>
        <v>4.74</v>
      </c>
    </row>
    <row r="59" spans="1:8" x14ac:dyDescent="0.25">
      <c r="A59" s="239">
        <v>42</v>
      </c>
      <c r="B59" s="203"/>
      <c r="C59" s="235" t="s">
        <v>203</v>
      </c>
      <c r="D59" s="236" t="s">
        <v>204</v>
      </c>
      <c r="E59" s="237" t="s">
        <v>169</v>
      </c>
      <c r="F59" s="235">
        <v>3.1E-4</v>
      </c>
      <c r="G59" s="232">
        <v>12430</v>
      </c>
      <c r="H59" s="232">
        <f t="shared" si="2"/>
        <v>3.85</v>
      </c>
    </row>
    <row r="60" spans="1:8" ht="25.5" customHeight="1" x14ac:dyDescent="0.25">
      <c r="A60" s="239">
        <v>43</v>
      </c>
      <c r="B60" s="203"/>
      <c r="C60" s="235" t="s">
        <v>205</v>
      </c>
      <c r="D60" s="236" t="s">
        <v>206</v>
      </c>
      <c r="E60" s="237" t="s">
        <v>166</v>
      </c>
      <c r="F60" s="235">
        <v>1.6319999999999999</v>
      </c>
      <c r="G60" s="232">
        <v>2</v>
      </c>
      <c r="H60" s="232">
        <f t="shared" si="2"/>
        <v>3.26</v>
      </c>
    </row>
    <row r="61" spans="1:8" x14ac:dyDescent="0.25">
      <c r="A61" s="239">
        <v>44</v>
      </c>
      <c r="B61" s="203"/>
      <c r="C61" s="235" t="s">
        <v>207</v>
      </c>
      <c r="D61" s="236" t="s">
        <v>208</v>
      </c>
      <c r="E61" s="237" t="s">
        <v>169</v>
      </c>
      <c r="F61" s="235">
        <v>3.6000000000000002E-4</v>
      </c>
      <c r="G61" s="232">
        <v>7826.9</v>
      </c>
      <c r="H61" s="232">
        <f t="shared" si="2"/>
        <v>2.82</v>
      </c>
    </row>
    <row r="62" spans="1:8" x14ac:dyDescent="0.25">
      <c r="A62" s="239">
        <v>45</v>
      </c>
      <c r="B62" s="203"/>
      <c r="C62" s="235" t="s">
        <v>209</v>
      </c>
      <c r="D62" s="236" t="s">
        <v>210</v>
      </c>
      <c r="E62" s="237" t="s">
        <v>166</v>
      </c>
      <c r="F62" s="235">
        <v>0.03</v>
      </c>
      <c r="G62" s="232">
        <v>83</v>
      </c>
      <c r="H62" s="232">
        <f t="shared" si="2"/>
        <v>2.4900000000000002</v>
      </c>
    </row>
    <row r="63" spans="1:8" x14ac:dyDescent="0.25">
      <c r="A63" s="239">
        <v>46</v>
      </c>
      <c r="B63" s="203"/>
      <c r="C63" s="235" t="s">
        <v>211</v>
      </c>
      <c r="D63" s="236" t="s">
        <v>212</v>
      </c>
      <c r="E63" s="237" t="s">
        <v>183</v>
      </c>
      <c r="F63" s="235">
        <v>5.6000000000000001E-2</v>
      </c>
      <c r="G63" s="232">
        <v>35.630000000000003</v>
      </c>
      <c r="H63" s="232">
        <f t="shared" si="2"/>
        <v>2</v>
      </c>
    </row>
    <row r="64" spans="1:8" x14ac:dyDescent="0.25">
      <c r="A64" s="239">
        <v>47</v>
      </c>
      <c r="B64" s="203"/>
      <c r="C64" s="235" t="s">
        <v>213</v>
      </c>
      <c r="D64" s="236" t="s">
        <v>214</v>
      </c>
      <c r="E64" s="237" t="s">
        <v>183</v>
      </c>
      <c r="F64" s="235">
        <v>3.5999999999999997E-2</v>
      </c>
      <c r="G64" s="232">
        <v>44.97</v>
      </c>
      <c r="H64" s="232">
        <f t="shared" si="2"/>
        <v>1.62</v>
      </c>
    </row>
    <row r="65" spans="1:8" ht="25.5" customHeight="1" x14ac:dyDescent="0.25">
      <c r="A65" s="239">
        <v>48</v>
      </c>
      <c r="B65" s="203"/>
      <c r="C65" s="235" t="s">
        <v>215</v>
      </c>
      <c r="D65" s="236" t="s">
        <v>216</v>
      </c>
      <c r="E65" s="237" t="s">
        <v>169</v>
      </c>
      <c r="F65" s="235">
        <v>2.9999999999999997E-4</v>
      </c>
      <c r="G65" s="232">
        <v>5000</v>
      </c>
      <c r="H65" s="232">
        <f t="shared" si="2"/>
        <v>1.5</v>
      </c>
    </row>
    <row r="66" spans="1:8" x14ac:dyDescent="0.25">
      <c r="A66" s="239">
        <v>49</v>
      </c>
      <c r="B66" s="203"/>
      <c r="C66" s="235" t="s">
        <v>217</v>
      </c>
      <c r="D66" s="236" t="s">
        <v>218</v>
      </c>
      <c r="E66" s="237" t="s">
        <v>169</v>
      </c>
      <c r="F66" s="235">
        <v>2.0000000000000002E-5</v>
      </c>
      <c r="G66" s="232">
        <v>65750</v>
      </c>
      <c r="H66" s="232">
        <f t="shared" si="2"/>
        <v>1.32</v>
      </c>
    </row>
    <row r="67" spans="1:8" x14ac:dyDescent="0.25">
      <c r="A67" s="239">
        <v>50</v>
      </c>
      <c r="B67" s="203"/>
      <c r="C67" s="235" t="s">
        <v>219</v>
      </c>
      <c r="D67" s="236" t="s">
        <v>220</v>
      </c>
      <c r="E67" s="237" t="s">
        <v>221</v>
      </c>
      <c r="F67" s="235">
        <v>4.0800000000000003E-3</v>
      </c>
      <c r="G67" s="232">
        <v>270</v>
      </c>
      <c r="H67" s="232">
        <f t="shared" si="2"/>
        <v>1.1000000000000001</v>
      </c>
    </row>
    <row r="68" spans="1:8" x14ac:dyDescent="0.25">
      <c r="A68" s="239">
        <v>51</v>
      </c>
      <c r="B68" s="203"/>
      <c r="C68" s="235" t="s">
        <v>222</v>
      </c>
      <c r="D68" s="236" t="s">
        <v>223</v>
      </c>
      <c r="E68" s="237" t="s">
        <v>183</v>
      </c>
      <c r="F68" s="235">
        <v>8.0000000000000002E-3</v>
      </c>
      <c r="G68" s="232">
        <v>133.05000000000001</v>
      </c>
      <c r="H68" s="232">
        <f t="shared" si="2"/>
        <v>1.06</v>
      </c>
    </row>
    <row r="69" spans="1:8" x14ac:dyDescent="0.25">
      <c r="A69" s="239">
        <v>52</v>
      </c>
      <c r="B69" s="203"/>
      <c r="C69" s="235" t="s">
        <v>224</v>
      </c>
      <c r="D69" s="236" t="s">
        <v>225</v>
      </c>
      <c r="E69" s="237" t="s">
        <v>153</v>
      </c>
      <c r="F69" s="235">
        <v>0.09</v>
      </c>
      <c r="G69" s="232">
        <v>5</v>
      </c>
      <c r="H69" s="232">
        <f t="shared" si="2"/>
        <v>0.45</v>
      </c>
    </row>
    <row r="70" spans="1:8" x14ac:dyDescent="0.25">
      <c r="A70" s="239">
        <v>53</v>
      </c>
      <c r="B70" s="203"/>
      <c r="C70" s="235" t="s">
        <v>226</v>
      </c>
      <c r="D70" s="236" t="s">
        <v>227</v>
      </c>
      <c r="E70" s="237" t="s">
        <v>183</v>
      </c>
      <c r="F70" s="235">
        <v>1.6E-2</v>
      </c>
      <c r="G70" s="232">
        <v>11.5</v>
      </c>
      <c r="H70" s="232">
        <f t="shared" si="2"/>
        <v>0.18</v>
      </c>
    </row>
    <row r="71" spans="1:8" x14ac:dyDescent="0.25">
      <c r="A71" s="239">
        <v>54</v>
      </c>
      <c r="B71" s="203"/>
      <c r="C71" s="235" t="s">
        <v>228</v>
      </c>
      <c r="D71" s="236" t="s">
        <v>229</v>
      </c>
      <c r="E71" s="237" t="s">
        <v>183</v>
      </c>
      <c r="F71" s="235">
        <v>1.6000000000000001E-3</v>
      </c>
      <c r="G71" s="232">
        <v>27.74</v>
      </c>
      <c r="H71" s="232">
        <f t="shared" si="2"/>
        <v>0.04</v>
      </c>
    </row>
    <row r="72" spans="1:8" x14ac:dyDescent="0.25">
      <c r="A72" s="239">
        <v>55</v>
      </c>
      <c r="B72" s="203"/>
      <c r="C72" s="235" t="s">
        <v>230</v>
      </c>
      <c r="D72" s="236" t="s">
        <v>231</v>
      </c>
      <c r="E72" s="237" t="s">
        <v>169</v>
      </c>
      <c r="F72" s="235">
        <v>1.9999999999999999E-6</v>
      </c>
      <c r="G72" s="232">
        <v>12430</v>
      </c>
      <c r="H72" s="232">
        <f t="shared" si="2"/>
        <v>0.02</v>
      </c>
    </row>
    <row r="75" spans="1:8" x14ac:dyDescent="0.25">
      <c r="B75" s="191" t="s">
        <v>94</v>
      </c>
    </row>
    <row r="76" spans="1:8" x14ac:dyDescent="0.25">
      <c r="B76" s="192" t="s">
        <v>77</v>
      </c>
    </row>
    <row r="78" spans="1:8" x14ac:dyDescent="0.25">
      <c r="B78" s="191" t="s">
        <v>78</v>
      </c>
    </row>
    <row r="79" spans="1:8" x14ac:dyDescent="0.25">
      <c r="B79" s="192" t="s">
        <v>79</v>
      </c>
    </row>
  </sheetData>
  <mergeCells count="16">
    <mergeCell ref="A21:E21"/>
    <mergeCell ref="A36:E36"/>
    <mergeCell ref="A12:E12"/>
    <mergeCell ref="A23:E2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C5:H5"/>
    <mergeCell ref="A33:E33"/>
  </mergeCells>
  <pageMargins left="0.70866141732283505" right="0.70866141732283505" top="0.74803149606299202" bottom="0.74803149606299202" header="0.31496062992126" footer="0.31496062992126"/>
  <pageSetup paperSize="9" scale="7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7" workbookViewId="0">
      <selection activeCell="E73" sqref="E73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9.140625" style="52" customWidth="1"/>
    <col min="7" max="7" width="13.42578125" style="52" customWidth="1"/>
    <col min="8" max="11" width="9.140625" style="52" customWidth="1"/>
    <col min="12" max="12" width="13.5703125" style="52" customWidth="1"/>
    <col min="13" max="13" width="9.140625" style="52" customWidth="1"/>
  </cols>
  <sheetData>
    <row r="1" spans="2:5" x14ac:dyDescent="0.25">
      <c r="B1" s="210"/>
      <c r="C1" s="210"/>
      <c r="D1" s="210"/>
      <c r="E1" s="210"/>
    </row>
    <row r="2" spans="2:5" x14ac:dyDescent="0.25">
      <c r="B2" s="210"/>
      <c r="C2" s="210"/>
      <c r="D2" s="210"/>
      <c r="E2" s="221" t="s">
        <v>232</v>
      </c>
    </row>
    <row r="3" spans="2:5" x14ac:dyDescent="0.25">
      <c r="B3" s="210"/>
      <c r="C3" s="210"/>
      <c r="D3" s="210"/>
      <c r="E3" s="210"/>
    </row>
    <row r="4" spans="2:5" x14ac:dyDescent="0.25">
      <c r="B4" s="210"/>
      <c r="C4" s="210"/>
      <c r="D4" s="210"/>
      <c r="E4" s="210"/>
    </row>
    <row r="5" spans="2:5" x14ac:dyDescent="0.25">
      <c r="B5" s="324" t="s">
        <v>233</v>
      </c>
      <c r="C5" s="324"/>
      <c r="D5" s="324"/>
      <c r="E5" s="324"/>
    </row>
    <row r="6" spans="2:5" x14ac:dyDescent="0.25">
      <c r="B6" s="220"/>
      <c r="C6" s="210"/>
      <c r="D6" s="210"/>
      <c r="E6" s="210"/>
    </row>
    <row r="7" spans="2:5" ht="25.5" customHeight="1" x14ac:dyDescent="0.25">
      <c r="B7" s="348" t="s">
        <v>48</v>
      </c>
      <c r="C7" s="348"/>
      <c r="D7" s="348"/>
      <c r="E7" s="348"/>
    </row>
    <row r="8" spans="2:5" x14ac:dyDescent="0.25">
      <c r="B8" s="349" t="s">
        <v>50</v>
      </c>
      <c r="C8" s="349"/>
      <c r="D8" s="349"/>
      <c r="E8" s="349"/>
    </row>
    <row r="9" spans="2:5" x14ac:dyDescent="0.25">
      <c r="B9" s="220"/>
      <c r="C9" s="210"/>
      <c r="D9" s="210"/>
      <c r="E9" s="210"/>
    </row>
    <row r="10" spans="2:5" ht="51" customHeight="1" x14ac:dyDescent="0.25">
      <c r="B10" s="219" t="s">
        <v>234</v>
      </c>
      <c r="C10" s="219" t="s">
        <v>235</v>
      </c>
      <c r="D10" s="219" t="s">
        <v>236</v>
      </c>
      <c r="E10" s="219" t="s">
        <v>237</v>
      </c>
    </row>
    <row r="11" spans="2:5" x14ac:dyDescent="0.25">
      <c r="B11" s="212" t="s">
        <v>238</v>
      </c>
      <c r="C11" s="213">
        <f>'Прил.5 Расчет СМР и ОБ'!J14</f>
        <v>237428.14</v>
      </c>
      <c r="D11" s="214">
        <f t="shared" ref="D11:D18" si="0">C11/$C$24</f>
        <v>0.12464701618335504</v>
      </c>
      <c r="E11" s="214">
        <f t="shared" ref="E11:E18" si="1">C11/$C$40</f>
        <v>3.5755245751546015E-3</v>
      </c>
    </row>
    <row r="12" spans="2:5" x14ac:dyDescent="0.25">
      <c r="B12" s="212" t="s">
        <v>239</v>
      </c>
      <c r="C12" s="213">
        <f>'Прил.5 Расчет СМР и ОБ'!J20</f>
        <v>14788.47</v>
      </c>
      <c r="D12" s="214">
        <f t="shared" si="0"/>
        <v>7.7637750075330598E-3</v>
      </c>
      <c r="E12" s="214">
        <f t="shared" si="1"/>
        <v>2.2270543800720742E-4</v>
      </c>
    </row>
    <row r="13" spans="2:5" x14ac:dyDescent="0.25">
      <c r="B13" s="212" t="s">
        <v>240</v>
      </c>
      <c r="C13" s="213">
        <f>'Прил.5 Расчет СМР и ОБ'!J29</f>
        <v>2067.8000000000002</v>
      </c>
      <c r="D13" s="214">
        <f t="shared" si="0"/>
        <v>1.0855709860842172E-3</v>
      </c>
      <c r="E13" s="214">
        <f t="shared" si="1"/>
        <v>3.1139820732726479E-5</v>
      </c>
    </row>
    <row r="14" spans="2:5" x14ac:dyDescent="0.25">
      <c r="B14" s="212" t="s">
        <v>241</v>
      </c>
      <c r="C14" s="213">
        <f>C13+C12</f>
        <v>16856.27</v>
      </c>
      <c r="D14" s="214">
        <f t="shared" si="0"/>
        <v>8.8493459936172768E-3</v>
      </c>
      <c r="E14" s="214">
        <f t="shared" si="1"/>
        <v>2.5384525873993393E-4</v>
      </c>
    </row>
    <row r="15" spans="2:5" x14ac:dyDescent="0.25">
      <c r="B15" s="212" t="s">
        <v>242</v>
      </c>
      <c r="C15" s="213">
        <f>'Прил.5 Расчет СМР и ОБ'!J16</f>
        <v>6209.94</v>
      </c>
      <c r="D15" s="214">
        <f t="shared" si="0"/>
        <v>3.2601463823018774E-3</v>
      </c>
      <c r="E15" s="214">
        <f t="shared" si="1"/>
        <v>9.3517950653345316E-5</v>
      </c>
    </row>
    <row r="16" spans="2:5" x14ac:dyDescent="0.25">
      <c r="B16" s="212" t="s">
        <v>243</v>
      </c>
      <c r="C16" s="213">
        <f>'Прил.5 Расчет СМР и ОБ'!J42</f>
        <v>1240153.92</v>
      </c>
      <c r="D16" s="214">
        <f t="shared" si="0"/>
        <v>0.65106640576003827</v>
      </c>
      <c r="E16" s="214">
        <f t="shared" si="1"/>
        <v>1.8675969992159789E-2</v>
      </c>
    </row>
    <row r="17" spans="2:7" x14ac:dyDescent="0.25">
      <c r="B17" s="212" t="s">
        <v>244</v>
      </c>
      <c r="C17" s="213">
        <f>'Прил.5 Расчет СМР и ОБ'!J78</f>
        <v>74145.159999999989</v>
      </c>
      <c r="D17" s="214">
        <f t="shared" si="0"/>
        <v>3.8925347932378389E-2</v>
      </c>
      <c r="E17" s="214">
        <f t="shared" si="1"/>
        <v>1.1165813863039567E-3</v>
      </c>
      <c r="G17" s="218"/>
    </row>
    <row r="18" spans="2:7" x14ac:dyDescent="0.25">
      <c r="B18" s="212" t="s">
        <v>245</v>
      </c>
      <c r="C18" s="213">
        <f>C17+C16</f>
        <v>1314299.0799999998</v>
      </c>
      <c r="D18" s="214">
        <f t="shared" si="0"/>
        <v>0.68999175369241661</v>
      </c>
      <c r="E18" s="214">
        <f t="shared" si="1"/>
        <v>1.9792551378463745E-2</v>
      </c>
    </row>
    <row r="19" spans="2:7" x14ac:dyDescent="0.25">
      <c r="B19" s="212" t="s">
        <v>246</v>
      </c>
      <c r="C19" s="213">
        <f>C18+C14+C11</f>
        <v>1568583.4899999998</v>
      </c>
      <c r="D19" s="214"/>
      <c r="E19" s="212"/>
    </row>
    <row r="20" spans="2:7" x14ac:dyDescent="0.25">
      <c r="B20" s="212" t="s">
        <v>247</v>
      </c>
      <c r="C20" s="213">
        <f>ROUND(C21*(C11+C15),2)</f>
        <v>114509.9</v>
      </c>
      <c r="D20" s="214">
        <f>C20/$C$24</f>
        <v>6.0116367665830873E-2</v>
      </c>
      <c r="E20" s="214">
        <f>C20/$C$40</f>
        <v>1.7244500232722873E-3</v>
      </c>
    </row>
    <row r="21" spans="2:7" x14ac:dyDescent="0.25">
      <c r="B21" s="212" t="s">
        <v>248</v>
      </c>
      <c r="C21" s="217">
        <f>'Прил.5 Расчет СМР и ОБ'!D82</f>
        <v>0.47</v>
      </c>
      <c r="D21" s="214"/>
      <c r="E21" s="212"/>
    </row>
    <row r="22" spans="2:7" x14ac:dyDescent="0.25">
      <c r="B22" s="212" t="s">
        <v>249</v>
      </c>
      <c r="C22" s="213">
        <f>ROUND(C23*(C11+C15),2)</f>
        <v>221710.65</v>
      </c>
      <c r="D22" s="214">
        <f>C22/$C$24</f>
        <v>0.1163955164647803</v>
      </c>
      <c r="E22" s="214">
        <f>C22/$C$40</f>
        <v>3.3388286563189205E-3</v>
      </c>
    </row>
    <row r="23" spans="2:7" x14ac:dyDescent="0.25">
      <c r="B23" s="212" t="s">
        <v>250</v>
      </c>
      <c r="C23" s="217">
        <f>'Прил.5 Расчет СМР и ОБ'!D81</f>
        <v>0.91</v>
      </c>
      <c r="D23" s="214"/>
      <c r="E23" s="212"/>
    </row>
    <row r="24" spans="2:7" x14ac:dyDescent="0.25">
      <c r="B24" s="212" t="s">
        <v>251</v>
      </c>
      <c r="C24" s="213">
        <f>C19+C20+C22</f>
        <v>1904804.0399999996</v>
      </c>
      <c r="D24" s="214">
        <f>C24/$C$24</f>
        <v>1</v>
      </c>
      <c r="E24" s="214">
        <f>C24/$C$40</f>
        <v>2.8685199891949485E-2</v>
      </c>
    </row>
    <row r="25" spans="2:7" ht="25.5" customHeight="1" x14ac:dyDescent="0.25">
      <c r="B25" s="212" t="s">
        <v>252</v>
      </c>
      <c r="C25" s="213">
        <f>'Прил.5 Расчет СМР и ОБ'!J37</f>
        <v>59123827.57</v>
      </c>
      <c r="D25" s="214"/>
      <c r="E25" s="214">
        <f>C25/$C$40</f>
        <v>0.89036918056022407</v>
      </c>
    </row>
    <row r="26" spans="2:7" ht="25.5" customHeight="1" x14ac:dyDescent="0.25">
      <c r="B26" s="212" t="s">
        <v>253</v>
      </c>
      <c r="C26" s="213">
        <f>'Прил.5 Расчет СМР и ОБ'!J38</f>
        <v>59123827.57</v>
      </c>
      <c r="D26" s="214"/>
      <c r="E26" s="214">
        <f>C26/$C$40</f>
        <v>0.89036918056022407</v>
      </c>
    </row>
    <row r="27" spans="2:7" x14ac:dyDescent="0.25">
      <c r="B27" s="212" t="s">
        <v>254</v>
      </c>
      <c r="C27" s="216">
        <f>C24+C25</f>
        <v>61028631.609999999</v>
      </c>
      <c r="D27" s="214"/>
      <c r="E27" s="214">
        <f>C27/$C$40</f>
        <v>0.91905438045217358</v>
      </c>
      <c r="G27" s="215"/>
    </row>
    <row r="28" spans="2:7" ht="33" customHeight="1" x14ac:dyDescent="0.25">
      <c r="B28" s="212" t="s">
        <v>255</v>
      </c>
      <c r="C28" s="212"/>
      <c r="D28" s="212"/>
      <c r="E28" s="212"/>
    </row>
    <row r="29" spans="2:7" ht="25.5" customHeight="1" x14ac:dyDescent="0.25">
      <c r="B29" s="212" t="s">
        <v>256</v>
      </c>
      <c r="C29" s="216">
        <f>ROUND(C24*3.9%,2)</f>
        <v>74287.360000000001</v>
      </c>
      <c r="D29" s="212"/>
      <c r="E29" s="214">
        <v>3.9E-2</v>
      </c>
    </row>
    <row r="30" spans="2:7" ht="38.25" customHeight="1" x14ac:dyDescent="0.25">
      <c r="B30" s="212" t="s">
        <v>257</v>
      </c>
      <c r="C30" s="216">
        <f>ROUND((C24+C29)*2.1%,2)</f>
        <v>41560.92</v>
      </c>
      <c r="D30" s="212"/>
      <c r="E30" s="214">
        <v>2.1000000000000001E-2</v>
      </c>
    </row>
    <row r="31" spans="2:7" x14ac:dyDescent="0.25">
      <c r="B31" s="212" t="s">
        <v>258</v>
      </c>
      <c r="C31" s="216">
        <v>1851057.58</v>
      </c>
      <c r="D31" s="212"/>
      <c r="E31" s="214">
        <f t="shared" ref="E31:E38" si="2">C31/$C$40</f>
        <v>2.7875810623442548E-2</v>
      </c>
    </row>
    <row r="32" spans="2:7" ht="25.5" customHeight="1" x14ac:dyDescent="0.25">
      <c r="B32" s="212" t="s">
        <v>259</v>
      </c>
      <c r="C32" s="216">
        <v>0</v>
      </c>
      <c r="D32" s="212"/>
      <c r="E32" s="214">
        <f t="shared" si="2"/>
        <v>0</v>
      </c>
    </row>
    <row r="33" spans="2:12" ht="25.5" customHeight="1" x14ac:dyDescent="0.25">
      <c r="B33" s="212" t="s">
        <v>260</v>
      </c>
      <c r="C33" s="216">
        <f>ROUND(C27*0%,2)</f>
        <v>0</v>
      </c>
      <c r="D33" s="212"/>
      <c r="E33" s="214">
        <f t="shared" si="2"/>
        <v>0</v>
      </c>
    </row>
    <row r="34" spans="2:12" ht="51" customHeight="1" x14ac:dyDescent="0.25">
      <c r="B34" s="212" t="s">
        <v>261</v>
      </c>
      <c r="C34" s="216">
        <v>0</v>
      </c>
      <c r="D34" s="212"/>
      <c r="E34" s="214">
        <f t="shared" si="2"/>
        <v>0</v>
      </c>
    </row>
    <row r="35" spans="2:12" ht="76.5" customHeight="1" x14ac:dyDescent="0.25">
      <c r="B35" s="212" t="s">
        <v>262</v>
      </c>
      <c r="C35" s="216">
        <f>ROUND(C27*0%,2)</f>
        <v>0</v>
      </c>
      <c r="D35" s="212"/>
      <c r="E35" s="214">
        <f t="shared" si="2"/>
        <v>0</v>
      </c>
    </row>
    <row r="36" spans="2:12" ht="25.5" customHeight="1" x14ac:dyDescent="0.25">
      <c r="B36" s="212" t="s">
        <v>263</v>
      </c>
      <c r="C36" s="216">
        <f>ROUND((C27+C32+C33+C34+C35+C29+C31+C30)*2.14%,2)</f>
        <v>1348104.5</v>
      </c>
      <c r="D36" s="212"/>
      <c r="E36" s="214">
        <f t="shared" si="2"/>
        <v>2.0301640612719732E-2</v>
      </c>
      <c r="G36" s="307"/>
      <c r="L36" s="215"/>
    </row>
    <row r="37" spans="2:12" x14ac:dyDescent="0.25">
      <c r="B37" s="212" t="s">
        <v>264</v>
      </c>
      <c r="C37" s="216">
        <f>ROUND((C27+C32+C33+C34+C35+C29+C31+C30)*0.2%,2)</f>
        <v>125991.07</v>
      </c>
      <c r="D37" s="212"/>
      <c r="E37" s="214">
        <f t="shared" si="2"/>
        <v>1.8973495181953733E-3</v>
      </c>
      <c r="G37" s="307"/>
      <c r="L37" s="215"/>
    </row>
    <row r="38" spans="2:12" ht="38.25" customHeight="1" x14ac:dyDescent="0.25">
      <c r="B38" s="212" t="s">
        <v>265</v>
      </c>
      <c r="C38" s="213">
        <f>C27+C32+C33+C34+C35+C29+C31+C30+C36+C37</f>
        <v>64469633.039999999</v>
      </c>
      <c r="D38" s="212"/>
      <c r="E38" s="214">
        <f t="shared" si="2"/>
        <v>0.97087378642531186</v>
      </c>
      <c r="G38" s="307"/>
    </row>
    <row r="39" spans="2:12" ht="13.5" customHeight="1" x14ac:dyDescent="0.25">
      <c r="B39" s="212" t="s">
        <v>266</v>
      </c>
      <c r="C39" s="213">
        <f>ROUND(C38*3%,2)</f>
        <v>1934088.99</v>
      </c>
      <c r="D39" s="212"/>
      <c r="E39" s="214">
        <f>C39/$C$38</f>
        <v>2.9999999981386586E-2</v>
      </c>
      <c r="G39" s="307"/>
    </row>
    <row r="40" spans="2:12" x14ac:dyDescent="0.25">
      <c r="B40" s="212" t="s">
        <v>267</v>
      </c>
      <c r="C40" s="213">
        <f>C39+C38</f>
        <v>66403722.030000001</v>
      </c>
      <c r="D40" s="212"/>
      <c r="E40" s="214">
        <f>C40/$C$40</f>
        <v>1</v>
      </c>
      <c r="G40" s="307"/>
    </row>
    <row r="41" spans="2:12" x14ac:dyDescent="0.25">
      <c r="B41" s="212" t="s">
        <v>268</v>
      </c>
      <c r="C41" s="213">
        <f>C40/'Прил.5 Расчет СМР и ОБ'!E85</f>
        <v>66403722.030000001</v>
      </c>
      <c r="D41" s="212"/>
      <c r="E41" s="212"/>
      <c r="G41" s="307"/>
    </row>
    <row r="42" spans="2:12" x14ac:dyDescent="0.25">
      <c r="B42" s="211"/>
      <c r="C42" s="210"/>
      <c r="D42" s="210"/>
      <c r="E42" s="210"/>
    </row>
    <row r="43" spans="2:12" x14ac:dyDescent="0.25">
      <c r="B43" s="211" t="s">
        <v>269</v>
      </c>
      <c r="C43" s="210"/>
      <c r="D43" s="210"/>
      <c r="E43" s="210"/>
    </row>
    <row r="44" spans="2:12" x14ac:dyDescent="0.25">
      <c r="B44" s="211" t="s">
        <v>270</v>
      </c>
      <c r="C44" s="210"/>
      <c r="D44" s="210"/>
      <c r="E44" s="210"/>
    </row>
    <row r="45" spans="2:12" x14ac:dyDescent="0.25">
      <c r="B45" s="211"/>
      <c r="C45" s="210"/>
      <c r="D45" s="210"/>
      <c r="E45" s="210"/>
    </row>
    <row r="46" spans="2:12" x14ac:dyDescent="0.25">
      <c r="B46" s="211" t="s">
        <v>271</v>
      </c>
      <c r="C46" s="210"/>
      <c r="D46" s="210"/>
      <c r="E46" s="210"/>
    </row>
    <row r="47" spans="2:12" x14ac:dyDescent="0.25">
      <c r="B47" s="349" t="s">
        <v>272</v>
      </c>
      <c r="C47" s="349"/>
      <c r="D47" s="210"/>
      <c r="E47" s="210"/>
    </row>
    <row r="49" spans="2:5" x14ac:dyDescent="0.25">
      <c r="B49" s="210"/>
      <c r="C49" s="210"/>
      <c r="D49" s="210"/>
      <c r="E49" s="210"/>
    </row>
    <row r="50" spans="2:5" x14ac:dyDescent="0.25">
      <c r="B50" s="210"/>
      <c r="C50" s="210"/>
      <c r="D50" s="210"/>
      <c r="E50" s="210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91"/>
  <sheetViews>
    <sheetView tabSelected="1" view="pageBreakPreview" topLeftCell="A61" zoomScale="40" zoomScaleSheetLayoutView="40" workbookViewId="0">
      <selection activeCell="AL111" sqref="AL11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80.28515625" style="14" customWidth="1"/>
    <col min="4" max="4" width="10.7109375" style="14" customWidth="1"/>
    <col min="5" max="6" width="14.5703125" style="14" customWidth="1"/>
    <col min="7" max="7" width="15.8554687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13.85546875" style="14" customWidth="1"/>
    <col min="13" max="13" width="9.140625" style="5"/>
  </cols>
  <sheetData>
    <row r="1" spans="1:14" s="252" customFormat="1" x14ac:dyDescent="0.25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</row>
    <row r="2" spans="1:14" s="252" customFormat="1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1:14" s="254" customFormat="1" ht="12.75" customHeight="1" x14ac:dyDescent="0.2">
      <c r="A3" s="324" t="s">
        <v>273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14" s="254" customFormat="1" ht="12.75" customHeight="1" x14ac:dyDescent="0.2">
      <c r="A4" s="253"/>
      <c r="B4" s="253"/>
      <c r="C4" s="255"/>
      <c r="D4" s="253"/>
      <c r="E4" s="253"/>
      <c r="F4" s="253"/>
      <c r="G4" s="253"/>
      <c r="H4" s="253"/>
      <c r="I4" s="253"/>
      <c r="J4" s="253"/>
    </row>
    <row r="5" spans="1:14" s="254" customFormat="1" ht="33.75" customHeight="1" x14ac:dyDescent="0.2">
      <c r="A5" s="256" t="s">
        <v>274</v>
      </c>
      <c r="B5" s="257"/>
      <c r="C5" s="257"/>
      <c r="D5" s="327" t="s">
        <v>275</v>
      </c>
      <c r="E5" s="327"/>
      <c r="F5" s="327"/>
      <c r="G5" s="327"/>
      <c r="H5" s="327"/>
      <c r="I5" s="327"/>
      <c r="J5" s="327"/>
    </row>
    <row r="6" spans="1:14" s="254" customFormat="1" ht="12.75" customHeight="1" x14ac:dyDescent="0.2">
      <c r="A6" s="327" t="s">
        <v>50</v>
      </c>
      <c r="B6" s="348"/>
      <c r="C6" s="348"/>
      <c r="D6" s="348"/>
      <c r="E6" s="348"/>
      <c r="F6" s="348"/>
      <c r="G6" s="348"/>
      <c r="H6" s="348"/>
      <c r="I6" s="258"/>
      <c r="J6" s="258"/>
    </row>
    <row r="7" spans="1:14" s="4" customFormat="1" ht="13.5" customHeight="1" x14ac:dyDescent="0.2">
      <c r="A7" s="327"/>
      <c r="B7" s="348"/>
      <c r="C7" s="348"/>
      <c r="D7" s="348"/>
      <c r="E7" s="348"/>
      <c r="F7" s="348"/>
      <c r="G7" s="348"/>
      <c r="H7" s="348"/>
    </row>
    <row r="8" spans="1:14" s="4" customFormat="1" ht="13.15" customHeight="1" x14ac:dyDescent="0.2"/>
    <row r="9" spans="1:14" s="252" customFormat="1" ht="27" customHeight="1" x14ac:dyDescent="0.25">
      <c r="A9" s="352" t="s">
        <v>13</v>
      </c>
      <c r="B9" s="352" t="s">
        <v>100</v>
      </c>
      <c r="C9" s="352" t="s">
        <v>234</v>
      </c>
      <c r="D9" s="352" t="s">
        <v>102</v>
      </c>
      <c r="E9" s="353" t="s">
        <v>276</v>
      </c>
      <c r="F9" s="350" t="s">
        <v>104</v>
      </c>
      <c r="G9" s="351"/>
      <c r="H9" s="353" t="s">
        <v>277</v>
      </c>
      <c r="I9" s="350" t="s">
        <v>278</v>
      </c>
      <c r="J9" s="351"/>
      <c r="K9" s="251"/>
      <c r="L9" s="251"/>
      <c r="M9" s="251"/>
      <c r="N9" s="251"/>
    </row>
    <row r="10" spans="1:14" s="252" customFormat="1" ht="28.5" customHeight="1" x14ac:dyDescent="0.25">
      <c r="A10" s="352"/>
      <c r="B10" s="352"/>
      <c r="C10" s="352"/>
      <c r="D10" s="352"/>
      <c r="E10" s="354"/>
      <c r="F10" s="155" t="s">
        <v>279</v>
      </c>
      <c r="G10" s="155" t="s">
        <v>106</v>
      </c>
      <c r="H10" s="354"/>
      <c r="I10" s="155" t="s">
        <v>279</v>
      </c>
      <c r="J10" s="155" t="s">
        <v>106</v>
      </c>
      <c r="K10" s="251"/>
      <c r="L10" s="251"/>
      <c r="M10" s="251"/>
      <c r="N10" s="251"/>
    </row>
    <row r="11" spans="1:14" s="252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259">
        <v>9</v>
      </c>
      <c r="J11" s="259">
        <v>10</v>
      </c>
      <c r="K11" s="251"/>
      <c r="L11" s="251"/>
      <c r="M11" s="251"/>
      <c r="N11" s="251"/>
    </row>
    <row r="12" spans="1:14" x14ac:dyDescent="0.25">
      <c r="A12" s="2"/>
      <c r="B12" s="343" t="s">
        <v>280</v>
      </c>
      <c r="C12" s="359"/>
      <c r="D12" s="352"/>
      <c r="E12" s="360"/>
      <c r="F12" s="361"/>
      <c r="G12" s="361"/>
      <c r="H12" s="362"/>
      <c r="I12" s="264"/>
      <c r="J12" s="264"/>
    </row>
    <row r="13" spans="1:14" x14ac:dyDescent="0.25">
      <c r="A13" s="2">
        <v>1</v>
      </c>
      <c r="B13" s="265" t="s">
        <v>118</v>
      </c>
      <c r="C13" s="266" t="s">
        <v>281</v>
      </c>
      <c r="D13" s="155" t="s">
        <v>282</v>
      </c>
      <c r="E13" s="267">
        <f>G13/F13</f>
        <v>518.7822580645161</v>
      </c>
      <c r="F13" s="268">
        <v>9.92</v>
      </c>
      <c r="G13" s="268">
        <f>Прил.3!H12</f>
        <v>5146.32</v>
      </c>
      <c r="H13" s="269">
        <f>G13/$G$14</f>
        <v>1</v>
      </c>
      <c r="I13" s="188">
        <f>ФОТр.тек.!E13</f>
        <v>457.66433583861999</v>
      </c>
      <c r="J13" s="188">
        <f>ROUND(I13*E13,2)</f>
        <v>237428.14</v>
      </c>
    </row>
    <row r="14" spans="1:14" s="14" customFormat="1" ht="14.25" customHeight="1" x14ac:dyDescent="0.2">
      <c r="A14" s="2"/>
      <c r="B14" s="2"/>
      <c r="C14" s="260" t="s">
        <v>283</v>
      </c>
      <c r="D14" s="2" t="s">
        <v>282</v>
      </c>
      <c r="E14" s="270">
        <f>SUM(E13:E13)</f>
        <v>518.7822580645161</v>
      </c>
      <c r="F14" s="28"/>
      <c r="G14" s="28">
        <f>SUM(G13:G13)</f>
        <v>5146.32</v>
      </c>
      <c r="H14" s="263">
        <v>1</v>
      </c>
      <c r="I14" s="264"/>
      <c r="J14" s="268">
        <f>SUM(J13:J13)</f>
        <v>237428.14</v>
      </c>
    </row>
    <row r="15" spans="1:14" s="14" customFormat="1" ht="14.25" customHeight="1" x14ac:dyDescent="0.2">
      <c r="A15" s="2"/>
      <c r="B15" s="359" t="s">
        <v>126</v>
      </c>
      <c r="C15" s="359"/>
      <c r="D15" s="352"/>
      <c r="E15" s="360"/>
      <c r="F15" s="361"/>
      <c r="G15" s="361"/>
      <c r="H15" s="362"/>
      <c r="I15" s="264"/>
      <c r="J15" s="264"/>
    </row>
    <row r="16" spans="1:14" s="14" customFormat="1" ht="14.25" customHeight="1" x14ac:dyDescent="0.2">
      <c r="A16" s="2">
        <v>2</v>
      </c>
      <c r="B16" s="2">
        <v>2</v>
      </c>
      <c r="C16" s="9" t="s">
        <v>126</v>
      </c>
      <c r="D16" s="2" t="s">
        <v>282</v>
      </c>
      <c r="E16" s="270">
        <f>Прил.3!F22</f>
        <v>13.7</v>
      </c>
      <c r="F16" s="28">
        <f>G16/E16</f>
        <v>10.234306569343067</v>
      </c>
      <c r="G16" s="28">
        <f>Прил.3!H21</f>
        <v>140.21</v>
      </c>
      <c r="H16" s="263">
        <v>1</v>
      </c>
      <c r="I16" s="188">
        <f>ROUND(F16*Прил.10!D11,2)</f>
        <v>453.28</v>
      </c>
      <c r="J16" s="188">
        <f>ROUND(I16*E16,2)</f>
        <v>6209.94</v>
      </c>
    </row>
    <row r="17" spans="1:12" s="14" customFormat="1" ht="14.25" customHeight="1" x14ac:dyDescent="0.2">
      <c r="A17" s="2"/>
      <c r="B17" s="343" t="s">
        <v>127</v>
      </c>
      <c r="C17" s="359"/>
      <c r="D17" s="352"/>
      <c r="E17" s="360"/>
      <c r="F17" s="361"/>
      <c r="G17" s="361"/>
      <c r="H17" s="362"/>
      <c r="I17" s="264"/>
      <c r="J17" s="264"/>
    </row>
    <row r="18" spans="1:12" s="14" customFormat="1" ht="14.25" customHeight="1" x14ac:dyDescent="0.2">
      <c r="A18" s="2"/>
      <c r="B18" s="359" t="s">
        <v>284</v>
      </c>
      <c r="C18" s="359"/>
      <c r="D18" s="352"/>
      <c r="E18" s="360"/>
      <c r="F18" s="361"/>
      <c r="G18" s="361"/>
      <c r="H18" s="362"/>
      <c r="I18" s="264"/>
      <c r="J18" s="264"/>
    </row>
    <row r="19" spans="1:12" s="14" customFormat="1" ht="22.5" customHeight="1" x14ac:dyDescent="0.2">
      <c r="A19" s="2">
        <v>3</v>
      </c>
      <c r="B19" s="271" t="s">
        <v>128</v>
      </c>
      <c r="C19" s="272" t="s">
        <v>129</v>
      </c>
      <c r="D19" s="273" t="s">
        <v>130</v>
      </c>
      <c r="E19" s="270">
        <v>12.2</v>
      </c>
      <c r="F19" s="274">
        <v>89.99</v>
      </c>
      <c r="G19" s="275">
        <f>ROUND(E19*F19,2)</f>
        <v>1097.8800000000001</v>
      </c>
      <c r="H19" s="276">
        <f>G19/$G$30</f>
        <v>0.87732140003196424</v>
      </c>
      <c r="I19" s="268">
        <f>ROUND(F19*Прил.10!$D$12,2)</f>
        <v>1212.17</v>
      </c>
      <c r="J19" s="268">
        <f>ROUND(I19*E19,2)</f>
        <v>14788.47</v>
      </c>
    </row>
    <row r="20" spans="1:12" s="14" customFormat="1" ht="14.25" customHeight="1" x14ac:dyDescent="0.2">
      <c r="A20" s="2">
        <v>4</v>
      </c>
      <c r="B20" s="2"/>
      <c r="C20" s="9" t="s">
        <v>285</v>
      </c>
      <c r="D20" s="2"/>
      <c r="E20" s="270"/>
      <c r="F20" s="28"/>
      <c r="G20" s="28">
        <f>SUM(G19:G19)</f>
        <v>1097.8800000000001</v>
      </c>
      <c r="H20" s="263">
        <f>G20/G30</f>
        <v>0.87732140003196424</v>
      </c>
      <c r="I20" s="277"/>
      <c r="J20" s="28">
        <f>SUM(J19:J19)</f>
        <v>14788.47</v>
      </c>
    </row>
    <row r="21" spans="1:12" s="14" customFormat="1" ht="14.25" customHeight="1" outlineLevel="1" x14ac:dyDescent="0.2">
      <c r="A21" s="2">
        <v>5</v>
      </c>
      <c r="B21" s="271" t="s">
        <v>131</v>
      </c>
      <c r="C21" s="272" t="s">
        <v>132</v>
      </c>
      <c r="D21" s="273" t="s">
        <v>130</v>
      </c>
      <c r="E21" s="270">
        <v>0.5</v>
      </c>
      <c r="F21" s="274">
        <v>115.4</v>
      </c>
      <c r="G21" s="275">
        <f t="shared" ref="G21:G28" si="0">ROUND(E21*F21,2)</f>
        <v>57.7</v>
      </c>
      <c r="H21" s="276">
        <f t="shared" ref="H21:H28" si="1">G21/$G$30</f>
        <v>4.6108358638325075E-2</v>
      </c>
      <c r="I21" s="268">
        <f>ROUND(F21*Прил.10!$D$12,2)</f>
        <v>1554.44</v>
      </c>
      <c r="J21" s="268">
        <f t="shared" ref="J21:J28" si="2">ROUND(I21*E21,2)</f>
        <v>777.22</v>
      </c>
    </row>
    <row r="22" spans="1:12" s="14" customFormat="1" ht="25.5" customHeight="1" outlineLevel="1" x14ac:dyDescent="0.2">
      <c r="A22" s="2">
        <v>6</v>
      </c>
      <c r="B22" s="271" t="s">
        <v>133</v>
      </c>
      <c r="C22" s="272" t="s">
        <v>134</v>
      </c>
      <c r="D22" s="273" t="s">
        <v>130</v>
      </c>
      <c r="E22" s="270">
        <v>0.46</v>
      </c>
      <c r="F22" s="274">
        <v>90</v>
      </c>
      <c r="G22" s="275">
        <f t="shared" si="0"/>
        <v>41.4</v>
      </c>
      <c r="H22" s="276">
        <f t="shared" si="1"/>
        <v>3.308294709924884E-2</v>
      </c>
      <c r="I22" s="268">
        <f>ROUND(F22*Прил.10!$D$12,2)</f>
        <v>1212.3</v>
      </c>
      <c r="J22" s="268">
        <f t="shared" si="2"/>
        <v>557.66</v>
      </c>
    </row>
    <row r="23" spans="1:12" s="14" customFormat="1" ht="14.25" customHeight="1" outlineLevel="1" x14ac:dyDescent="0.2">
      <c r="A23" s="2">
        <v>7</v>
      </c>
      <c r="B23" s="271" t="s">
        <v>135</v>
      </c>
      <c r="C23" s="272" t="s">
        <v>136</v>
      </c>
      <c r="D23" s="273" t="s">
        <v>130</v>
      </c>
      <c r="E23" s="270">
        <v>0.5</v>
      </c>
      <c r="F23" s="274">
        <v>65.709999999999994</v>
      </c>
      <c r="G23" s="275">
        <f t="shared" si="0"/>
        <v>32.86</v>
      </c>
      <c r="H23" s="276">
        <f t="shared" si="1"/>
        <v>2.6258590378775769E-2</v>
      </c>
      <c r="I23" s="268">
        <f>ROUND(F23*Прил.10!$D$12,2)</f>
        <v>885.11</v>
      </c>
      <c r="J23" s="268">
        <f t="shared" si="2"/>
        <v>442.56</v>
      </c>
    </row>
    <row r="24" spans="1:12" s="14" customFormat="1" ht="14.25" customHeight="1" outlineLevel="1" x14ac:dyDescent="0.2">
      <c r="A24" s="2">
        <v>8</v>
      </c>
      <c r="B24" s="271" t="s">
        <v>137</v>
      </c>
      <c r="C24" s="272" t="s">
        <v>138</v>
      </c>
      <c r="D24" s="273" t="s">
        <v>130</v>
      </c>
      <c r="E24" s="270">
        <v>1.52</v>
      </c>
      <c r="F24" s="274">
        <v>8.1</v>
      </c>
      <c r="G24" s="275">
        <f t="shared" si="0"/>
        <v>12.31</v>
      </c>
      <c r="H24" s="276">
        <f t="shared" si="1"/>
        <v>9.8369825795109472E-3</v>
      </c>
      <c r="I24" s="268">
        <f>ROUND(F24*Прил.10!$D$12,2)</f>
        <v>109.11</v>
      </c>
      <c r="J24" s="268">
        <f t="shared" si="2"/>
        <v>165.85</v>
      </c>
    </row>
    <row r="25" spans="1:12" s="14" customFormat="1" ht="14.25" customHeight="1" outlineLevel="1" x14ac:dyDescent="0.2">
      <c r="A25" s="2">
        <v>9</v>
      </c>
      <c r="B25" s="271" t="s">
        <v>139</v>
      </c>
      <c r="C25" s="272" t="s">
        <v>140</v>
      </c>
      <c r="D25" s="273" t="s">
        <v>130</v>
      </c>
      <c r="E25" s="270">
        <v>1.67</v>
      </c>
      <c r="F25" s="274">
        <v>3.28</v>
      </c>
      <c r="G25" s="275">
        <f t="shared" si="0"/>
        <v>5.48</v>
      </c>
      <c r="H25" s="276">
        <f t="shared" si="1"/>
        <v>4.379095413137286E-3</v>
      </c>
      <c r="I25" s="268">
        <f>ROUND(F25*Прил.10!$D$12,2)</f>
        <v>44.18</v>
      </c>
      <c r="J25" s="268">
        <f t="shared" si="2"/>
        <v>73.78</v>
      </c>
    </row>
    <row r="26" spans="1:12" s="14" customFormat="1" ht="14.25" customHeight="1" outlineLevel="1" x14ac:dyDescent="0.2">
      <c r="A26" s="2">
        <v>10</v>
      </c>
      <c r="B26" s="271" t="s">
        <v>141</v>
      </c>
      <c r="C26" s="272" t="s">
        <v>142</v>
      </c>
      <c r="D26" s="273" t="s">
        <v>130</v>
      </c>
      <c r="E26" s="270">
        <v>1.67</v>
      </c>
      <c r="F26" s="274">
        <v>0.9</v>
      </c>
      <c r="G26" s="275">
        <f t="shared" si="0"/>
        <v>1.5</v>
      </c>
      <c r="H26" s="276">
        <f t="shared" si="1"/>
        <v>1.1986575035959723E-3</v>
      </c>
      <c r="I26" s="268">
        <f>ROUND(F26*Прил.10!$D$12,2)</f>
        <v>12.12</v>
      </c>
      <c r="J26" s="268">
        <f t="shared" si="2"/>
        <v>20.239999999999998</v>
      </c>
    </row>
    <row r="27" spans="1:12" s="14" customFormat="1" ht="14.25" customHeight="1" outlineLevel="1" x14ac:dyDescent="0.2">
      <c r="A27" s="2">
        <v>11</v>
      </c>
      <c r="B27" s="271" t="s">
        <v>143</v>
      </c>
      <c r="C27" s="272" t="s">
        <v>144</v>
      </c>
      <c r="D27" s="273" t="s">
        <v>130</v>
      </c>
      <c r="E27" s="270">
        <v>0.46</v>
      </c>
      <c r="F27" s="274">
        <v>2.99</v>
      </c>
      <c r="G27" s="275">
        <f t="shared" si="0"/>
        <v>1.38</v>
      </c>
      <c r="H27" s="276">
        <f t="shared" si="1"/>
        <v>1.1027649033082945E-3</v>
      </c>
      <c r="I27" s="268">
        <f>ROUND(F27*Прил.10!$D$12,2)</f>
        <v>40.28</v>
      </c>
      <c r="J27" s="268">
        <f t="shared" si="2"/>
        <v>18.53</v>
      </c>
    </row>
    <row r="28" spans="1:12" s="14" customFormat="1" ht="14.25" customHeight="1" outlineLevel="1" x14ac:dyDescent="0.2">
      <c r="A28" s="2">
        <v>12</v>
      </c>
      <c r="B28" s="271" t="s">
        <v>145</v>
      </c>
      <c r="C28" s="272" t="s">
        <v>146</v>
      </c>
      <c r="D28" s="273" t="s">
        <v>130</v>
      </c>
      <c r="E28" s="270">
        <v>0.03</v>
      </c>
      <c r="F28" s="274">
        <v>29.6</v>
      </c>
      <c r="G28" s="275">
        <f t="shared" si="0"/>
        <v>0.89</v>
      </c>
      <c r="H28" s="276">
        <f t="shared" si="1"/>
        <v>7.1120345213361027E-4</v>
      </c>
      <c r="I28" s="268">
        <f>ROUND(F28*Прил.10!$D$12,2)</f>
        <v>398.71</v>
      </c>
      <c r="J28" s="268">
        <f t="shared" si="2"/>
        <v>11.96</v>
      </c>
    </row>
    <row r="29" spans="1:12" s="14" customFormat="1" ht="14.25" customHeight="1" x14ac:dyDescent="0.2">
      <c r="A29" s="2"/>
      <c r="B29" s="2"/>
      <c r="C29" s="9" t="s">
        <v>286</v>
      </c>
      <c r="D29" s="2"/>
      <c r="E29" s="261"/>
      <c r="F29" s="28"/>
      <c r="G29" s="277">
        <f>SUM(G21:G28)</f>
        <v>153.51999999999995</v>
      </c>
      <c r="H29" s="278">
        <f>G29/G30</f>
        <v>0.12267859996803575</v>
      </c>
      <c r="I29" s="279"/>
      <c r="J29" s="277">
        <f>SUM(J21:J28)</f>
        <v>2067.8000000000002</v>
      </c>
    </row>
    <row r="30" spans="1:12" s="14" customFormat="1" ht="14.25" customHeight="1" x14ac:dyDescent="0.2">
      <c r="A30" s="2"/>
      <c r="B30" s="2"/>
      <c r="C30" s="260" t="s">
        <v>287</v>
      </c>
      <c r="D30" s="2"/>
      <c r="E30" s="261"/>
      <c r="F30" s="28"/>
      <c r="G30" s="28">
        <f>G29+G20</f>
        <v>1251.4000000000001</v>
      </c>
      <c r="H30" s="280">
        <v>1</v>
      </c>
      <c r="I30" s="281"/>
      <c r="J30" s="282">
        <f>J29+J20</f>
        <v>16856.27</v>
      </c>
    </row>
    <row r="31" spans="1:12" s="14" customFormat="1" ht="14.25" customHeight="1" x14ac:dyDescent="0.2">
      <c r="A31" s="2"/>
      <c r="B31" s="366" t="s">
        <v>43</v>
      </c>
      <c r="C31" s="367"/>
      <c r="D31" s="367"/>
      <c r="E31" s="367"/>
      <c r="F31" s="367"/>
      <c r="G31" s="367"/>
      <c r="H31" s="368"/>
      <c r="I31" s="264"/>
      <c r="J31" s="264"/>
    </row>
    <row r="32" spans="1:12" x14ac:dyDescent="0.25">
      <c r="A32" s="136"/>
      <c r="B32" s="363" t="s">
        <v>288</v>
      </c>
      <c r="C32" s="364"/>
      <c r="D32" s="364"/>
      <c r="E32" s="364"/>
      <c r="F32" s="364"/>
      <c r="G32" s="364"/>
      <c r="H32" s="365"/>
      <c r="I32" s="283"/>
      <c r="J32" s="283"/>
      <c r="K32" s="284"/>
      <c r="L32" s="284"/>
    </row>
    <row r="33" spans="1:12" ht="395.25" customHeight="1" x14ac:dyDescent="0.25">
      <c r="A33" s="136">
        <v>13</v>
      </c>
      <c r="B33" s="242" t="s">
        <v>289</v>
      </c>
      <c r="C33" s="290" t="s">
        <v>148</v>
      </c>
      <c r="D33" s="306" t="s">
        <v>149</v>
      </c>
      <c r="E33" s="270">
        <v>1</v>
      </c>
      <c r="F33" s="275">
        <f>ROUND(I33/Прил.10!D14,2)</f>
        <v>9444700.8900000006</v>
      </c>
      <c r="G33" s="275">
        <f>ROUND(E33*F33,2)</f>
        <v>9444700.8900000006</v>
      </c>
      <c r="H33" s="278">
        <f>G33/$G$37</f>
        <v>1</v>
      </c>
      <c r="I33" s="268">
        <v>59123827.57</v>
      </c>
      <c r="J33" s="268">
        <f>ROUND(I33*E33,2)</f>
        <v>59123827.57</v>
      </c>
      <c r="K33" s="284"/>
      <c r="L33" s="284"/>
    </row>
    <row r="34" spans="1:12" ht="380.25" customHeight="1" x14ac:dyDescent="0.25">
      <c r="A34" s="136"/>
      <c r="B34" s="242"/>
      <c r="C34" s="290" t="s">
        <v>150</v>
      </c>
      <c r="D34" s="306"/>
      <c r="E34" s="270"/>
      <c r="F34" s="275"/>
      <c r="G34" s="275"/>
      <c r="H34" s="278"/>
      <c r="I34" s="268"/>
      <c r="J34" s="268"/>
      <c r="K34" s="284"/>
      <c r="L34" s="284"/>
    </row>
    <row r="35" spans="1:12" x14ac:dyDescent="0.25">
      <c r="A35" s="136"/>
      <c r="B35" s="136"/>
      <c r="C35" s="137" t="s">
        <v>290</v>
      </c>
      <c r="D35" s="273"/>
      <c r="E35" s="270"/>
      <c r="F35" s="138"/>
      <c r="G35" s="164">
        <f>SUM(G33:G33)</f>
        <v>9444700.8900000006</v>
      </c>
      <c r="H35" s="269">
        <f>G35/$G$37</f>
        <v>1</v>
      </c>
      <c r="I35" s="285"/>
      <c r="J35" s="164">
        <f>SUM(J33:J33)</f>
        <v>59123827.57</v>
      </c>
      <c r="K35" s="284"/>
      <c r="L35" s="284"/>
    </row>
    <row r="36" spans="1:12" x14ac:dyDescent="0.25">
      <c r="A36" s="136"/>
      <c r="B36" s="136"/>
      <c r="C36" s="137" t="s">
        <v>291</v>
      </c>
      <c r="D36" s="136"/>
      <c r="E36" s="270"/>
      <c r="F36" s="138"/>
      <c r="G36" s="164">
        <v>0</v>
      </c>
      <c r="H36" s="269">
        <f>G36/$G$37</f>
        <v>0</v>
      </c>
      <c r="I36" s="285"/>
      <c r="J36" s="164">
        <v>0</v>
      </c>
      <c r="K36" s="284"/>
      <c r="L36" s="284"/>
    </row>
    <row r="37" spans="1:12" x14ac:dyDescent="0.25">
      <c r="A37" s="136"/>
      <c r="B37" s="136"/>
      <c r="C37" s="139" t="s">
        <v>292</v>
      </c>
      <c r="D37" s="136"/>
      <c r="E37" s="286"/>
      <c r="F37" s="138"/>
      <c r="G37" s="164">
        <f>G36+G35</f>
        <v>9444700.8900000006</v>
      </c>
      <c r="H37" s="263">
        <f>H36+H35</f>
        <v>1</v>
      </c>
      <c r="I37" s="285"/>
      <c r="J37" s="164">
        <f>J36+J35</f>
        <v>59123827.57</v>
      </c>
      <c r="K37" s="284"/>
      <c r="L37" s="284"/>
    </row>
    <row r="38" spans="1:12" x14ac:dyDescent="0.25">
      <c r="A38" s="136"/>
      <c r="B38" s="136"/>
      <c r="C38" s="137" t="s">
        <v>293</v>
      </c>
      <c r="D38" s="136"/>
      <c r="E38" s="287"/>
      <c r="F38" s="138"/>
      <c r="G38" s="164">
        <f>G37</f>
        <v>9444700.8900000006</v>
      </c>
      <c r="H38" s="288"/>
      <c r="I38" s="285"/>
      <c r="J38" s="164">
        <f>J37</f>
        <v>59123827.57</v>
      </c>
      <c r="K38" s="284"/>
      <c r="L38" s="284"/>
    </row>
    <row r="39" spans="1:12" s="14" customFormat="1" ht="14.25" customHeight="1" x14ac:dyDescent="0.2">
      <c r="A39" s="136"/>
      <c r="B39" s="343" t="s">
        <v>151</v>
      </c>
      <c r="C39" s="343"/>
      <c r="D39" s="369"/>
      <c r="E39" s="370"/>
      <c r="F39" s="371"/>
      <c r="G39" s="371"/>
      <c r="H39" s="372"/>
      <c r="I39" s="264"/>
      <c r="J39" s="264"/>
    </row>
    <row r="40" spans="1:12" s="14" customFormat="1" ht="14.25" customHeight="1" x14ac:dyDescent="0.2">
      <c r="A40" s="136"/>
      <c r="B40" s="355" t="s">
        <v>294</v>
      </c>
      <c r="C40" s="355"/>
      <c r="D40" s="353"/>
      <c r="E40" s="356"/>
      <c r="F40" s="357"/>
      <c r="G40" s="357"/>
      <c r="H40" s="358"/>
      <c r="I40" s="289"/>
      <c r="J40" s="289"/>
    </row>
    <row r="41" spans="1:12" s="14" customFormat="1" ht="62.25" customHeight="1" x14ac:dyDescent="0.2">
      <c r="A41" s="136">
        <v>14</v>
      </c>
      <c r="B41" s="242" t="s">
        <v>147</v>
      </c>
      <c r="C41" s="290" t="s">
        <v>152</v>
      </c>
      <c r="D41" s="306" t="s">
        <v>153</v>
      </c>
      <c r="E41" s="270">
        <v>32</v>
      </c>
      <c r="F41" s="291">
        <v>4820.25</v>
      </c>
      <c r="G41" s="275">
        <f>ROUND(E41*F41,2)</f>
        <v>154248</v>
      </c>
      <c r="H41" s="278">
        <f t="shared" ref="H41:H79" si="3">G41/$G$79</f>
        <v>0.94358580591194607</v>
      </c>
      <c r="I41" s="268">
        <f>ROUND(F41*Прил.10!$D$13,2)</f>
        <v>38754.81</v>
      </c>
      <c r="J41" s="268">
        <f>ROUND(I41*E41,2)</f>
        <v>1240153.92</v>
      </c>
    </row>
    <row r="42" spans="1:12" s="14" customFormat="1" ht="14.25" customHeight="1" x14ac:dyDescent="0.2">
      <c r="A42" s="136"/>
      <c r="B42" s="292"/>
      <c r="C42" s="293" t="s">
        <v>295</v>
      </c>
      <c r="D42" s="294"/>
      <c r="E42" s="270"/>
      <c r="F42" s="295"/>
      <c r="G42" s="296">
        <f>SUM(G41:G41)</f>
        <v>154248</v>
      </c>
      <c r="H42" s="278">
        <f t="shared" si="3"/>
        <v>0.94358580591194607</v>
      </c>
      <c r="I42" s="268"/>
      <c r="J42" s="296">
        <f>SUM(J41:J41)</f>
        <v>1240153.92</v>
      </c>
    </row>
    <row r="43" spans="1:12" s="14" customFormat="1" ht="14.25" customHeight="1" outlineLevel="1" x14ac:dyDescent="0.2">
      <c r="A43" s="136">
        <v>15</v>
      </c>
      <c r="B43" s="242" t="s">
        <v>154</v>
      </c>
      <c r="C43" s="290" t="s">
        <v>155</v>
      </c>
      <c r="D43" s="306" t="s">
        <v>153</v>
      </c>
      <c r="E43" s="270">
        <v>0.78</v>
      </c>
      <c r="F43" s="291">
        <v>6836</v>
      </c>
      <c r="G43" s="275">
        <f t="shared" ref="G43:G77" si="4">ROUND(E43*F43,2)</f>
        <v>5332.08</v>
      </c>
      <c r="H43" s="278">
        <f t="shared" si="3"/>
        <v>3.2618089077245532E-2</v>
      </c>
      <c r="I43" s="268">
        <f>ROUND(F43*Прил.10!$D$13,2)</f>
        <v>54961.440000000002</v>
      </c>
      <c r="J43" s="268">
        <f t="shared" ref="J43:J77" si="5">ROUND(I43*E43,2)</f>
        <v>42869.919999999998</v>
      </c>
    </row>
    <row r="44" spans="1:12" s="14" customFormat="1" ht="14.25" customHeight="1" outlineLevel="1" x14ac:dyDescent="0.2">
      <c r="A44" s="136">
        <v>16</v>
      </c>
      <c r="B44" s="242" t="s">
        <v>156</v>
      </c>
      <c r="C44" s="290" t="s">
        <v>157</v>
      </c>
      <c r="D44" s="306" t="s">
        <v>158</v>
      </c>
      <c r="E44" s="270">
        <v>5.0999999999999997E-2</v>
      </c>
      <c r="F44" s="291">
        <v>50117.45</v>
      </c>
      <c r="G44" s="275">
        <f t="shared" si="4"/>
        <v>2555.9899999999998</v>
      </c>
      <c r="H44" s="278">
        <f t="shared" si="3"/>
        <v>1.5635832451979116E-2</v>
      </c>
      <c r="I44" s="268">
        <f>ROUND(F44*Прил.10!$D$13,2)</f>
        <v>402944.3</v>
      </c>
      <c r="J44" s="268">
        <f t="shared" si="5"/>
        <v>20550.16</v>
      </c>
    </row>
    <row r="45" spans="1:12" s="14" customFormat="1" ht="14.25" customHeight="1" outlineLevel="1" x14ac:dyDescent="0.2">
      <c r="A45" s="136">
        <v>17</v>
      </c>
      <c r="B45" s="242" t="s">
        <v>159</v>
      </c>
      <c r="C45" s="290" t="s">
        <v>160</v>
      </c>
      <c r="D45" s="306" t="s">
        <v>158</v>
      </c>
      <c r="E45" s="270">
        <v>8.1600000000000006E-2</v>
      </c>
      <c r="F45" s="291">
        <v>3368.45</v>
      </c>
      <c r="G45" s="275">
        <f t="shared" si="4"/>
        <v>274.87</v>
      </c>
      <c r="H45" s="278">
        <f t="shared" si="3"/>
        <v>1.6814702976441615E-3</v>
      </c>
      <c r="I45" s="268">
        <f>ROUND(F45*Прил.10!$D$13,2)</f>
        <v>27082.34</v>
      </c>
      <c r="J45" s="268">
        <f t="shared" si="5"/>
        <v>2209.92</v>
      </c>
    </row>
    <row r="46" spans="1:12" s="14" customFormat="1" ht="25.5" customHeight="1" outlineLevel="1" x14ac:dyDescent="0.2">
      <c r="A46" s="136">
        <v>18</v>
      </c>
      <c r="B46" s="242" t="s">
        <v>161</v>
      </c>
      <c r="C46" s="290" t="s">
        <v>162</v>
      </c>
      <c r="D46" s="306" t="s">
        <v>163</v>
      </c>
      <c r="E46" s="270">
        <v>5</v>
      </c>
      <c r="F46" s="291">
        <v>53.03</v>
      </c>
      <c r="G46" s="275">
        <f t="shared" si="4"/>
        <v>265.14999999999998</v>
      </c>
      <c r="H46" s="278">
        <f t="shared" si="3"/>
        <v>1.6220098570973527E-3</v>
      </c>
      <c r="I46" s="268">
        <f>ROUND(F46*Прил.10!$D$13,2)</f>
        <v>426.36</v>
      </c>
      <c r="J46" s="268">
        <f t="shared" si="5"/>
        <v>2131.8000000000002</v>
      </c>
    </row>
    <row r="47" spans="1:12" s="14" customFormat="1" ht="14.25" customHeight="1" outlineLevel="1" x14ac:dyDescent="0.2">
      <c r="A47" s="136">
        <v>19</v>
      </c>
      <c r="B47" s="242" t="s">
        <v>164</v>
      </c>
      <c r="C47" s="290" t="s">
        <v>165</v>
      </c>
      <c r="D47" s="306" t="s">
        <v>166</v>
      </c>
      <c r="E47" s="270">
        <v>1.6924999999999999</v>
      </c>
      <c r="F47" s="291">
        <v>86</v>
      </c>
      <c r="G47" s="275">
        <f t="shared" si="4"/>
        <v>145.56</v>
      </c>
      <c r="H47" s="278">
        <f t="shared" si="3"/>
        <v>8.9043844917628017E-4</v>
      </c>
      <c r="I47" s="268">
        <f>ROUND(F47*Прил.10!$D$13,2)</f>
        <v>691.44</v>
      </c>
      <c r="J47" s="268">
        <f t="shared" si="5"/>
        <v>1170.26</v>
      </c>
    </row>
    <row r="48" spans="1:12" s="14" customFormat="1" ht="14.25" customHeight="1" outlineLevel="1" x14ac:dyDescent="0.2">
      <c r="A48" s="136">
        <v>20</v>
      </c>
      <c r="B48" s="242" t="s">
        <v>167</v>
      </c>
      <c r="C48" s="290" t="s">
        <v>168</v>
      </c>
      <c r="D48" s="306" t="s">
        <v>169</v>
      </c>
      <c r="E48" s="270">
        <v>1.2E-2</v>
      </c>
      <c r="F48" s="291">
        <v>11500</v>
      </c>
      <c r="G48" s="275">
        <f t="shared" si="4"/>
        <v>138</v>
      </c>
      <c r="H48" s="278">
        <f t="shared" si="3"/>
        <v>8.4419143986209585E-4</v>
      </c>
      <c r="I48" s="268">
        <f>ROUND(F48*Прил.10!$D$13,2)</f>
        <v>92460</v>
      </c>
      <c r="J48" s="268">
        <f t="shared" si="5"/>
        <v>1109.52</v>
      </c>
    </row>
    <row r="49" spans="1:10" s="14" customFormat="1" ht="25.5" customHeight="1" outlineLevel="1" x14ac:dyDescent="0.2">
      <c r="A49" s="136">
        <v>21</v>
      </c>
      <c r="B49" s="242" t="s">
        <v>170</v>
      </c>
      <c r="C49" s="290" t="s">
        <v>171</v>
      </c>
      <c r="D49" s="306" t="s">
        <v>169</v>
      </c>
      <c r="E49" s="270">
        <v>4.2700000000000004E-3</v>
      </c>
      <c r="F49" s="291">
        <v>26932.42</v>
      </c>
      <c r="G49" s="275">
        <f t="shared" si="4"/>
        <v>115</v>
      </c>
      <c r="H49" s="278">
        <f t="shared" si="3"/>
        <v>7.0349286655174649E-4</v>
      </c>
      <c r="I49" s="268">
        <f>ROUND(F49*Прил.10!$D$13,2)</f>
        <v>216536.66</v>
      </c>
      <c r="J49" s="268">
        <f t="shared" si="5"/>
        <v>924.61</v>
      </c>
    </row>
    <row r="50" spans="1:10" s="14" customFormat="1" ht="14.25" customHeight="1" outlineLevel="1" x14ac:dyDescent="0.2">
      <c r="A50" s="136">
        <v>22</v>
      </c>
      <c r="B50" s="242" t="s">
        <v>172</v>
      </c>
      <c r="C50" s="290" t="s">
        <v>173</v>
      </c>
      <c r="D50" s="306" t="s">
        <v>174</v>
      </c>
      <c r="E50" s="270">
        <v>102.70135000000001</v>
      </c>
      <c r="F50" s="291">
        <v>1</v>
      </c>
      <c r="G50" s="275">
        <f t="shared" si="4"/>
        <v>102.7</v>
      </c>
      <c r="H50" s="278">
        <f t="shared" si="3"/>
        <v>6.2824971647708143E-4</v>
      </c>
      <c r="I50" s="268">
        <f>ROUND(F50*Прил.10!$D$13,2)</f>
        <v>8.0399999999999991</v>
      </c>
      <c r="J50" s="268">
        <f t="shared" si="5"/>
        <v>825.72</v>
      </c>
    </row>
    <row r="51" spans="1:10" s="14" customFormat="1" ht="14.25" customHeight="1" outlineLevel="1" x14ac:dyDescent="0.2">
      <c r="A51" s="136">
        <v>23</v>
      </c>
      <c r="B51" s="242" t="s">
        <v>175</v>
      </c>
      <c r="C51" s="290" t="s">
        <v>176</v>
      </c>
      <c r="D51" s="306" t="s">
        <v>169</v>
      </c>
      <c r="E51" s="270">
        <v>6.1000000000000004E-3</v>
      </c>
      <c r="F51" s="291">
        <v>12430</v>
      </c>
      <c r="G51" s="275">
        <f t="shared" si="4"/>
        <v>75.819999999999993</v>
      </c>
      <c r="H51" s="278">
        <f t="shared" si="3"/>
        <v>4.6381590558220364E-4</v>
      </c>
      <c r="I51" s="268">
        <f>ROUND(F51*Прил.10!$D$13,2)</f>
        <v>99937.2</v>
      </c>
      <c r="J51" s="268">
        <f t="shared" si="5"/>
        <v>609.62</v>
      </c>
    </row>
    <row r="52" spans="1:10" s="14" customFormat="1" ht="14.25" customHeight="1" outlineLevel="1" x14ac:dyDescent="0.2">
      <c r="A52" s="136">
        <v>24</v>
      </c>
      <c r="B52" s="242" t="s">
        <v>177</v>
      </c>
      <c r="C52" s="290" t="s">
        <v>178</v>
      </c>
      <c r="D52" s="306" t="s">
        <v>166</v>
      </c>
      <c r="E52" s="270">
        <v>1</v>
      </c>
      <c r="F52" s="291">
        <v>61.6</v>
      </c>
      <c r="G52" s="275">
        <f t="shared" si="4"/>
        <v>61.6</v>
      </c>
      <c r="H52" s="278">
        <f t="shared" si="3"/>
        <v>3.7682748330076165E-4</v>
      </c>
      <c r="I52" s="268">
        <f>ROUND(F52*Прил.10!$D$13,2)</f>
        <v>495.26</v>
      </c>
      <c r="J52" s="268">
        <f t="shared" si="5"/>
        <v>495.26</v>
      </c>
    </row>
    <row r="53" spans="1:10" s="14" customFormat="1" ht="14.25" customHeight="1" outlineLevel="1" x14ac:dyDescent="0.2">
      <c r="A53" s="136">
        <v>25</v>
      </c>
      <c r="B53" s="242" t="s">
        <v>179</v>
      </c>
      <c r="C53" s="290" t="s">
        <v>180</v>
      </c>
      <c r="D53" s="306" t="s">
        <v>169</v>
      </c>
      <c r="E53" s="270">
        <v>3.0646E-2</v>
      </c>
      <c r="F53" s="291">
        <v>729.98</v>
      </c>
      <c r="G53" s="275">
        <f t="shared" si="4"/>
        <v>22.37</v>
      </c>
      <c r="H53" s="278">
        <f t="shared" si="3"/>
        <v>1.3684465586750062E-4</v>
      </c>
      <c r="I53" s="268">
        <f>ROUND(F53*Прил.10!$D$13,2)</f>
        <v>5869.04</v>
      </c>
      <c r="J53" s="268">
        <f t="shared" si="5"/>
        <v>179.86</v>
      </c>
    </row>
    <row r="54" spans="1:10" s="14" customFormat="1" ht="25.5" customHeight="1" outlineLevel="1" x14ac:dyDescent="0.2">
      <c r="A54" s="136">
        <v>26</v>
      </c>
      <c r="B54" s="242" t="s">
        <v>181</v>
      </c>
      <c r="C54" s="290" t="s">
        <v>182</v>
      </c>
      <c r="D54" s="306" t="s">
        <v>183</v>
      </c>
      <c r="E54" s="270">
        <v>0.64880000000000004</v>
      </c>
      <c r="F54" s="291">
        <v>30.4</v>
      </c>
      <c r="G54" s="275">
        <f t="shared" si="4"/>
        <v>19.72</v>
      </c>
      <c r="H54" s="278">
        <f t="shared" si="3"/>
        <v>1.2063373329043862E-4</v>
      </c>
      <c r="I54" s="268">
        <f>ROUND(F54*Прил.10!$D$13,2)</f>
        <v>244.42</v>
      </c>
      <c r="J54" s="268">
        <f t="shared" si="5"/>
        <v>158.58000000000001</v>
      </c>
    </row>
    <row r="55" spans="1:10" s="14" customFormat="1" ht="14.25" customHeight="1" outlineLevel="1" x14ac:dyDescent="0.2">
      <c r="A55" s="136">
        <v>27</v>
      </c>
      <c r="B55" s="242" t="s">
        <v>184</v>
      </c>
      <c r="C55" s="290" t="s">
        <v>185</v>
      </c>
      <c r="D55" s="306" t="s">
        <v>183</v>
      </c>
      <c r="E55" s="270">
        <v>1.99875</v>
      </c>
      <c r="F55" s="291">
        <v>9.0399999999999991</v>
      </c>
      <c r="G55" s="275">
        <f t="shared" si="4"/>
        <v>18.07</v>
      </c>
      <c r="H55" s="278">
        <f t="shared" si="3"/>
        <v>1.1054013998773966E-4</v>
      </c>
      <c r="I55" s="268">
        <f>ROUND(F55*Прил.10!$D$13,2)</f>
        <v>72.680000000000007</v>
      </c>
      <c r="J55" s="268">
        <f t="shared" si="5"/>
        <v>145.27000000000001</v>
      </c>
    </row>
    <row r="56" spans="1:10" s="14" customFormat="1" ht="14.25" customHeight="1" outlineLevel="1" x14ac:dyDescent="0.2">
      <c r="A56" s="136">
        <v>28</v>
      </c>
      <c r="B56" s="242" t="s">
        <v>186</v>
      </c>
      <c r="C56" s="290" t="s">
        <v>187</v>
      </c>
      <c r="D56" s="306" t="s">
        <v>188</v>
      </c>
      <c r="E56" s="270">
        <v>0.4</v>
      </c>
      <c r="F56" s="291">
        <v>39</v>
      </c>
      <c r="G56" s="275">
        <f t="shared" si="4"/>
        <v>15.6</v>
      </c>
      <c r="H56" s="278">
        <f t="shared" si="3"/>
        <v>9.5430336680063006E-5</v>
      </c>
      <c r="I56" s="268">
        <f>ROUND(F56*Прил.10!$D$13,2)</f>
        <v>313.56</v>
      </c>
      <c r="J56" s="268">
        <f t="shared" si="5"/>
        <v>125.42</v>
      </c>
    </row>
    <row r="57" spans="1:10" s="14" customFormat="1" ht="14.25" customHeight="1" outlineLevel="1" x14ac:dyDescent="0.2">
      <c r="A57" s="136">
        <v>29</v>
      </c>
      <c r="B57" s="242" t="s">
        <v>189</v>
      </c>
      <c r="C57" s="290" t="s">
        <v>190</v>
      </c>
      <c r="D57" s="306" t="s">
        <v>183</v>
      </c>
      <c r="E57" s="270">
        <v>0.40649999999999997</v>
      </c>
      <c r="F57" s="291">
        <v>28.6</v>
      </c>
      <c r="G57" s="275">
        <f t="shared" si="4"/>
        <v>11.63</v>
      </c>
      <c r="H57" s="278">
        <f t="shared" si="3"/>
        <v>7.1144539460841851E-5</v>
      </c>
      <c r="I57" s="268">
        <f>ROUND(F57*Прил.10!$D$13,2)</f>
        <v>229.94</v>
      </c>
      <c r="J57" s="268">
        <f t="shared" si="5"/>
        <v>93.47</v>
      </c>
    </row>
    <row r="58" spans="1:10" s="14" customFormat="1" ht="14.25" customHeight="1" outlineLevel="1" x14ac:dyDescent="0.2">
      <c r="A58" s="136">
        <v>30</v>
      </c>
      <c r="B58" s="242" t="s">
        <v>191</v>
      </c>
      <c r="C58" s="290" t="s">
        <v>192</v>
      </c>
      <c r="D58" s="306" t="s">
        <v>163</v>
      </c>
      <c r="E58" s="270">
        <v>1.6475</v>
      </c>
      <c r="F58" s="291">
        <v>6.9</v>
      </c>
      <c r="G58" s="275">
        <f t="shared" si="4"/>
        <v>11.37</v>
      </c>
      <c r="H58" s="278">
        <f t="shared" si="3"/>
        <v>6.9554033849507458E-5</v>
      </c>
      <c r="I58" s="268">
        <f>ROUND(F58*Прил.10!$D$13,2)</f>
        <v>55.48</v>
      </c>
      <c r="J58" s="268">
        <f t="shared" si="5"/>
        <v>91.4</v>
      </c>
    </row>
    <row r="59" spans="1:10" s="14" customFormat="1" ht="14.25" customHeight="1" outlineLevel="1" x14ac:dyDescent="0.2">
      <c r="A59" s="136">
        <v>31</v>
      </c>
      <c r="B59" s="242" t="s">
        <v>193</v>
      </c>
      <c r="C59" s="290" t="s">
        <v>194</v>
      </c>
      <c r="D59" s="306" t="s">
        <v>188</v>
      </c>
      <c r="E59" s="270">
        <v>2</v>
      </c>
      <c r="F59" s="291">
        <v>4.3</v>
      </c>
      <c r="G59" s="275">
        <f t="shared" si="4"/>
        <v>8.6</v>
      </c>
      <c r="H59" s="278">
        <f t="shared" si="3"/>
        <v>5.260903175952191E-5</v>
      </c>
      <c r="I59" s="268">
        <f>ROUND(F59*Прил.10!$D$13,2)</f>
        <v>34.57</v>
      </c>
      <c r="J59" s="268">
        <f t="shared" si="5"/>
        <v>69.14</v>
      </c>
    </row>
    <row r="60" spans="1:10" s="14" customFormat="1" ht="14.25" customHeight="1" outlineLevel="1" x14ac:dyDescent="0.2">
      <c r="A60" s="136">
        <v>32</v>
      </c>
      <c r="B60" s="242" t="s">
        <v>195</v>
      </c>
      <c r="C60" s="290" t="s">
        <v>196</v>
      </c>
      <c r="D60" s="306" t="s">
        <v>169</v>
      </c>
      <c r="E60" s="270">
        <v>1.25E-4</v>
      </c>
      <c r="F60" s="291">
        <v>68050</v>
      </c>
      <c r="G60" s="275">
        <f t="shared" si="4"/>
        <v>8.51</v>
      </c>
      <c r="H60" s="278">
        <f t="shared" si="3"/>
        <v>5.2058472124829244E-5</v>
      </c>
      <c r="I60" s="268">
        <f>ROUND(F60*Прил.10!$D$13,2)</f>
        <v>547122</v>
      </c>
      <c r="J60" s="268">
        <f t="shared" si="5"/>
        <v>68.39</v>
      </c>
    </row>
    <row r="61" spans="1:10" s="14" customFormat="1" ht="14.25" customHeight="1" outlineLevel="1" x14ac:dyDescent="0.2">
      <c r="A61" s="136">
        <v>33</v>
      </c>
      <c r="B61" s="242" t="s">
        <v>197</v>
      </c>
      <c r="C61" s="290" t="s">
        <v>198</v>
      </c>
      <c r="D61" s="306" t="s">
        <v>166</v>
      </c>
      <c r="E61" s="270">
        <v>0.875</v>
      </c>
      <c r="F61" s="291">
        <v>8</v>
      </c>
      <c r="G61" s="275">
        <f t="shared" si="4"/>
        <v>7</v>
      </c>
      <c r="H61" s="278">
        <f t="shared" si="3"/>
        <v>4.2821304920541096E-5</v>
      </c>
      <c r="I61" s="268">
        <f>ROUND(F61*Прил.10!$D$13,2)</f>
        <v>64.319999999999993</v>
      </c>
      <c r="J61" s="268">
        <f t="shared" si="5"/>
        <v>56.28</v>
      </c>
    </row>
    <row r="62" spans="1:10" s="14" customFormat="1" ht="14.25" customHeight="1" outlineLevel="1" x14ac:dyDescent="0.2">
      <c r="A62" s="136">
        <v>34</v>
      </c>
      <c r="B62" s="242" t="s">
        <v>199</v>
      </c>
      <c r="C62" s="290" t="s">
        <v>200</v>
      </c>
      <c r="D62" s="306" t="s">
        <v>183</v>
      </c>
      <c r="E62" s="270">
        <v>0.56210000000000004</v>
      </c>
      <c r="F62" s="291">
        <v>10.57</v>
      </c>
      <c r="G62" s="275">
        <f t="shared" si="4"/>
        <v>5.94</v>
      </c>
      <c r="H62" s="278">
        <f t="shared" si="3"/>
        <v>3.6336935889716303E-5</v>
      </c>
      <c r="I62" s="268">
        <f>ROUND(F62*Прил.10!$D$13,2)</f>
        <v>84.98</v>
      </c>
      <c r="J62" s="268">
        <f t="shared" si="5"/>
        <v>47.77</v>
      </c>
    </row>
    <row r="63" spans="1:10" s="14" customFormat="1" ht="14.25" customHeight="1" outlineLevel="1" x14ac:dyDescent="0.2">
      <c r="A63" s="136">
        <v>35</v>
      </c>
      <c r="B63" s="242" t="s">
        <v>201</v>
      </c>
      <c r="C63" s="290" t="s">
        <v>202</v>
      </c>
      <c r="D63" s="306" t="s">
        <v>153</v>
      </c>
      <c r="E63" s="270">
        <v>0.45</v>
      </c>
      <c r="F63" s="291">
        <v>10.54</v>
      </c>
      <c r="G63" s="275">
        <f t="shared" si="4"/>
        <v>4.74</v>
      </c>
      <c r="H63" s="278">
        <f t="shared" si="3"/>
        <v>2.8996140760480682E-5</v>
      </c>
      <c r="I63" s="268">
        <f>ROUND(F63*Прил.10!$D$13,2)</f>
        <v>84.74</v>
      </c>
      <c r="J63" s="268">
        <f t="shared" si="5"/>
        <v>38.130000000000003</v>
      </c>
    </row>
    <row r="64" spans="1:10" s="14" customFormat="1" ht="14.25" customHeight="1" outlineLevel="1" x14ac:dyDescent="0.2">
      <c r="A64" s="136">
        <v>36</v>
      </c>
      <c r="B64" s="242" t="s">
        <v>203</v>
      </c>
      <c r="C64" s="290" t="s">
        <v>204</v>
      </c>
      <c r="D64" s="306" t="s">
        <v>169</v>
      </c>
      <c r="E64" s="270">
        <v>3.1E-4</v>
      </c>
      <c r="F64" s="291">
        <v>12430</v>
      </c>
      <c r="G64" s="275">
        <f t="shared" si="4"/>
        <v>3.85</v>
      </c>
      <c r="H64" s="278">
        <f t="shared" si="3"/>
        <v>2.3551717706297603E-5</v>
      </c>
      <c r="I64" s="268">
        <f>ROUND(F64*Прил.10!$D$13,2)</f>
        <v>99937.2</v>
      </c>
      <c r="J64" s="268">
        <f t="shared" si="5"/>
        <v>30.98</v>
      </c>
    </row>
    <row r="65" spans="1:10" s="14" customFormat="1" ht="25.5" customHeight="1" outlineLevel="1" x14ac:dyDescent="0.2">
      <c r="A65" s="136">
        <v>37</v>
      </c>
      <c r="B65" s="242" t="s">
        <v>205</v>
      </c>
      <c r="C65" s="290" t="s">
        <v>206</v>
      </c>
      <c r="D65" s="306" t="s">
        <v>166</v>
      </c>
      <c r="E65" s="270">
        <v>1.6319999999999999</v>
      </c>
      <c r="F65" s="291">
        <v>2</v>
      </c>
      <c r="G65" s="275">
        <f t="shared" si="4"/>
        <v>3.26</v>
      </c>
      <c r="H65" s="278">
        <f t="shared" si="3"/>
        <v>1.9942493434423421E-5</v>
      </c>
      <c r="I65" s="268">
        <f>ROUND(F65*Прил.10!$D$13,2)</f>
        <v>16.079999999999998</v>
      </c>
      <c r="J65" s="268">
        <f t="shared" si="5"/>
        <v>26.24</v>
      </c>
    </row>
    <row r="66" spans="1:10" s="14" customFormat="1" ht="14.25" customHeight="1" outlineLevel="1" x14ac:dyDescent="0.2">
      <c r="A66" s="136">
        <v>38</v>
      </c>
      <c r="B66" s="242" t="s">
        <v>207</v>
      </c>
      <c r="C66" s="290" t="s">
        <v>208</v>
      </c>
      <c r="D66" s="306" t="s">
        <v>169</v>
      </c>
      <c r="E66" s="270">
        <v>3.6000000000000002E-4</v>
      </c>
      <c r="F66" s="291">
        <v>7826.9</v>
      </c>
      <c r="G66" s="275">
        <f t="shared" si="4"/>
        <v>2.82</v>
      </c>
      <c r="H66" s="278">
        <f t="shared" si="3"/>
        <v>1.7250868553703696E-5</v>
      </c>
      <c r="I66" s="268">
        <f>ROUND(F66*Прил.10!$D$13,2)</f>
        <v>62928.28</v>
      </c>
      <c r="J66" s="268">
        <f t="shared" si="5"/>
        <v>22.65</v>
      </c>
    </row>
    <row r="67" spans="1:10" s="14" customFormat="1" ht="14.25" customHeight="1" outlineLevel="1" x14ac:dyDescent="0.2">
      <c r="A67" s="136">
        <v>39</v>
      </c>
      <c r="B67" s="242" t="s">
        <v>209</v>
      </c>
      <c r="C67" s="290" t="s">
        <v>210</v>
      </c>
      <c r="D67" s="306" t="s">
        <v>166</v>
      </c>
      <c r="E67" s="270">
        <v>0.03</v>
      </c>
      <c r="F67" s="291">
        <v>83</v>
      </c>
      <c r="G67" s="275">
        <f t="shared" si="4"/>
        <v>2.4900000000000002</v>
      </c>
      <c r="H67" s="278">
        <f t="shared" si="3"/>
        <v>1.5232149893163905E-5</v>
      </c>
      <c r="I67" s="268">
        <f>ROUND(F67*Прил.10!$D$13,2)</f>
        <v>667.32</v>
      </c>
      <c r="J67" s="268">
        <f t="shared" si="5"/>
        <v>20.02</v>
      </c>
    </row>
    <row r="68" spans="1:10" s="14" customFormat="1" ht="14.25" customHeight="1" outlineLevel="1" x14ac:dyDescent="0.2">
      <c r="A68" s="136">
        <v>40</v>
      </c>
      <c r="B68" s="242" t="s">
        <v>211</v>
      </c>
      <c r="C68" s="290" t="s">
        <v>212</v>
      </c>
      <c r="D68" s="306" t="s">
        <v>183</v>
      </c>
      <c r="E68" s="270">
        <v>5.6000000000000001E-2</v>
      </c>
      <c r="F68" s="291">
        <v>35.630000000000003</v>
      </c>
      <c r="G68" s="275">
        <f t="shared" si="4"/>
        <v>2</v>
      </c>
      <c r="H68" s="278">
        <f t="shared" si="3"/>
        <v>1.2234658548726026E-5</v>
      </c>
      <c r="I68" s="268">
        <f>ROUND(F68*Прил.10!$D$13,2)</f>
        <v>286.47000000000003</v>
      </c>
      <c r="J68" s="268">
        <f t="shared" si="5"/>
        <v>16.04</v>
      </c>
    </row>
    <row r="69" spans="1:10" s="14" customFormat="1" ht="14.25" customHeight="1" outlineLevel="1" x14ac:dyDescent="0.2">
      <c r="A69" s="136">
        <v>41</v>
      </c>
      <c r="B69" s="242" t="s">
        <v>213</v>
      </c>
      <c r="C69" s="290" t="s">
        <v>214</v>
      </c>
      <c r="D69" s="306" t="s">
        <v>183</v>
      </c>
      <c r="E69" s="270">
        <v>3.5999999999999997E-2</v>
      </c>
      <c r="F69" s="291">
        <v>44.97</v>
      </c>
      <c r="G69" s="275">
        <f t="shared" si="4"/>
        <v>1.62</v>
      </c>
      <c r="H69" s="278">
        <f t="shared" si="3"/>
        <v>9.9100734244680826E-6</v>
      </c>
      <c r="I69" s="268">
        <f>ROUND(F69*Прил.10!$D$13,2)</f>
        <v>361.56</v>
      </c>
      <c r="J69" s="268">
        <f t="shared" si="5"/>
        <v>13.02</v>
      </c>
    </row>
    <row r="70" spans="1:10" s="14" customFormat="1" ht="25.5" customHeight="1" outlineLevel="1" x14ac:dyDescent="0.2">
      <c r="A70" s="136">
        <v>42</v>
      </c>
      <c r="B70" s="242" t="s">
        <v>215</v>
      </c>
      <c r="C70" s="290" t="s">
        <v>216</v>
      </c>
      <c r="D70" s="306" t="s">
        <v>169</v>
      </c>
      <c r="E70" s="270">
        <v>2.9999999999999997E-4</v>
      </c>
      <c r="F70" s="291">
        <v>5000</v>
      </c>
      <c r="G70" s="275">
        <f t="shared" si="4"/>
        <v>1.5</v>
      </c>
      <c r="H70" s="278">
        <f t="shared" si="3"/>
        <v>9.1759939115445206E-6</v>
      </c>
      <c r="I70" s="268">
        <f>ROUND(F70*Прил.10!$D$13,2)</f>
        <v>40200</v>
      </c>
      <c r="J70" s="268">
        <f t="shared" si="5"/>
        <v>12.06</v>
      </c>
    </row>
    <row r="71" spans="1:10" s="14" customFormat="1" ht="14.25" customHeight="1" outlineLevel="1" x14ac:dyDescent="0.2">
      <c r="A71" s="136">
        <v>43</v>
      </c>
      <c r="B71" s="242" t="s">
        <v>217</v>
      </c>
      <c r="C71" s="290" t="s">
        <v>218</v>
      </c>
      <c r="D71" s="306" t="s">
        <v>169</v>
      </c>
      <c r="E71" s="270">
        <v>2.0000000000000002E-5</v>
      </c>
      <c r="F71" s="291">
        <v>65750</v>
      </c>
      <c r="G71" s="275">
        <f t="shared" si="4"/>
        <v>1.32</v>
      </c>
      <c r="H71" s="278">
        <f t="shared" si="3"/>
        <v>8.0748746421591775E-6</v>
      </c>
      <c r="I71" s="268">
        <f>ROUND(F71*Прил.10!$D$13,2)</f>
        <v>528630</v>
      </c>
      <c r="J71" s="268">
        <f t="shared" si="5"/>
        <v>10.57</v>
      </c>
    </row>
    <row r="72" spans="1:10" s="14" customFormat="1" ht="14.25" customHeight="1" outlineLevel="1" x14ac:dyDescent="0.2">
      <c r="A72" s="136">
        <v>44</v>
      </c>
      <c r="B72" s="242" t="s">
        <v>219</v>
      </c>
      <c r="C72" s="290" t="s">
        <v>220</v>
      </c>
      <c r="D72" s="306" t="s">
        <v>221</v>
      </c>
      <c r="E72" s="270">
        <v>4.0800000000000003E-3</v>
      </c>
      <c r="F72" s="291">
        <v>270</v>
      </c>
      <c r="G72" s="275">
        <f t="shared" si="4"/>
        <v>1.1000000000000001</v>
      </c>
      <c r="H72" s="278">
        <f t="shared" si="3"/>
        <v>6.7290622017993154E-6</v>
      </c>
      <c r="I72" s="268">
        <f>ROUND(F72*Прил.10!$D$13,2)</f>
        <v>2170.8000000000002</v>
      </c>
      <c r="J72" s="268">
        <f t="shared" si="5"/>
        <v>8.86</v>
      </c>
    </row>
    <row r="73" spans="1:10" s="14" customFormat="1" ht="14.25" customHeight="1" outlineLevel="1" x14ac:dyDescent="0.2">
      <c r="A73" s="136">
        <v>45</v>
      </c>
      <c r="B73" s="242" t="s">
        <v>222</v>
      </c>
      <c r="C73" s="290" t="s">
        <v>223</v>
      </c>
      <c r="D73" s="306" t="s">
        <v>183</v>
      </c>
      <c r="E73" s="270">
        <v>8.0000000000000002E-3</v>
      </c>
      <c r="F73" s="291">
        <v>133.05000000000001</v>
      </c>
      <c r="G73" s="275">
        <f t="shared" si="4"/>
        <v>1.06</v>
      </c>
      <c r="H73" s="278">
        <f t="shared" si="3"/>
        <v>6.4843690308247947E-6</v>
      </c>
      <c r="I73" s="268">
        <f>ROUND(F73*Прил.10!$D$13,2)</f>
        <v>1069.72</v>
      </c>
      <c r="J73" s="268">
        <f t="shared" si="5"/>
        <v>8.56</v>
      </c>
    </row>
    <row r="74" spans="1:10" s="14" customFormat="1" ht="14.25" customHeight="1" outlineLevel="1" x14ac:dyDescent="0.2">
      <c r="A74" s="136">
        <v>46</v>
      </c>
      <c r="B74" s="242" t="s">
        <v>224</v>
      </c>
      <c r="C74" s="290" t="s">
        <v>225</v>
      </c>
      <c r="D74" s="306" t="s">
        <v>153</v>
      </c>
      <c r="E74" s="270">
        <v>0.09</v>
      </c>
      <c r="F74" s="291">
        <v>5</v>
      </c>
      <c r="G74" s="275">
        <f t="shared" si="4"/>
        <v>0.45</v>
      </c>
      <c r="H74" s="278">
        <f t="shared" si="3"/>
        <v>2.752798173463356E-6</v>
      </c>
      <c r="I74" s="268">
        <f>ROUND(F74*Прил.10!$D$13,2)</f>
        <v>40.200000000000003</v>
      </c>
      <c r="J74" s="268">
        <f t="shared" si="5"/>
        <v>3.62</v>
      </c>
    </row>
    <row r="75" spans="1:10" s="14" customFormat="1" ht="14.25" customHeight="1" outlineLevel="1" x14ac:dyDescent="0.2">
      <c r="A75" s="136">
        <v>47</v>
      </c>
      <c r="B75" s="242" t="s">
        <v>226</v>
      </c>
      <c r="C75" s="290" t="s">
        <v>227</v>
      </c>
      <c r="D75" s="306" t="s">
        <v>183</v>
      </c>
      <c r="E75" s="270">
        <v>1.6E-2</v>
      </c>
      <c r="F75" s="291">
        <v>11.5</v>
      </c>
      <c r="G75" s="275">
        <f t="shared" si="4"/>
        <v>0.18</v>
      </c>
      <c r="H75" s="278">
        <f t="shared" si="3"/>
        <v>1.1011192693853424E-6</v>
      </c>
      <c r="I75" s="268">
        <f>ROUND(F75*Прил.10!$D$13,2)</f>
        <v>92.46</v>
      </c>
      <c r="J75" s="268">
        <f t="shared" si="5"/>
        <v>1.48</v>
      </c>
    </row>
    <row r="76" spans="1:10" s="14" customFormat="1" ht="14.25" customHeight="1" outlineLevel="1" x14ac:dyDescent="0.2">
      <c r="A76" s="136">
        <v>48</v>
      </c>
      <c r="B76" s="242" t="s">
        <v>228</v>
      </c>
      <c r="C76" s="290" t="s">
        <v>229</v>
      </c>
      <c r="D76" s="306" t="s">
        <v>183</v>
      </c>
      <c r="E76" s="270">
        <v>1.6000000000000001E-3</v>
      </c>
      <c r="F76" s="291">
        <v>27.74</v>
      </c>
      <c r="G76" s="275">
        <f t="shared" si="4"/>
        <v>0.04</v>
      </c>
      <c r="H76" s="278">
        <f t="shared" si="3"/>
        <v>2.4469317097452053E-7</v>
      </c>
      <c r="I76" s="268">
        <f>ROUND(F76*Прил.10!$D$13,2)</f>
        <v>223.03</v>
      </c>
      <c r="J76" s="268">
        <f t="shared" si="5"/>
        <v>0.36</v>
      </c>
    </row>
    <row r="77" spans="1:10" s="14" customFormat="1" ht="14.25" customHeight="1" outlineLevel="1" x14ac:dyDescent="0.2">
      <c r="A77" s="136">
        <v>49</v>
      </c>
      <c r="B77" s="242" t="s">
        <v>230</v>
      </c>
      <c r="C77" s="290" t="s">
        <v>231</v>
      </c>
      <c r="D77" s="306" t="s">
        <v>169</v>
      </c>
      <c r="E77" s="270">
        <v>1.9999999999999999E-6</v>
      </c>
      <c r="F77" s="291">
        <v>12430</v>
      </c>
      <c r="G77" s="275">
        <f t="shared" si="4"/>
        <v>0.02</v>
      </c>
      <c r="H77" s="278">
        <f t="shared" si="3"/>
        <v>1.2234658548726026E-7</v>
      </c>
      <c r="I77" s="268">
        <f>ROUND(F77*Прил.10!$D$13,2)</f>
        <v>99937.2</v>
      </c>
      <c r="J77" s="268">
        <f t="shared" si="5"/>
        <v>0.2</v>
      </c>
    </row>
    <row r="78" spans="1:10" s="14" customFormat="1" ht="14.25" customHeight="1" x14ac:dyDescent="0.2">
      <c r="A78" s="297"/>
      <c r="B78" s="2"/>
      <c r="C78" s="9" t="s">
        <v>296</v>
      </c>
      <c r="D78" s="2"/>
      <c r="E78" s="261"/>
      <c r="F78" s="262"/>
      <c r="G78" s="296">
        <f>SUM(G43:G77)</f>
        <v>9222.0300000000043</v>
      </c>
      <c r="H78" s="278">
        <f t="shared" si="3"/>
        <v>5.6414194088053968E-2</v>
      </c>
      <c r="I78" s="28"/>
      <c r="J78" s="296">
        <f>SUM(J43:J77)</f>
        <v>74145.159999999989</v>
      </c>
    </row>
    <row r="79" spans="1:10" s="14" customFormat="1" ht="14.25" customHeight="1" x14ac:dyDescent="0.2">
      <c r="A79" s="2"/>
      <c r="B79" s="2"/>
      <c r="C79" s="260" t="s">
        <v>297</v>
      </c>
      <c r="D79" s="2"/>
      <c r="E79" s="261"/>
      <c r="F79" s="262"/>
      <c r="G79" s="28">
        <f>G42+G78</f>
        <v>163470.03</v>
      </c>
      <c r="H79" s="278">
        <f t="shared" si="3"/>
        <v>1</v>
      </c>
      <c r="I79" s="28"/>
      <c r="J79" s="28">
        <f>J42+J78</f>
        <v>1314299.0799999998</v>
      </c>
    </row>
    <row r="80" spans="1:10" s="14" customFormat="1" ht="14.25" customHeight="1" x14ac:dyDescent="0.2">
      <c r="A80" s="2"/>
      <c r="B80" s="2"/>
      <c r="C80" s="9" t="s">
        <v>298</v>
      </c>
      <c r="D80" s="2"/>
      <c r="E80" s="261"/>
      <c r="F80" s="262"/>
      <c r="G80" s="28">
        <f>G14+G30+G79</f>
        <v>169867.75</v>
      </c>
      <c r="H80" s="263"/>
      <c r="I80" s="28"/>
      <c r="J80" s="28">
        <f>J14+J30+J79</f>
        <v>1568583.4899999998</v>
      </c>
    </row>
    <row r="81" spans="1:10" s="14" customFormat="1" ht="14.25" customHeight="1" x14ac:dyDescent="0.2">
      <c r="A81" s="2"/>
      <c r="B81" s="2"/>
      <c r="C81" s="9" t="s">
        <v>299</v>
      </c>
      <c r="D81" s="298">
        <f>ROUND(G81/(G$16+$G$14),2)</f>
        <v>0.91</v>
      </c>
      <c r="E81" s="261"/>
      <c r="F81" s="262"/>
      <c r="G81" s="28">
        <v>4802.8999999999996</v>
      </c>
      <c r="H81" s="263"/>
      <c r="I81" s="28"/>
      <c r="J81" s="268">
        <f>ROUND(D81*(J14+J16),2)</f>
        <v>221710.65</v>
      </c>
    </row>
    <row r="82" spans="1:10" s="14" customFormat="1" ht="14.25" customHeight="1" x14ac:dyDescent="0.2">
      <c r="A82" s="2"/>
      <c r="B82" s="2"/>
      <c r="C82" s="9" t="s">
        <v>300</v>
      </c>
      <c r="D82" s="298">
        <f>ROUND(G82/(G$14+G$16),2)</f>
        <v>0.47</v>
      </c>
      <c r="E82" s="261"/>
      <c r="F82" s="262"/>
      <c r="G82" s="28">
        <v>2463.98</v>
      </c>
      <c r="H82" s="263"/>
      <c r="I82" s="28"/>
      <c r="J82" s="268">
        <f>ROUND(D82*(J14+J16),2)</f>
        <v>114509.9</v>
      </c>
    </row>
    <row r="83" spans="1:10" s="14" customFormat="1" ht="14.25" customHeight="1" x14ac:dyDescent="0.2">
      <c r="A83" s="2"/>
      <c r="B83" s="2"/>
      <c r="C83" s="9" t="s">
        <v>301</v>
      </c>
      <c r="D83" s="2"/>
      <c r="E83" s="261"/>
      <c r="F83" s="262"/>
      <c r="G83" s="28">
        <f>G14+G30+G79+G81+G82</f>
        <v>177134.63</v>
      </c>
      <c r="H83" s="263"/>
      <c r="I83" s="28"/>
      <c r="J83" s="28">
        <f>J14+J30+J79+J81+J82</f>
        <v>1904804.0399999996</v>
      </c>
    </row>
    <row r="84" spans="1:10" s="14" customFormat="1" ht="14.25" customHeight="1" x14ac:dyDescent="0.2">
      <c r="A84" s="2"/>
      <c r="B84" s="2"/>
      <c r="C84" s="9" t="s">
        <v>302</v>
      </c>
      <c r="D84" s="2"/>
      <c r="E84" s="261"/>
      <c r="F84" s="262"/>
      <c r="G84" s="28">
        <f>G83+G37</f>
        <v>9621835.5200000014</v>
      </c>
      <c r="H84" s="263"/>
      <c r="I84" s="28"/>
      <c r="J84" s="28">
        <f>J83+J37</f>
        <v>61028631.609999999</v>
      </c>
    </row>
    <row r="85" spans="1:10" s="14" customFormat="1" ht="34.5" customHeight="1" x14ac:dyDescent="0.2">
      <c r="A85" s="2"/>
      <c r="B85" s="2"/>
      <c r="C85" s="9" t="s">
        <v>268</v>
      </c>
      <c r="D85" s="2" t="s">
        <v>303</v>
      </c>
      <c r="E85" s="299">
        <v>1</v>
      </c>
      <c r="F85" s="262"/>
      <c r="G85" s="28">
        <f>G84/E85</f>
        <v>9621835.5200000014</v>
      </c>
      <c r="H85" s="263"/>
      <c r="I85" s="28"/>
      <c r="J85" s="28">
        <f>J84/E85</f>
        <v>61028631.609999999</v>
      </c>
    </row>
    <row r="87" spans="1:10" s="14" customFormat="1" ht="14.25" customHeight="1" x14ac:dyDescent="0.2">
      <c r="A87" s="4" t="s">
        <v>304</v>
      </c>
    </row>
    <row r="88" spans="1:10" s="14" customFormat="1" ht="14.25" customHeight="1" x14ac:dyDescent="0.2">
      <c r="A88" s="29" t="s">
        <v>77</v>
      </c>
    </row>
    <row r="89" spans="1:10" s="14" customFormat="1" ht="14.25" customHeight="1" x14ac:dyDescent="0.2">
      <c r="A89" s="4"/>
    </row>
    <row r="90" spans="1:10" s="14" customFormat="1" ht="14.25" customHeight="1" x14ac:dyDescent="0.2">
      <c r="A90" s="4" t="s">
        <v>305</v>
      </c>
    </row>
    <row r="91" spans="1:10" s="14" customFormat="1" ht="14.25" customHeight="1" x14ac:dyDescent="0.2">
      <c r="A91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40:H40"/>
    <mergeCell ref="B12:H12"/>
    <mergeCell ref="B15:H15"/>
    <mergeCell ref="B17:H17"/>
    <mergeCell ref="B18:H18"/>
    <mergeCell ref="B32:H32"/>
    <mergeCell ref="B31:H31"/>
    <mergeCell ref="B39:H39"/>
    <mergeCell ref="A6:H6"/>
    <mergeCell ref="I9:J9"/>
    <mergeCell ref="A7:H7"/>
    <mergeCell ref="A9:A10"/>
    <mergeCell ref="B9:B10"/>
    <mergeCell ref="C9:C10"/>
    <mergeCell ref="D9:D10"/>
    <mergeCell ref="E9:E10"/>
    <mergeCell ref="F9:G9"/>
    <mergeCell ref="H9:H10"/>
    <mergeCell ref="A3:J3"/>
    <mergeCell ref="D5:J5"/>
  </mergeCells>
  <pageMargins left="0.70866141732283505" right="0.70866141732283505" top="0.74803149606299202" bottom="0.74803149606299202" header="0.31496062992126" footer="0.31496062992126"/>
  <pageSetup paperSize="9" scale="6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13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3" t="s">
        <v>306</v>
      </c>
      <c r="B1" s="373"/>
      <c r="C1" s="373"/>
      <c r="D1" s="373"/>
      <c r="E1" s="373"/>
      <c r="F1" s="373"/>
      <c r="G1" s="373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4" t="s">
        <v>307</v>
      </c>
      <c r="B3" s="324"/>
      <c r="C3" s="324"/>
      <c r="D3" s="324"/>
      <c r="E3" s="324"/>
      <c r="F3" s="324"/>
      <c r="G3" s="324"/>
    </row>
    <row r="4" spans="1:7" ht="25.5" customHeight="1" x14ac:dyDescent="0.25">
      <c r="A4" s="327" t="s">
        <v>48</v>
      </c>
      <c r="B4" s="327"/>
      <c r="C4" s="327"/>
      <c r="D4" s="327"/>
      <c r="E4" s="327"/>
      <c r="F4" s="327"/>
      <c r="G4" s="327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" customHeight="1" x14ac:dyDescent="0.25">
      <c r="A6" s="378" t="s">
        <v>13</v>
      </c>
      <c r="B6" s="378" t="s">
        <v>100</v>
      </c>
      <c r="C6" s="378" t="s">
        <v>234</v>
      </c>
      <c r="D6" s="378" t="s">
        <v>102</v>
      </c>
      <c r="E6" s="353" t="s">
        <v>276</v>
      </c>
      <c r="F6" s="378" t="s">
        <v>104</v>
      </c>
      <c r="G6" s="378"/>
    </row>
    <row r="7" spans="1:7" x14ac:dyDescent="0.25">
      <c r="A7" s="378"/>
      <c r="B7" s="378"/>
      <c r="C7" s="378"/>
      <c r="D7" s="378"/>
      <c r="E7" s="354"/>
      <c r="F7" s="136" t="s">
        <v>279</v>
      </c>
      <c r="G7" s="136" t="s">
        <v>106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74" t="s">
        <v>308</v>
      </c>
      <c r="C9" s="375"/>
      <c r="D9" s="375"/>
      <c r="E9" s="375"/>
      <c r="F9" s="375"/>
      <c r="G9" s="376"/>
    </row>
    <row r="10" spans="1:7" ht="27" customHeight="1" x14ac:dyDescent="0.25">
      <c r="A10" s="136"/>
      <c r="B10" s="139"/>
      <c r="C10" s="137" t="s">
        <v>309</v>
      </c>
      <c r="D10" s="139"/>
      <c r="E10" s="142"/>
      <c r="F10" s="138"/>
      <c r="G10" s="138">
        <v>0</v>
      </c>
    </row>
    <row r="11" spans="1:7" x14ac:dyDescent="0.25">
      <c r="A11" s="136"/>
      <c r="B11" s="359" t="s">
        <v>310</v>
      </c>
      <c r="C11" s="359"/>
      <c r="D11" s="359"/>
      <c r="E11" s="377"/>
      <c r="F11" s="361"/>
      <c r="G11" s="361"/>
    </row>
    <row r="12" spans="1:7" ht="409.5" customHeight="1" x14ac:dyDescent="0.25">
      <c r="A12" s="136">
        <v>1</v>
      </c>
      <c r="B12" s="300" t="str">
        <f>'Прил.5 Расчет СМР и ОБ'!B33</f>
        <v>Прайс из  СД ОП</v>
      </c>
      <c r="C12" s="300" t="str">
        <f>'Прил.5 Расчет СМР и ОБ'!C33</f>
        <v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v>
      </c>
      <c r="D12" s="242" t="str">
        <f>'Прил.5 Расчет СМР и ОБ'!D33</f>
        <v>комплект</v>
      </c>
      <c r="E12" s="242">
        <f>'Прил.5 Расчет СМР и ОБ'!E33</f>
        <v>1</v>
      </c>
      <c r="F12" s="188">
        <f>'Прил.5 Расчет СМР и ОБ'!F33</f>
        <v>9444700.8900000006</v>
      </c>
      <c r="G12" s="188">
        <f>ROUND(E12*F12,2)</f>
        <v>9444700.8900000006</v>
      </c>
    </row>
    <row r="13" spans="1:7" ht="25.5" customHeight="1" x14ac:dyDescent="0.25">
      <c r="A13" s="136"/>
      <c r="B13" s="137"/>
      <c r="C13" s="137" t="s">
        <v>311</v>
      </c>
      <c r="D13" s="137"/>
      <c r="E13" s="143"/>
      <c r="F13" s="138"/>
      <c r="G13" s="164">
        <f>SUM(G12:G12)</f>
        <v>9444700.8900000006</v>
      </c>
    </row>
    <row r="14" spans="1:7" ht="19.5" customHeight="1" x14ac:dyDescent="0.25">
      <c r="A14" s="136"/>
      <c r="B14" s="137"/>
      <c r="C14" s="137" t="s">
        <v>312</v>
      </c>
      <c r="D14" s="137"/>
      <c r="E14" s="143"/>
      <c r="F14" s="138"/>
      <c r="G14" s="164">
        <f>G10+G13</f>
        <v>9444700.8900000006</v>
      </c>
    </row>
    <row r="15" spans="1:7" x14ac:dyDescent="0.25">
      <c r="A15" s="144"/>
      <c r="B15" s="145"/>
      <c r="C15" s="144"/>
      <c r="D15" s="144"/>
      <c r="E15" s="144"/>
      <c r="F15" s="144"/>
      <c r="G15" s="144"/>
    </row>
    <row r="16" spans="1:7" x14ac:dyDescent="0.25">
      <c r="A16" s="4" t="s">
        <v>313</v>
      </c>
      <c r="B16" s="14"/>
      <c r="C16" s="14"/>
      <c r="D16" s="144"/>
      <c r="E16" s="144"/>
      <c r="F16" s="144"/>
      <c r="G16" s="144"/>
    </row>
    <row r="17" spans="1:7" x14ac:dyDescent="0.25">
      <c r="A17" s="29" t="s">
        <v>77</v>
      </c>
      <c r="B17" s="14"/>
      <c r="C17" s="14"/>
      <c r="D17" s="144"/>
      <c r="E17" s="144"/>
      <c r="F17" s="144"/>
      <c r="G17" s="144"/>
    </row>
    <row r="18" spans="1:7" x14ac:dyDescent="0.25">
      <c r="A18" s="4"/>
      <c r="B18" s="14"/>
      <c r="C18" s="14"/>
      <c r="D18" s="144"/>
      <c r="E18" s="144"/>
      <c r="F18" s="144"/>
      <c r="G18" s="144"/>
    </row>
    <row r="19" spans="1:7" x14ac:dyDescent="0.25">
      <c r="A19" s="4" t="s">
        <v>305</v>
      </c>
      <c r="B19" s="14"/>
      <c r="C19" s="14"/>
      <c r="D19" s="144"/>
      <c r="E19" s="144"/>
      <c r="F19" s="144"/>
      <c r="G19" s="144"/>
    </row>
    <row r="20" spans="1:7" x14ac:dyDescent="0.25">
      <c r="A20" s="29" t="s">
        <v>79</v>
      </c>
      <c r="B20" s="14"/>
      <c r="C20" s="14"/>
      <c r="D20" s="144"/>
      <c r="E20" s="144"/>
      <c r="F20" s="144"/>
      <c r="G20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2023-11-25T09:25:30Z</cp:lastPrinted>
  <dcterms:created xsi:type="dcterms:W3CDTF">2020-09-30T08:50:27Z</dcterms:created>
  <dcterms:modified xsi:type="dcterms:W3CDTF">2023-11-25T09:25:50Z</dcterms:modified>
  <cp:category/>
</cp:coreProperties>
</file>