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F9C4435-5314-4992-8516-6519A22C6507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Прил.3!$A$1:$H$51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J51" i="8"/>
  <c r="I51" i="8"/>
  <c r="G51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J44" i="8"/>
  <c r="J45" i="8" s="1"/>
  <c r="I44" i="8"/>
  <c r="G44" i="8"/>
  <c r="G45" i="8" s="1"/>
  <c r="I38" i="8"/>
  <c r="J38" i="8" s="1"/>
  <c r="F38" i="8"/>
  <c r="G38" i="8" s="1"/>
  <c r="I37" i="8"/>
  <c r="J37" i="8" s="1"/>
  <c r="F37" i="8"/>
  <c r="G37" i="8" s="1"/>
  <c r="G36" i="8"/>
  <c r="F36" i="8"/>
  <c r="F18" i="9" s="1"/>
  <c r="G18" i="9" s="1"/>
  <c r="F35" i="8"/>
  <c r="F17" i="9" s="1"/>
  <c r="G17" i="9" s="1"/>
  <c r="F34" i="8"/>
  <c r="F16" i="9" s="1"/>
  <c r="G16" i="9" s="1"/>
  <c r="F33" i="8"/>
  <c r="F15" i="9" s="1"/>
  <c r="G15" i="9" s="1"/>
  <c r="I32" i="8"/>
  <c r="J32" i="8" s="1"/>
  <c r="F32" i="8"/>
  <c r="G32" i="8" s="1"/>
  <c r="F30" i="8"/>
  <c r="I30" i="8" s="1"/>
  <c r="J30" i="8" s="1"/>
  <c r="I29" i="8"/>
  <c r="J29" i="8" s="1"/>
  <c r="G29" i="8"/>
  <c r="F29" i="8"/>
  <c r="F12" i="9" s="1"/>
  <c r="G25" i="8"/>
  <c r="J24" i="8"/>
  <c r="I24" i="8"/>
  <c r="G24" i="8"/>
  <c r="I23" i="8"/>
  <c r="J23" i="8" s="1"/>
  <c r="J25" i="8" s="1"/>
  <c r="G23" i="8"/>
  <c r="J21" i="8"/>
  <c r="I21" i="8"/>
  <c r="G21" i="8"/>
  <c r="I20" i="8"/>
  <c r="J20" i="8" s="1"/>
  <c r="G20" i="8"/>
  <c r="I19" i="8"/>
  <c r="J19" i="8" s="1"/>
  <c r="J22" i="8" s="1"/>
  <c r="C12" i="7" s="1"/>
  <c r="G19" i="8"/>
  <c r="G16" i="8"/>
  <c r="F16" i="8" s="1"/>
  <c r="I16" i="8" s="1"/>
  <c r="J16" i="8" s="1"/>
  <c r="C15" i="7" s="1"/>
  <c r="I13" i="8"/>
  <c r="G13" i="8"/>
  <c r="G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53" i="8" l="1"/>
  <c r="C16" i="7"/>
  <c r="J52" i="8"/>
  <c r="C17" i="7" s="1"/>
  <c r="C13" i="7"/>
  <c r="C14" i="7" s="1"/>
  <c r="J26" i="8"/>
  <c r="F14" i="9"/>
  <c r="G14" i="9" s="1"/>
  <c r="G12" i="9"/>
  <c r="F20" i="9"/>
  <c r="G20" i="9" s="1"/>
  <c r="G22" i="8"/>
  <c r="G33" i="8"/>
  <c r="G52" i="8"/>
  <c r="I33" i="8"/>
  <c r="J33" i="8" s="1"/>
  <c r="F19" i="9"/>
  <c r="G19" i="9" s="1"/>
  <c r="H13" i="8"/>
  <c r="D56" i="8"/>
  <c r="G21" i="9"/>
  <c r="D55" i="8"/>
  <c r="J31" i="8"/>
  <c r="G35" i="8"/>
  <c r="F13" i="9"/>
  <c r="G13" i="9" s="1"/>
  <c r="G30" i="8"/>
  <c r="G34" i="8"/>
  <c r="I36" i="8"/>
  <c r="J36" i="8" s="1"/>
  <c r="I35" i="8"/>
  <c r="J35" i="8" s="1"/>
  <c r="E13" i="8"/>
  <c r="I34" i="8"/>
  <c r="J34" i="8" s="1"/>
  <c r="G26" i="8" l="1"/>
  <c r="J39" i="8"/>
  <c r="J40" i="8" s="1"/>
  <c r="C25" i="7" s="1"/>
  <c r="G53" i="8"/>
  <c r="C18" i="7"/>
  <c r="J41" i="8"/>
  <c r="C26" i="7" s="1"/>
  <c r="E14" i="8"/>
  <c r="J13" i="8"/>
  <c r="J14" i="8" s="1"/>
  <c r="G22" i="9"/>
  <c r="G41" i="8"/>
  <c r="C21" i="7"/>
  <c r="C23" i="7"/>
  <c r="J55" i="8"/>
  <c r="G39" i="8"/>
  <c r="G31" i="8"/>
  <c r="H44" i="8" l="1"/>
  <c r="H50" i="8"/>
  <c r="H47" i="8"/>
  <c r="H53" i="8"/>
  <c r="H51" i="8"/>
  <c r="H48" i="8"/>
  <c r="H45" i="8"/>
  <c r="H46" i="8"/>
  <c r="H49" i="8"/>
  <c r="H20" i="8"/>
  <c r="H23" i="8"/>
  <c r="H24" i="8"/>
  <c r="H21" i="8"/>
  <c r="H19" i="8"/>
  <c r="H25" i="8"/>
  <c r="G57" i="8"/>
  <c r="G54" i="8"/>
  <c r="H22" i="8"/>
  <c r="H52" i="8"/>
  <c r="C11" i="7"/>
  <c r="J54" i="8"/>
  <c r="G40" i="8"/>
  <c r="H31" i="8"/>
  <c r="C20" i="7"/>
  <c r="J56" i="8"/>
  <c r="J57" i="8" s="1"/>
  <c r="J58" i="8" s="1"/>
  <c r="J59" i="8" s="1"/>
  <c r="H40" i="8" l="1"/>
  <c r="H38" i="8"/>
  <c r="H29" i="8"/>
  <c r="H33" i="8"/>
  <c r="H36" i="8"/>
  <c r="H32" i="8"/>
  <c r="H37" i="8"/>
  <c r="H34" i="8"/>
  <c r="H30" i="8"/>
  <c r="G58" i="8"/>
  <c r="G59" i="8" s="1"/>
  <c r="H35" i="8"/>
  <c r="H39" i="8"/>
  <c r="C19" i="7"/>
  <c r="C22" i="7"/>
  <c r="C24" i="7" l="1"/>
  <c r="D22" i="7" s="1"/>
  <c r="D17" i="7" l="1"/>
  <c r="D13" i="7"/>
  <c r="C29" i="7"/>
  <c r="C30" i="7" s="1"/>
  <c r="C27" i="7"/>
  <c r="D24" i="7"/>
  <c r="D18" i="7"/>
  <c r="D16" i="7"/>
  <c r="D14" i="7"/>
  <c r="D12" i="7"/>
  <c r="D15" i="7"/>
  <c r="D11" i="7"/>
  <c r="D20" i="7"/>
  <c r="C32" i="7" l="1"/>
  <c r="C35" i="7"/>
  <c r="C34" i="7"/>
  <c r="C37" i="7" l="1"/>
  <c r="C36" i="7"/>
  <c r="C38" i="7" l="1"/>
  <c r="C39" i="7" l="1"/>
  <c r="E39" i="7" l="1"/>
  <c r="C40" i="7"/>
  <c r="E17" i="7" l="1"/>
  <c r="C41" i="7"/>
  <c r="D11" i="10" s="1"/>
  <c r="E18" i="7"/>
  <c r="E14" i="7"/>
  <c r="E13" i="7"/>
  <c r="E16" i="7"/>
  <c r="E12" i="7"/>
  <c r="E33" i="7"/>
  <c r="E40" i="7"/>
  <c r="E31" i="7"/>
  <c r="E15" i="7"/>
  <c r="E25" i="7"/>
  <c r="E26" i="7"/>
  <c r="E11" i="7"/>
  <c r="E20" i="7"/>
  <c r="E22" i="7"/>
  <c r="E24" i="7"/>
  <c r="E30" i="7"/>
  <c r="E29" i="7"/>
  <c r="E27" i="7"/>
  <c r="E35" i="7"/>
  <c r="E34" i="7"/>
  <c r="E32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<sst xmlns="http://schemas.openxmlformats.org/spreadsheetml/2006/main" count="635" uniqueCount="411">
  <si>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</si>
  <si>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</si>
  <si>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</si>
  <si>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</si>
  <si>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</si>
  <si>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</si>
  <si>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</si>
  <si>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</si>
  <si>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</si>
  <si>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</si>
  <si>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</si>
  <si>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</si>
  <si>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</si>
  <si>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</si>
  <si>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</si>
  <si>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</si>
  <si>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</si>
  <si>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</si>
  <si>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</si>
  <si>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</si>
  <si>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</si>
  <si>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</si>
  <si>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</si>
  <si>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</si>
  <si>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</si>
  <si>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</si>
  <si>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</si>
  <si>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</si>
  <si>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</si>
  <si>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</si>
  <si>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</si>
  <si>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</si>
  <si>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</si>
  <si>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</si>
  <si>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</si>
  <si>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</si>
  <si>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</si>
  <si>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</si>
  <si>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</si>
  <si>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</si>
  <si>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</si>
  <si>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</si>
  <si>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</si>
  <si>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</si>
  <si>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</si>
  <si>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</si>
  <si>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</si>
  <si>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</si>
  <si>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ПС 110 кВ </t>
  </si>
  <si>
    <t>Сопоставимый уровень цен: 2 квартал 2020г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</si>
  <si>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</si>
  <si>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</si>
  <si>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</si>
  <si>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</si>
  <si>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110 кВ Джуракская</t>
  </si>
  <si>
    <t>Наименование субъекта Российской Федерации</t>
  </si>
  <si>
    <t>Республика Калмыкия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</si>
  <si>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</si>
  <si>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</si>
  <si>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</si>
  <si>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</si>
  <si>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</si>
  <si>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</si>
  <si>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</si>
  <si>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</si>
  <si>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</si>
  <si>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</si>
  <si>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</si>
  <si>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</si>
  <si>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</si>
  <si>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</si>
  <si>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</si>
  <si>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2020г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</si>
  <si>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</si>
  <si>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</si>
  <si>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</si>
  <si>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</si>
  <si>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</si>
  <si>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</si>
  <si>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</si>
  <si>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</si>
  <si>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</si>
  <si>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</si>
  <si>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</si>
  <si>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</si>
  <si>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</si>
  <si>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2кв. 2020г., тыс. руб.</t>
  </si>
  <si>
    <t>Строительные работы</t>
  </si>
  <si>
    <t>Монтажные работы</t>
  </si>
  <si>
    <t>Прочее</t>
  </si>
  <si>
    <t>Всего</t>
  </si>
  <si>
    <t>ВЧС и КИП ПС 110 кВ</t>
  </si>
  <si>
    <t>Всего по объекту:</t>
  </si>
  <si>
    <t>Всего по объекту в сопоставимом уровне цен 2кв. 2020г: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</si>
  <si>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</si>
  <si>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</si>
  <si>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</si>
  <si>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</si>
  <si>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ПС 110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</si>
  <si>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</si>
  <si>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</si>
  <si>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</si>
  <si>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</si>
  <si>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</si>
  <si>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</si>
  <si>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</si>
  <si>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</si>
  <si>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</si>
  <si>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</si>
  <si>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</si>
  <si>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</si>
  <si>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</si>
  <si>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</si>
  <si>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</si>
  <si>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</si>
  <si>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</si>
  <si>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</si>
  <si>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</si>
  <si>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</si>
  <si>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</si>
  <si>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</si>
  <si>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</si>
  <si>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</si>
  <si>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</si>
  <si>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</si>
  <si>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</si>
  <si>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</si>
  <si>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</si>
  <si>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</si>
  <si>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</si>
  <si>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</si>
  <si>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</si>
  <si>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</si>
  <si>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</si>
  <si>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</si>
  <si>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</si>
  <si>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</si>
  <si>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</si>
  <si>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</si>
  <si>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</si>
  <si>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</si>
  <si>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</si>
  <si>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</si>
  <si>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</si>
  <si>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</si>
  <si>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</si>
  <si>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</si>
  <si>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</si>
  <si>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</si>
  <si>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</si>
  <si>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</si>
  <si>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</si>
  <si>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</si>
  <si>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</si>
  <si>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</si>
  <si>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</si>
  <si>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</si>
  <si>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</si>
  <si>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</si>
  <si>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</si>
  <si>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</si>
  <si>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</si>
  <si>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</si>
  <si>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ПС 110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</si>
  <si>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</si>
  <si>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</si>
  <si>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</si>
  <si>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</si>
  <si>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</si>
  <si>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</si>
  <si>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</si>
  <si>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</si>
  <si>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</si>
  <si>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</si>
  <si>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</si>
  <si>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</si>
  <si>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</si>
  <si>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</si>
  <si>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</si>
  <si>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</si>
  <si>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</si>
  <si>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</si>
  <si>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</si>
  <si>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</si>
  <si>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</si>
  <si>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</si>
  <si>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</si>
  <si>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</si>
  <si>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</si>
  <si>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</si>
  <si>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</si>
  <si>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</si>
  <si>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</si>
  <si>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</si>
  <si>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</si>
  <si>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</si>
  <si>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</si>
  <si>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</si>
  <si>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</si>
  <si>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</si>
  <si>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</si>
  <si>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</si>
  <si>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</si>
  <si>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</si>
  <si>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</si>
  <si>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</si>
  <si>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ПС 110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</si>
  <si>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</si>
  <si>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</si>
  <si>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</si>
  <si>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</si>
  <si>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</si>
  <si>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</si>
  <si>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</si>
  <si>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</si>
  <si>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</si>
  <si>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</si>
  <si>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</si>
  <si>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</si>
  <si>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</si>
  <si>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</si>
  <si>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</si>
  <si>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</si>
  <si>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</si>
  <si>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</si>
  <si>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</si>
  <si>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</si>
  <si>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</si>
  <si>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</si>
  <si>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</si>
  <si>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</si>
  <si>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</si>
  <si>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</si>
  <si>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</si>
  <si>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</si>
  <si>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</si>
  <si>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</si>
  <si>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</si>
  <si>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</si>
  <si>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</si>
  <si>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</si>
  <si>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</si>
  <si>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</si>
  <si>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</si>
  <si>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</si>
  <si>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</si>
  <si>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</si>
  <si>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</si>
  <si>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</si>
  <si>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</si>
  <si>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</si>
  <si>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</si>
  <si>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</si>
  <si>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</si>
  <si>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</si>
  <si>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ВЧС и КИП 110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</si>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</sst>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171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22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323103</xdr:colOff>
      <xdr:row>28</xdr:row>
      <xdr:rowOff>141941</xdr:rowOff>
    </xdr:from>
    <xdr:to>
      <xdr:col>2</xdr:col>
      <xdr:colOff>1267905</xdr:colOff>
      <xdr:row>31</xdr:row>
      <xdr:rowOff>59355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0A4C34E-DC2A-43F4-9E6C-6C5512111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338" y="13488147"/>
          <a:ext cx="944802" cy="522532"/>
        </a:xfrm>
        <a:prstGeom prst="rect">
          <a:avLst/>
        </a:prstGeom>
      </xdr:spPr>
    </xdr:pic>
    <xdr:clientData/>
  </xdr:twoCellAnchor>
  <xdr:twoCellAnchor editAs="oneCell">
    <xdr:from>
      <xdr:col>2</xdr:col>
      <xdr:colOff>485028</xdr:colOff>
      <xdr:row>26</xdr:row>
      <xdr:rowOff>261844</xdr:rowOff>
    </xdr:from>
    <xdr:to>
      <xdr:col>2</xdr:col>
      <xdr:colOff>1205708</xdr:colOff>
      <xdr:row>28</xdr:row>
      <xdr:rowOff>64060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CAFFAE1-3235-4CB9-8EB7-639B4774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263" y="12924491"/>
          <a:ext cx="72068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864054</xdr:colOff>
      <xdr:row>18</xdr:row>
      <xdr:rowOff>87993</xdr:rowOff>
    </xdr:from>
    <xdr:to>
      <xdr:col>2</xdr:col>
      <xdr:colOff>1808856</xdr:colOff>
      <xdr:row>21</xdr:row>
      <xdr:rowOff>40706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F56EFB-E243-4E4D-8F8E-07D7E04D9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8" y="4292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1025979</xdr:colOff>
      <xdr:row>15</xdr:row>
      <xdr:rowOff>97518</xdr:rowOff>
    </xdr:from>
    <xdr:to>
      <xdr:col>2</xdr:col>
      <xdr:colOff>1746659</xdr:colOff>
      <xdr:row>18</xdr:row>
      <xdr:rowOff>11793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862CF27-39BF-42E8-9F8E-4D540099B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693" y="3730625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378278</xdr:colOff>
      <xdr:row>44</xdr:row>
      <xdr:rowOff>87806</xdr:rowOff>
    </xdr:from>
    <xdr:to>
      <xdr:col>2</xdr:col>
      <xdr:colOff>1323080</xdr:colOff>
      <xdr:row>46</xdr:row>
      <xdr:rowOff>197402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DB5BF4-3B19-4B26-B8D3-FB0221B54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4242" y="12048485"/>
          <a:ext cx="944802" cy="517810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41</xdr:row>
      <xdr:rowOff>38100</xdr:rowOff>
    </xdr:from>
    <xdr:to>
      <xdr:col>2</xdr:col>
      <xdr:colOff>1301705</xdr:colOff>
      <xdr:row>43</xdr:row>
      <xdr:rowOff>120463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A3024E1-5E16-4C8E-95FA-DCA0A6754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11201400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FEC3E2-D91D-42D8-9BC8-57DD18925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34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1663655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050AD279-262A-4528-9BA0-CA4B0472B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849406</xdr:colOff>
      <xdr:row>61</xdr:row>
      <xdr:rowOff>127187</xdr:rowOff>
    </xdr:from>
    <xdr:to>
      <xdr:col>2</xdr:col>
      <xdr:colOff>289258</xdr:colOff>
      <xdr:row>64</xdr:row>
      <xdr:rowOff>79900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E6B4527-3018-43B7-B781-D2A1F2A89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6" y="1479568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1011331</xdr:colOff>
      <xdr:row>58</xdr:row>
      <xdr:rowOff>403412</xdr:rowOff>
    </xdr:from>
    <xdr:to>
      <xdr:col>2</xdr:col>
      <xdr:colOff>208011</xdr:colOff>
      <xdr:row>61</xdr:row>
      <xdr:rowOff>50987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5100C64F-7628-480F-A745-5486C8FBB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331" y="142337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24</xdr:row>
      <xdr:rowOff>66675</xdr:rowOff>
    </xdr:from>
    <xdr:to>
      <xdr:col>2</xdr:col>
      <xdr:colOff>344727</xdr:colOff>
      <xdr:row>27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6510D2-EF68-43FC-B8E3-9A951056E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448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21</xdr:row>
      <xdr:rowOff>133350</xdr:rowOff>
    </xdr:from>
    <xdr:to>
      <xdr:col>2</xdr:col>
      <xdr:colOff>282530</xdr:colOff>
      <xdr:row>23</xdr:row>
      <xdr:rowOff>180975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DFBE320-9442-45D6-AEFB-E56563A0C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6886575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13</xdr:row>
      <xdr:rowOff>76200</xdr:rowOff>
    </xdr:from>
    <xdr:to>
      <xdr:col>1</xdr:col>
      <xdr:colOff>849552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0E0D14-1164-4936-AFE2-9F813FE7B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3295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10</xdr:row>
      <xdr:rowOff>447675</xdr:rowOff>
    </xdr:from>
    <xdr:to>
      <xdr:col>1</xdr:col>
      <xdr:colOff>815930</xdr:colOff>
      <xdr:row>13</xdr:row>
      <xdr:rowOff>28575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E26BA33-17C2-4265-BC43-9E9A7520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76225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69850</xdr:rowOff>
    </xdr:from>
    <xdr:to>
      <xdr:col>1</xdr:col>
      <xdr:colOff>1754427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C633837-E334-4AF8-B164-2E12F0F3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2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1692230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EAADAC9-8D6A-4B49-84F6-D41A19712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0" t="s">
        <v>0</v>
      </c>
      <c r="B2" s="320"/>
      <c r="C2" s="320"/>
    </row>
    <row r="3" spans="1:3" x14ac:dyDescent="0.25">
      <c r="A3" s="1"/>
      <c r="B3" s="1"/>
      <c r="C3" s="1"/>
    </row>
    <row r="4" spans="1:3" x14ac:dyDescent="0.25">
      <c r="A4" s="321" t="s">
        <v>1</v>
      </c>
      <c r="B4" s="321"/>
      <c r="C4" s="32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2" t="s">
        <v>3</v>
      </c>
      <c r="C6" s="322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88" customWidth="1"/>
    <col min="2" max="2" width="29.5703125" style="188" customWidth="1"/>
    <col min="3" max="3" width="39.140625" style="188" customWidth="1"/>
    <col min="4" max="4" width="24.42578125" style="188" customWidth="1"/>
    <col min="5" max="5" width="8.85546875" style="188"/>
  </cols>
  <sheetData>
    <row r="1" spans="1:5" x14ac:dyDescent="0.25">
      <c r="B1" s="306"/>
      <c r="C1" s="306"/>
      <c r="D1" s="307" t="s">
        <v>250</v>
      </c>
    </row>
    <row r="2" spans="1:5" x14ac:dyDescent="0.25">
      <c r="A2" s="307"/>
      <c r="B2" s="307"/>
      <c r="C2" s="307"/>
      <c r="D2" s="307"/>
    </row>
    <row r="3" spans="1:5" ht="24.75" customHeight="1" x14ac:dyDescent="0.25">
      <c r="A3" s="320" t="s">
        <v>251</v>
      </c>
      <c r="B3" s="320"/>
      <c r="C3" s="320"/>
      <c r="D3" s="320"/>
    </row>
    <row r="4" spans="1:5" ht="24.75" customHeight="1" x14ac:dyDescent="0.25">
      <c r="A4" s="308"/>
      <c r="B4" s="308"/>
      <c r="C4" s="308"/>
      <c r="D4" s="308"/>
    </row>
    <row r="5" spans="1:5" ht="24.6" customHeight="1" x14ac:dyDescent="0.25">
      <c r="A5" s="323" t="s">
        <v>252</v>
      </c>
      <c r="B5" s="323"/>
      <c r="C5" s="323"/>
      <c r="D5" s="309" t="str">
        <f>'Прил.5 Расчет СМР и ОБ'!D6:J6</f>
        <v xml:space="preserve">Постоянная часть ПС ПЧЗ ВЧС и КИП ПС 110 кВ </v>
      </c>
    </row>
    <row r="6" spans="1:5" ht="19.899999999999999" customHeight="1" x14ac:dyDescent="0.25">
      <c r="A6" s="323" t="s">
        <v>50</v>
      </c>
      <c r="B6" s="323"/>
      <c r="C6" s="323"/>
      <c r="D6" s="309"/>
    </row>
    <row r="7" spans="1:5" x14ac:dyDescent="0.25">
      <c r="A7" s="306"/>
      <c r="B7" s="306"/>
      <c r="C7" s="306"/>
      <c r="D7" s="306"/>
    </row>
    <row r="8" spans="1:5" ht="14.45" customHeight="1" x14ac:dyDescent="0.25">
      <c r="A8" s="333" t="s">
        <v>5</v>
      </c>
      <c r="B8" s="333" t="s">
        <v>6</v>
      </c>
      <c r="C8" s="333" t="s">
        <v>253</v>
      </c>
      <c r="D8" s="333" t="s">
        <v>254</v>
      </c>
    </row>
    <row r="9" spans="1:5" ht="15" customHeight="1" x14ac:dyDescent="0.25">
      <c r="A9" s="333"/>
      <c r="B9" s="333"/>
      <c r="C9" s="333"/>
      <c r="D9" s="333"/>
    </row>
    <row r="10" spans="1:5" x14ac:dyDescent="0.25">
      <c r="A10" s="310">
        <v>1</v>
      </c>
      <c r="B10" s="310">
        <v>2</v>
      </c>
      <c r="C10" s="310">
        <v>3</v>
      </c>
      <c r="D10" s="310">
        <v>4</v>
      </c>
    </row>
    <row r="11" spans="1:5" ht="41.45" customHeight="1" x14ac:dyDescent="0.25">
      <c r="A11" s="310" t="s">
        <v>255</v>
      </c>
      <c r="B11" s="310" t="s">
        <v>256</v>
      </c>
      <c r="C11" s="311" t="str">
        <f>D5</f>
        <v xml:space="preserve">Постоянная часть ПС ПЧЗ ВЧС и КИП ПС 110 кВ </v>
      </c>
      <c r="D11" s="312">
        <f>'Прил.4 РМ'!C41/1000</f>
        <v>1471.1915200000003</v>
      </c>
      <c r="E11" s="313"/>
    </row>
    <row r="12" spans="1:5" x14ac:dyDescent="0.25">
      <c r="A12" s="314"/>
      <c r="B12" s="315"/>
      <c r="C12" s="314"/>
      <c r="D12" s="314"/>
    </row>
    <row r="13" spans="1:5" x14ac:dyDescent="0.25">
      <c r="A13" s="306" t="s">
        <v>257</v>
      </c>
      <c r="B13" s="316"/>
      <c r="C13" s="316"/>
      <c r="D13" s="314"/>
    </row>
    <row r="14" spans="1:5" x14ac:dyDescent="0.25">
      <c r="A14" s="317" t="s">
        <v>77</v>
      </c>
      <c r="B14" s="316"/>
      <c r="C14" s="316"/>
      <c r="D14" s="314"/>
    </row>
    <row r="15" spans="1:5" x14ac:dyDescent="0.25">
      <c r="A15" s="306"/>
      <c r="B15" s="316"/>
      <c r="C15" s="316"/>
      <c r="D15" s="314"/>
    </row>
    <row r="16" spans="1:5" x14ac:dyDescent="0.25">
      <c r="A16" s="306" t="s">
        <v>78</v>
      </c>
      <c r="B16" s="316"/>
      <c r="C16" s="316"/>
      <c r="D16" s="314"/>
    </row>
    <row r="17" spans="1:4" x14ac:dyDescent="0.25">
      <c r="A17" s="317" t="s">
        <v>79</v>
      </c>
      <c r="B17" s="316"/>
      <c r="C17" s="316"/>
      <c r="D17" s="31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topLeftCell="A4" zoomScale="60" zoomScaleNormal="85" workbookViewId="0">
      <selection activeCell="C24" sqref="C24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27" t="s">
        <v>258</v>
      </c>
      <c r="C4" s="327"/>
      <c r="D4" s="327"/>
    </row>
    <row r="5" spans="2:5" ht="18.75" customHeight="1" x14ac:dyDescent="0.25">
      <c r="B5" s="183"/>
    </row>
    <row r="6" spans="2:5" ht="15.75" customHeight="1" x14ac:dyDescent="0.25">
      <c r="B6" s="328" t="s">
        <v>259</v>
      </c>
      <c r="C6" s="328"/>
      <c r="D6" s="328"/>
    </row>
    <row r="7" spans="2:5" x14ac:dyDescent="0.25">
      <c r="B7" s="372"/>
      <c r="C7" s="372"/>
      <c r="D7" s="372"/>
      <c r="E7" s="372"/>
    </row>
    <row r="8" spans="2:5" x14ac:dyDescent="0.25">
      <c r="B8" s="215"/>
      <c r="C8" s="215"/>
      <c r="D8" s="215"/>
      <c r="E8" s="215"/>
    </row>
    <row r="9" spans="2:5" ht="47.25" customHeight="1" x14ac:dyDescent="0.25">
      <c r="B9" s="185" t="s">
        <v>260</v>
      </c>
      <c r="C9" s="185" t="s">
        <v>261</v>
      </c>
      <c r="D9" s="185" t="s">
        <v>262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263</v>
      </c>
      <c r="C11" s="185" t="s">
        <v>264</v>
      </c>
      <c r="D11" s="185">
        <v>44.29</v>
      </c>
    </row>
    <row r="12" spans="2:5" ht="29.25" customHeight="1" x14ac:dyDescent="0.25">
      <c r="B12" s="185" t="s">
        <v>265</v>
      </c>
      <c r="C12" s="185" t="s">
        <v>264</v>
      </c>
      <c r="D12" s="185">
        <v>13.47</v>
      </c>
    </row>
    <row r="13" spans="2:5" ht="29.25" customHeight="1" x14ac:dyDescent="0.25">
      <c r="B13" s="185" t="s">
        <v>266</v>
      </c>
      <c r="C13" s="185" t="s">
        <v>264</v>
      </c>
      <c r="D13" s="185">
        <v>8.0399999999999991</v>
      </c>
    </row>
    <row r="14" spans="2:5" ht="30.75" customHeight="1" x14ac:dyDescent="0.25">
      <c r="B14" s="185" t="s">
        <v>267</v>
      </c>
      <c r="C14" s="165" t="s">
        <v>268</v>
      </c>
      <c r="D14" s="185">
        <v>6.26</v>
      </c>
    </row>
    <row r="15" spans="2:5" ht="89.45" customHeight="1" x14ac:dyDescent="0.25">
      <c r="B15" s="185" t="s">
        <v>269</v>
      </c>
      <c r="C15" s="185" t="s">
        <v>270</v>
      </c>
      <c r="D15" s="186">
        <v>3.9E-2</v>
      </c>
    </row>
    <row r="16" spans="2:5" ht="78.75" customHeight="1" x14ac:dyDescent="0.25">
      <c r="B16" s="185" t="s">
        <v>271</v>
      </c>
      <c r="C16" s="185" t="s">
        <v>272</v>
      </c>
      <c r="D16" s="186">
        <v>2.1000000000000001E-2</v>
      </c>
    </row>
    <row r="17" spans="2:4" ht="31.7" customHeight="1" x14ac:dyDescent="0.25">
      <c r="B17" s="185" t="s">
        <v>273</v>
      </c>
      <c r="C17" s="185" t="s">
        <v>274</v>
      </c>
      <c r="D17" s="186">
        <v>2.1399999999999999E-2</v>
      </c>
    </row>
    <row r="18" spans="2:4" ht="31.7" customHeight="1" x14ac:dyDescent="0.25">
      <c r="B18" s="185" t="s">
        <v>194</v>
      </c>
      <c r="C18" s="185" t="s">
        <v>275</v>
      </c>
      <c r="D18" s="186">
        <v>2E-3</v>
      </c>
    </row>
    <row r="19" spans="2:4" ht="24" customHeight="1" x14ac:dyDescent="0.25">
      <c r="B19" s="185" t="s">
        <v>196</v>
      </c>
      <c r="C19" s="185" t="s">
        <v>276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277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242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H13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28" t="s">
        <v>278</v>
      </c>
      <c r="B2" s="328"/>
      <c r="C2" s="328"/>
      <c r="D2" s="328"/>
      <c r="E2" s="328"/>
      <c r="F2" s="328"/>
    </row>
    <row r="4" spans="1:7" ht="18" customHeight="1" x14ac:dyDescent="0.25">
      <c r="A4" s="167" t="s">
        <v>279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280</v>
      </c>
      <c r="C5" s="169" t="s">
        <v>281</v>
      </c>
      <c r="D5" s="169" t="s">
        <v>282</v>
      </c>
      <c r="E5" s="169" t="s">
        <v>283</v>
      </c>
      <c r="F5" s="169" t="s">
        <v>284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285</v>
      </c>
      <c r="B7" s="171" t="s">
        <v>286</v>
      </c>
      <c r="C7" s="172" t="s">
        <v>287</v>
      </c>
      <c r="D7" s="172" t="s">
        <v>288</v>
      </c>
      <c r="E7" s="173">
        <v>47872.94</v>
      </c>
      <c r="F7" s="171" t="s">
        <v>289</v>
      </c>
      <c r="G7" s="168"/>
    </row>
    <row r="8" spans="1:7" ht="31.7" customHeight="1" x14ac:dyDescent="0.25">
      <c r="A8" s="170" t="s">
        <v>290</v>
      </c>
      <c r="B8" s="171" t="s">
        <v>291</v>
      </c>
      <c r="C8" s="172" t="s">
        <v>292</v>
      </c>
      <c r="D8" s="172" t="s">
        <v>293</v>
      </c>
      <c r="E8" s="173">
        <f>1973/12</f>
        <v>164.41666666667001</v>
      </c>
      <c r="F8" s="174" t="s">
        <v>294</v>
      </c>
      <c r="G8" s="175"/>
    </row>
    <row r="9" spans="1:7" ht="15.75" customHeight="1" x14ac:dyDescent="0.25">
      <c r="A9" s="170" t="s">
        <v>295</v>
      </c>
      <c r="B9" s="171" t="s">
        <v>296</v>
      </c>
      <c r="C9" s="172" t="s">
        <v>297</v>
      </c>
      <c r="D9" s="172" t="s">
        <v>288</v>
      </c>
      <c r="E9" s="173">
        <v>1</v>
      </c>
      <c r="F9" s="174"/>
      <c r="G9" s="176"/>
    </row>
    <row r="10" spans="1:7" ht="15.75" customHeight="1" x14ac:dyDescent="0.25">
      <c r="A10" s="170" t="s">
        <v>298</v>
      </c>
      <c r="B10" s="171" t="s">
        <v>299</v>
      </c>
      <c r="C10" s="172"/>
      <c r="D10" s="172"/>
      <c r="E10" s="177">
        <v>4.3</v>
      </c>
      <c r="F10" s="174" t="s">
        <v>300</v>
      </c>
      <c r="G10" s="176"/>
    </row>
    <row r="11" spans="1:7" ht="78.75" customHeight="1" x14ac:dyDescent="0.25">
      <c r="A11" s="170" t="s">
        <v>301</v>
      </c>
      <c r="B11" s="171" t="s">
        <v>302</v>
      </c>
      <c r="C11" s="172" t="s">
        <v>303</v>
      </c>
      <c r="D11" s="172" t="s">
        <v>288</v>
      </c>
      <c r="E11" s="271">
        <v>1.4</v>
      </c>
      <c r="F11" s="171" t="s">
        <v>304</v>
      </c>
      <c r="G11" s="168"/>
    </row>
    <row r="12" spans="1:7" ht="78.75" customHeight="1" x14ac:dyDescent="0.25">
      <c r="A12" s="170" t="s">
        <v>305</v>
      </c>
      <c r="B12" s="178" t="s">
        <v>306</v>
      </c>
      <c r="C12" s="172" t="s">
        <v>307</v>
      </c>
      <c r="D12" s="172" t="s">
        <v>288</v>
      </c>
      <c r="E12" s="179">
        <v>1.139</v>
      </c>
      <c r="F12" s="180" t="s">
        <v>308</v>
      </c>
      <c r="G12" s="176"/>
    </row>
    <row r="13" spans="1:7" ht="63" customHeight="1" x14ac:dyDescent="0.25">
      <c r="A13" s="170" t="s">
        <v>309</v>
      </c>
      <c r="B13" s="181" t="s">
        <v>310</v>
      </c>
      <c r="C13" s="172" t="s">
        <v>311</v>
      </c>
      <c r="D13" s="172" t="s">
        <v>312</v>
      </c>
      <c r="E13" s="182">
        <f>((E7*E9/E8)*E11)*E12</f>
        <v>464.29715230005002</v>
      </c>
      <c r="F13" s="171" t="s">
        <v>313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3" t="s">
        <v>314</v>
      </c>
      <c r="B1" s="373"/>
      <c r="C1" s="373"/>
      <c r="D1" s="373"/>
      <c r="E1" s="373"/>
      <c r="F1" s="373"/>
      <c r="G1" s="373"/>
      <c r="H1" s="373"/>
      <c r="I1" s="373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3" t="e">
        <f>#REF!</f>
        <v>#REF!</v>
      </c>
      <c r="B3" s="323"/>
      <c r="C3" s="323"/>
      <c r="D3" s="323"/>
      <c r="E3" s="323"/>
      <c r="F3" s="323"/>
      <c r="G3" s="323"/>
      <c r="H3" s="323"/>
      <c r="I3" s="323"/>
    </row>
    <row r="4" spans="1:13" s="4" customFormat="1" ht="15.75" customHeight="1" x14ac:dyDescent="0.2">
      <c r="A4" s="374"/>
      <c r="B4" s="374"/>
      <c r="C4" s="374"/>
      <c r="D4" s="374"/>
      <c r="E4" s="374"/>
      <c r="F4" s="374"/>
      <c r="G4" s="374"/>
      <c r="H4" s="374"/>
      <c r="I4" s="374"/>
    </row>
    <row r="5" spans="1:13" s="32" customFormat="1" ht="36.75" customHeight="1" x14ac:dyDescent="0.35">
      <c r="A5" s="375" t="s">
        <v>13</v>
      </c>
      <c r="B5" s="375" t="s">
        <v>315</v>
      </c>
      <c r="C5" s="375" t="s">
        <v>316</v>
      </c>
      <c r="D5" s="375" t="s">
        <v>317</v>
      </c>
      <c r="E5" s="371" t="s">
        <v>318</v>
      </c>
      <c r="F5" s="371"/>
      <c r="G5" s="371"/>
      <c r="H5" s="371"/>
      <c r="I5" s="371"/>
    </row>
    <row r="6" spans="1:13" s="26" customFormat="1" ht="31.7" customHeight="1" x14ac:dyDescent="0.2">
      <c r="A6" s="375"/>
      <c r="B6" s="375"/>
      <c r="C6" s="375"/>
      <c r="D6" s="375"/>
      <c r="E6" s="33" t="s">
        <v>87</v>
      </c>
      <c r="F6" s="33" t="s">
        <v>88</v>
      </c>
      <c r="G6" s="33" t="s">
        <v>43</v>
      </c>
      <c r="H6" s="33" t="s">
        <v>319</v>
      </c>
      <c r="I6" s="33" t="s">
        <v>320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184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321</v>
      </c>
      <c r="C9" s="9" t="s">
        <v>322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323</v>
      </c>
      <c r="C11" s="9" t="s">
        <v>271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324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325</v>
      </c>
      <c r="C12" s="9" t="s">
        <v>326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327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274</v>
      </c>
      <c r="C14" s="9" t="s">
        <v>328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329</v>
      </c>
      <c r="C16" s="9" t="s">
        <v>330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331</v>
      </c>
    </row>
    <row r="17" spans="1:10" s="26" customFormat="1" ht="81.75" customHeight="1" x14ac:dyDescent="0.2">
      <c r="A17" s="34">
        <v>7</v>
      </c>
      <c r="B17" s="9" t="s">
        <v>329</v>
      </c>
      <c r="C17" s="147" t="s">
        <v>332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333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334</v>
      </c>
      <c r="C20" s="9" t="s">
        <v>196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335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336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337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338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339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7" t="s">
        <v>340</v>
      </c>
      <c r="O2" s="377"/>
    </row>
    <row r="3" spans="1:16" x14ac:dyDescent="0.25">
      <c r="A3" s="378" t="s">
        <v>341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</row>
    <row r="5" spans="1:16" s="50" customFormat="1" ht="37.5" customHeight="1" x14ac:dyDescent="0.25">
      <c r="A5" s="379" t="s">
        <v>342</v>
      </c>
      <c r="B5" s="382" t="s">
        <v>343</v>
      </c>
      <c r="C5" s="385" t="s">
        <v>344</v>
      </c>
      <c r="D5" s="388" t="s">
        <v>345</v>
      </c>
      <c r="E5" s="389"/>
      <c r="F5" s="389"/>
      <c r="G5" s="389"/>
      <c r="H5" s="389"/>
      <c r="I5" s="388" t="s">
        <v>346</v>
      </c>
      <c r="J5" s="389"/>
      <c r="K5" s="389"/>
      <c r="L5" s="389"/>
      <c r="M5" s="389"/>
      <c r="N5" s="389"/>
      <c r="O5" s="53" t="s">
        <v>347</v>
      </c>
    </row>
    <row r="6" spans="1:16" s="56" customFormat="1" ht="150" customHeight="1" x14ac:dyDescent="0.25">
      <c r="A6" s="380"/>
      <c r="B6" s="383"/>
      <c r="C6" s="386"/>
      <c r="D6" s="385" t="s">
        <v>348</v>
      </c>
      <c r="E6" s="390" t="s">
        <v>349</v>
      </c>
      <c r="F6" s="391"/>
      <c r="G6" s="392"/>
      <c r="H6" s="54" t="s">
        <v>350</v>
      </c>
      <c r="I6" s="393" t="s">
        <v>351</v>
      </c>
      <c r="J6" s="393" t="s">
        <v>348</v>
      </c>
      <c r="K6" s="394" t="s">
        <v>349</v>
      </c>
      <c r="L6" s="394"/>
      <c r="M6" s="394"/>
      <c r="N6" s="54" t="s">
        <v>350</v>
      </c>
      <c r="O6" s="55" t="s">
        <v>352</v>
      </c>
    </row>
    <row r="7" spans="1:16" s="56" customFormat="1" ht="30.75" customHeight="1" x14ac:dyDescent="0.25">
      <c r="A7" s="381"/>
      <c r="B7" s="384"/>
      <c r="C7" s="387"/>
      <c r="D7" s="387"/>
      <c r="E7" s="53" t="s">
        <v>87</v>
      </c>
      <c r="F7" s="53" t="s">
        <v>88</v>
      </c>
      <c r="G7" s="53" t="s">
        <v>43</v>
      </c>
      <c r="H7" s="57" t="s">
        <v>353</v>
      </c>
      <c r="I7" s="393"/>
      <c r="J7" s="393"/>
      <c r="K7" s="53" t="s">
        <v>87</v>
      </c>
      <c r="L7" s="53" t="s">
        <v>88</v>
      </c>
      <c r="M7" s="53" t="s">
        <v>43</v>
      </c>
      <c r="N7" s="57" t="s">
        <v>353</v>
      </c>
      <c r="O7" s="53" t="s">
        <v>354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9" t="s">
        <v>355</v>
      </c>
      <c r="C9" s="59" t="s">
        <v>356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1"/>
      <c r="C10" s="63" t="s">
        <v>357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9" t="s">
        <v>358</v>
      </c>
      <c r="C11" s="63" t="s">
        <v>359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1"/>
      <c r="C12" s="63" t="s">
        <v>360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9" t="s">
        <v>361</v>
      </c>
      <c r="C13" s="59" t="s">
        <v>362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1"/>
      <c r="C14" s="63" t="s">
        <v>363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364</v>
      </c>
      <c r="C15" s="63" t="s">
        <v>365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367</v>
      </c>
    </row>
    <row r="19" spans="1:15" ht="30.75" customHeight="1" x14ac:dyDescent="0.25">
      <c r="L19" s="75"/>
    </row>
    <row r="20" spans="1:15" ht="15" customHeight="1" outlineLevel="1" x14ac:dyDescent="0.25">
      <c r="G20" s="376" t="s">
        <v>368</v>
      </c>
      <c r="H20" s="376"/>
      <c r="I20" s="376"/>
      <c r="J20" s="376"/>
      <c r="K20" s="376"/>
      <c r="L20" s="376"/>
      <c r="M20" s="376"/>
      <c r="N20" s="376"/>
      <c r="O20" s="52"/>
    </row>
    <row r="21" spans="1:15" ht="15.75" customHeight="1" outlineLevel="1" x14ac:dyDescent="0.25">
      <c r="G21" s="76"/>
      <c r="H21" s="76" t="s">
        <v>369</v>
      </c>
      <c r="I21" s="76" t="s">
        <v>370</v>
      </c>
      <c r="J21" s="77" t="s">
        <v>371</v>
      </c>
      <c r="K21" s="78" t="s">
        <v>372</v>
      </c>
      <c r="L21" s="76" t="s">
        <v>373</v>
      </c>
      <c r="M21" s="76" t="s">
        <v>374</v>
      </c>
      <c r="N21" s="77" t="s">
        <v>375</v>
      </c>
      <c r="O21" s="79"/>
    </row>
    <row r="22" spans="1:15" ht="15.75" customHeight="1" outlineLevel="1" x14ac:dyDescent="0.25">
      <c r="G22" s="396" t="s">
        <v>376</v>
      </c>
      <c r="H22" s="395">
        <v>6.09</v>
      </c>
      <c r="I22" s="397">
        <v>6.44</v>
      </c>
      <c r="J22" s="395">
        <v>5.77</v>
      </c>
      <c r="K22" s="397">
        <v>5.77</v>
      </c>
      <c r="L22" s="395">
        <v>5.23</v>
      </c>
      <c r="M22" s="395">
        <v>5.77</v>
      </c>
      <c r="N22" s="80">
        <v>6.29</v>
      </c>
      <c r="O22" s="51" t="s">
        <v>377</v>
      </c>
    </row>
    <row r="23" spans="1:15" ht="15.75" customHeight="1" outlineLevel="1" x14ac:dyDescent="0.25">
      <c r="G23" s="396"/>
      <c r="H23" s="395"/>
      <c r="I23" s="397"/>
      <c r="J23" s="395"/>
      <c r="K23" s="397"/>
      <c r="L23" s="395"/>
      <c r="M23" s="395"/>
      <c r="N23" s="80">
        <v>6.56</v>
      </c>
      <c r="O23" s="51" t="s">
        <v>378</v>
      </c>
    </row>
    <row r="24" spans="1:15" ht="15.75" customHeight="1" outlineLevel="1" x14ac:dyDescent="0.25">
      <c r="G24" s="81" t="s">
        <v>379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353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380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381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3" t="s">
        <v>382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</row>
    <row r="4" spans="1:18" ht="36.75" customHeight="1" x14ac:dyDescent="0.25">
      <c r="A4" s="379" t="s">
        <v>342</v>
      </c>
      <c r="B4" s="382" t="s">
        <v>343</v>
      </c>
      <c r="C4" s="385" t="s">
        <v>383</v>
      </c>
      <c r="D4" s="385" t="s">
        <v>384</v>
      </c>
      <c r="E4" s="388" t="s">
        <v>385</v>
      </c>
      <c r="F4" s="389"/>
      <c r="G4" s="389"/>
      <c r="H4" s="389"/>
      <c r="I4" s="389"/>
      <c r="J4" s="389"/>
      <c r="K4" s="389"/>
      <c r="L4" s="389"/>
      <c r="M4" s="389"/>
      <c r="N4" s="414" t="s">
        <v>386</v>
      </c>
      <c r="O4" s="415"/>
      <c r="P4" s="415"/>
      <c r="Q4" s="415"/>
      <c r="R4" s="416"/>
    </row>
    <row r="5" spans="1:18" ht="60" customHeight="1" x14ac:dyDescent="0.25">
      <c r="A5" s="380"/>
      <c r="B5" s="383"/>
      <c r="C5" s="386"/>
      <c r="D5" s="386"/>
      <c r="E5" s="393" t="s">
        <v>387</v>
      </c>
      <c r="F5" s="393" t="s">
        <v>388</v>
      </c>
      <c r="G5" s="390" t="s">
        <v>349</v>
      </c>
      <c r="H5" s="391"/>
      <c r="I5" s="391"/>
      <c r="J5" s="392"/>
      <c r="K5" s="393" t="s">
        <v>389</v>
      </c>
      <c r="L5" s="393"/>
      <c r="M5" s="393"/>
      <c r="N5" s="89" t="s">
        <v>390</v>
      </c>
      <c r="O5" s="89" t="s">
        <v>391</v>
      </c>
      <c r="P5" s="90" t="s">
        <v>392</v>
      </c>
      <c r="Q5" s="91" t="s">
        <v>393</v>
      </c>
      <c r="R5" s="90" t="s">
        <v>394</v>
      </c>
    </row>
    <row r="6" spans="1:18" ht="49.7" customHeight="1" x14ac:dyDescent="0.25">
      <c r="A6" s="381"/>
      <c r="B6" s="384"/>
      <c r="C6" s="387"/>
      <c r="D6" s="387"/>
      <c r="E6" s="393"/>
      <c r="F6" s="393"/>
      <c r="G6" s="53" t="s">
        <v>87</v>
      </c>
      <c r="H6" s="53" t="s">
        <v>88</v>
      </c>
      <c r="I6" s="92" t="s">
        <v>43</v>
      </c>
      <c r="J6" s="92" t="s">
        <v>319</v>
      </c>
      <c r="K6" s="53" t="s">
        <v>390</v>
      </c>
      <c r="L6" s="53" t="s">
        <v>391</v>
      </c>
      <c r="M6" s="53" t="s">
        <v>392</v>
      </c>
      <c r="N6" s="92" t="s">
        <v>395</v>
      </c>
      <c r="O6" s="92" t="s">
        <v>396</v>
      </c>
      <c r="P6" s="92" t="s">
        <v>397</v>
      </c>
      <c r="Q6" s="93" t="s">
        <v>398</v>
      </c>
      <c r="R6" s="94" t="s">
        <v>399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9">
        <v>1</v>
      </c>
      <c r="B9" s="379" t="s">
        <v>400</v>
      </c>
      <c r="C9" s="406" t="s">
        <v>356</v>
      </c>
      <c r="D9" s="99" t="s">
        <v>401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81"/>
      <c r="B10" s="380"/>
      <c r="C10" s="407"/>
      <c r="D10" s="99" t="s">
        <v>402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9">
        <v>2</v>
      </c>
      <c r="B11" s="380"/>
      <c r="C11" s="406" t="s">
        <v>403</v>
      </c>
      <c r="D11" s="104" t="s">
        <v>401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1"/>
      <c r="B12" s="381"/>
      <c r="C12" s="407"/>
      <c r="D12" s="104" t="s">
        <v>402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9">
        <v>3</v>
      </c>
      <c r="B13" s="379" t="s">
        <v>358</v>
      </c>
      <c r="C13" s="409" t="s">
        <v>359</v>
      </c>
      <c r="D13" s="99" t="s">
        <v>404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81"/>
      <c r="B14" s="380"/>
      <c r="C14" s="410"/>
      <c r="D14" s="99" t="s">
        <v>402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9">
        <v>4</v>
      </c>
      <c r="B15" s="380"/>
      <c r="C15" s="411" t="s">
        <v>360</v>
      </c>
      <c r="D15" s="105" t="s">
        <v>404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1"/>
      <c r="B16" s="381"/>
      <c r="C16" s="412"/>
      <c r="D16" s="105" t="s">
        <v>402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9">
        <v>5</v>
      </c>
      <c r="B17" s="394" t="s">
        <v>361</v>
      </c>
      <c r="C17" s="406" t="s">
        <v>405</v>
      </c>
      <c r="D17" s="99" t="s">
        <v>406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1"/>
      <c r="B18" s="394"/>
      <c r="C18" s="407"/>
      <c r="D18" s="99" t="s">
        <v>402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9">
        <v>6</v>
      </c>
      <c r="B19" s="394"/>
      <c r="C19" s="406" t="s">
        <v>363</v>
      </c>
      <c r="D19" s="105" t="s">
        <v>404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1"/>
      <c r="B20" s="394"/>
      <c r="C20" s="407"/>
      <c r="D20" s="105" t="s">
        <v>402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9">
        <v>7</v>
      </c>
      <c r="B21" s="379" t="s">
        <v>364</v>
      </c>
      <c r="C21" s="406" t="s">
        <v>365</v>
      </c>
      <c r="D21" s="105" t="s">
        <v>407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1"/>
      <c r="B22" s="381"/>
      <c r="C22" s="407"/>
      <c r="D22" s="106" t="s">
        <v>402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408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8" t="s">
        <v>409</v>
      </c>
      <c r="E26" s="408"/>
      <c r="F26" s="408"/>
      <c r="G26" s="408"/>
      <c r="H26" s="408"/>
      <c r="I26" s="408"/>
      <c r="J26" s="408"/>
      <c r="K26" s="408"/>
      <c r="L26" s="121"/>
      <c r="R26" s="122"/>
    </row>
    <row r="27" spans="1:18" outlineLevel="1" x14ac:dyDescent="0.25">
      <c r="D27" s="123"/>
      <c r="E27" s="123" t="s">
        <v>369</v>
      </c>
      <c r="F27" s="123" t="s">
        <v>370</v>
      </c>
      <c r="G27" s="123" t="s">
        <v>371</v>
      </c>
      <c r="H27" s="124" t="s">
        <v>372</v>
      </c>
      <c r="I27" s="124" t="s">
        <v>373</v>
      </c>
      <c r="J27" s="124" t="s">
        <v>374</v>
      </c>
      <c r="K27" s="111" t="s">
        <v>375</v>
      </c>
      <c r="L27" s="52"/>
    </row>
    <row r="28" spans="1:18" outlineLevel="1" x14ac:dyDescent="0.25">
      <c r="D28" s="402" t="s">
        <v>376</v>
      </c>
      <c r="E28" s="400">
        <v>6.09</v>
      </c>
      <c r="F28" s="404">
        <v>6.63</v>
      </c>
      <c r="G28" s="400">
        <v>5.77</v>
      </c>
      <c r="H28" s="398">
        <v>5.77</v>
      </c>
      <c r="I28" s="398">
        <v>6.35</v>
      </c>
      <c r="J28" s="400">
        <v>5.77</v>
      </c>
      <c r="K28" s="125">
        <v>6.29</v>
      </c>
      <c r="L28" s="87" t="s">
        <v>377</v>
      </c>
      <c r="M28" s="52"/>
    </row>
    <row r="29" spans="1:18" outlineLevel="1" x14ac:dyDescent="0.25">
      <c r="D29" s="403"/>
      <c r="E29" s="401"/>
      <c r="F29" s="405"/>
      <c r="G29" s="401"/>
      <c r="H29" s="399"/>
      <c r="I29" s="399"/>
      <c r="J29" s="401"/>
      <c r="K29" s="125">
        <v>6.56</v>
      </c>
      <c r="L29" s="87" t="s">
        <v>378</v>
      </c>
      <c r="M29" s="52"/>
    </row>
    <row r="30" spans="1:18" outlineLevel="1" x14ac:dyDescent="0.25">
      <c r="D30" s="126" t="s">
        <v>379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2" t="s">
        <v>353</v>
      </c>
      <c r="E31" s="400">
        <v>11.37</v>
      </c>
      <c r="F31" s="404">
        <v>13.56</v>
      </c>
      <c r="G31" s="400">
        <v>15.91</v>
      </c>
      <c r="H31" s="398">
        <v>15.91</v>
      </c>
      <c r="I31" s="398">
        <v>14.03</v>
      </c>
      <c r="J31" s="400">
        <v>15.91</v>
      </c>
      <c r="K31" s="125">
        <v>8.2899999999999991</v>
      </c>
      <c r="L31" s="87" t="s">
        <v>377</v>
      </c>
      <c r="R31" s="116"/>
    </row>
    <row r="32" spans="1:18" s="87" customFormat="1" outlineLevel="1" x14ac:dyDescent="0.25">
      <c r="D32" s="403"/>
      <c r="E32" s="401"/>
      <c r="F32" s="405"/>
      <c r="G32" s="401"/>
      <c r="H32" s="399"/>
      <c r="I32" s="399"/>
      <c r="J32" s="401"/>
      <c r="K32" s="125">
        <v>11.84</v>
      </c>
      <c r="L32" s="87" t="s">
        <v>378</v>
      </c>
      <c r="R32" s="116"/>
    </row>
    <row r="33" spans="4:18" s="87" customFormat="1" ht="15" customHeight="1" outlineLevel="1" x14ac:dyDescent="0.25">
      <c r="D33" s="129" t="s">
        <v>380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410</v>
      </c>
      <c r="R33" s="116"/>
    </row>
    <row r="34" spans="4:18" s="87" customFormat="1" outlineLevel="1" x14ac:dyDescent="0.25">
      <c r="D34" s="129" t="s">
        <v>381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410</v>
      </c>
      <c r="R34" s="116"/>
    </row>
    <row r="35" spans="4:18" s="87" customFormat="1" outlineLevel="1" x14ac:dyDescent="0.25">
      <c r="D35" s="126" t="s">
        <v>319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0" t="s">
        <v>10</v>
      </c>
      <c r="B2" s="320"/>
      <c r="C2" s="320"/>
      <c r="D2" s="320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2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3"/>
    </row>
    <row r="5" spans="1:4" x14ac:dyDescent="0.25">
      <c r="A5" s="6"/>
      <c r="B5" s="1"/>
      <c r="C5" s="1"/>
    </row>
    <row r="6" spans="1:4" x14ac:dyDescent="0.25">
      <c r="A6" s="320" t="s">
        <v>12</v>
      </c>
      <c r="B6" s="320"/>
      <c r="C6" s="320"/>
      <c r="D6" s="320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4" t="s">
        <v>5</v>
      </c>
      <c r="B15" s="325" t="s">
        <v>15</v>
      </c>
      <c r="C15" s="325"/>
      <c r="D15" s="325"/>
    </row>
    <row r="16" spans="1:4" x14ac:dyDescent="0.25">
      <c r="A16" s="324"/>
      <c r="B16" s="324" t="s">
        <v>17</v>
      </c>
      <c r="C16" s="325" t="s">
        <v>28</v>
      </c>
      <c r="D16" s="325"/>
    </row>
    <row r="17" spans="1:4" ht="39.200000000000003" customHeight="1" x14ac:dyDescent="0.25">
      <c r="A17" s="324"/>
      <c r="B17" s="324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6" t="s">
        <v>29</v>
      </c>
      <c r="B2" s="326"/>
      <c r="C2" s="326"/>
      <c r="D2" s="326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9" zoomScale="85" zoomScaleNormal="55" workbookViewId="0">
      <selection activeCell="D29" sqref="D29"/>
    </sheetView>
  </sheetViews>
  <sheetFormatPr defaultColWidth="9.140625" defaultRowHeight="15.75" x14ac:dyDescent="0.25"/>
  <cols>
    <col min="1" max="2" width="9.140625" style="241"/>
    <col min="3" max="3" width="51.7109375" style="241" customWidth="1"/>
    <col min="4" max="4" width="47" style="241" customWidth="1"/>
    <col min="5" max="5" width="37.42578125" style="241" customWidth="1"/>
    <col min="6" max="6" width="9.140625" style="241"/>
  </cols>
  <sheetData>
    <row r="3" spans="2:5" x14ac:dyDescent="0.25">
      <c r="B3" s="327" t="s">
        <v>45</v>
      </c>
      <c r="C3" s="327"/>
      <c r="D3" s="327"/>
    </row>
    <row r="4" spans="2:5" x14ac:dyDescent="0.25">
      <c r="B4" s="328" t="s">
        <v>46</v>
      </c>
      <c r="C4" s="328"/>
      <c r="D4" s="328"/>
    </row>
    <row r="5" spans="2:5" ht="84.2" customHeight="1" x14ac:dyDescent="0.25">
      <c r="B5" s="330" t="s">
        <v>47</v>
      </c>
      <c r="C5" s="330"/>
      <c r="D5" s="330"/>
    </row>
    <row r="6" spans="2:5" ht="18.75" customHeight="1" x14ac:dyDescent="0.25">
      <c r="B6" s="274"/>
      <c r="C6" s="274"/>
      <c r="D6" s="274"/>
    </row>
    <row r="7" spans="2:5" ht="64.5" customHeight="1" x14ac:dyDescent="0.25">
      <c r="B7" s="329" t="s">
        <v>48</v>
      </c>
      <c r="C7" s="329"/>
      <c r="D7" s="329"/>
    </row>
    <row r="8" spans="2:5" ht="31.7" customHeight="1" x14ac:dyDescent="0.25">
      <c r="B8" s="329" t="s">
        <v>49</v>
      </c>
      <c r="C8" s="329"/>
      <c r="D8" s="329"/>
    </row>
    <row r="9" spans="2:5" ht="15.75" customHeight="1" x14ac:dyDescent="0.25">
      <c r="B9" s="329" t="s">
        <v>50</v>
      </c>
      <c r="C9" s="329"/>
      <c r="D9" s="329"/>
    </row>
    <row r="10" spans="2:5" x14ac:dyDescent="0.25">
      <c r="B10" s="240"/>
    </row>
    <row r="11" spans="2:5" x14ac:dyDescent="0.25">
      <c r="B11" s="185" t="s">
        <v>33</v>
      </c>
      <c r="C11" s="185" t="s">
        <v>51</v>
      </c>
      <c r="D11" s="185" t="s">
        <v>52</v>
      </c>
      <c r="E11" s="250"/>
    </row>
    <row r="12" spans="2:5" ht="96.75" customHeight="1" x14ac:dyDescent="0.25">
      <c r="B12" s="185">
        <v>1</v>
      </c>
      <c r="C12" s="245" t="s">
        <v>53</v>
      </c>
      <c r="D12" s="305" t="s">
        <v>54</v>
      </c>
    </row>
    <row r="13" spans="2:5" x14ac:dyDescent="0.25">
      <c r="B13" s="185">
        <v>2</v>
      </c>
      <c r="C13" s="245" t="s">
        <v>55</v>
      </c>
      <c r="D13" s="305" t="s">
        <v>56</v>
      </c>
    </row>
    <row r="14" spans="2:5" x14ac:dyDescent="0.25">
      <c r="B14" s="185">
        <v>3</v>
      </c>
      <c r="C14" s="245" t="s">
        <v>57</v>
      </c>
      <c r="D14" s="305" t="s">
        <v>58</v>
      </c>
    </row>
    <row r="15" spans="2:5" x14ac:dyDescent="0.25">
      <c r="B15" s="185">
        <v>4</v>
      </c>
      <c r="C15" s="245" t="s">
        <v>59</v>
      </c>
      <c r="D15" s="305">
        <v>1</v>
      </c>
    </row>
    <row r="16" spans="2:5" ht="116.45" customHeight="1" x14ac:dyDescent="0.25">
      <c r="B16" s="185">
        <v>5</v>
      </c>
      <c r="C16" s="165" t="s">
        <v>60</v>
      </c>
      <c r="D16" s="305" t="s">
        <v>61</v>
      </c>
    </row>
    <row r="17" spans="2:5" ht="79.5" customHeight="1" x14ac:dyDescent="0.25">
      <c r="B17" s="185">
        <v>6</v>
      </c>
      <c r="C17" s="165" t="s">
        <v>62</v>
      </c>
      <c r="D17" s="299">
        <f>D18+D19</f>
        <v>693.96754420000002</v>
      </c>
      <c r="E17" s="273"/>
    </row>
    <row r="18" spans="2:5" x14ac:dyDescent="0.25">
      <c r="B18" s="249" t="s">
        <v>63</v>
      </c>
      <c r="C18" s="245" t="s">
        <v>64</v>
      </c>
      <c r="D18" s="299">
        <f>'Прил.2 Расч стоим'!F14</f>
        <v>36.230763699999997</v>
      </c>
    </row>
    <row r="19" spans="2:5" ht="15.75" customHeight="1" x14ac:dyDescent="0.25">
      <c r="B19" s="249" t="s">
        <v>65</v>
      </c>
      <c r="C19" s="245" t="s">
        <v>66</v>
      </c>
      <c r="D19" s="299">
        <f>'Прил.2 Расч стоим'!H14</f>
        <v>657.73678050000001</v>
      </c>
    </row>
    <row r="20" spans="2:5" ht="16.5" customHeight="1" x14ac:dyDescent="0.25">
      <c r="B20" s="249" t="s">
        <v>67</v>
      </c>
      <c r="C20" s="245" t="s">
        <v>68</v>
      </c>
      <c r="D20" s="299"/>
    </row>
    <row r="21" spans="2:5" ht="35.450000000000003" customHeight="1" x14ac:dyDescent="0.25">
      <c r="B21" s="249" t="s">
        <v>69</v>
      </c>
      <c r="C21" s="248" t="s">
        <v>70</v>
      </c>
      <c r="D21" s="299"/>
    </row>
    <row r="22" spans="2:5" x14ac:dyDescent="0.25">
      <c r="B22" s="185">
        <v>7</v>
      </c>
      <c r="C22" s="248" t="s">
        <v>71</v>
      </c>
      <c r="D22" s="300" t="s">
        <v>72</v>
      </c>
      <c r="E22" s="246"/>
    </row>
    <row r="23" spans="2:5" ht="123" customHeight="1" x14ac:dyDescent="0.25">
      <c r="B23" s="185">
        <v>8</v>
      </c>
      <c r="C23" s="247" t="s">
        <v>73</v>
      </c>
      <c r="D23" s="299">
        <f>D17</f>
        <v>693.96754420000002</v>
      </c>
      <c r="E23" s="273"/>
    </row>
    <row r="24" spans="2:5" ht="60.75" customHeight="1" x14ac:dyDescent="0.25">
      <c r="B24" s="185">
        <v>9</v>
      </c>
      <c r="C24" s="165" t="s">
        <v>74</v>
      </c>
      <c r="D24" s="299">
        <f>D17/D15</f>
        <v>693.96754420000002</v>
      </c>
      <c r="E24" s="246"/>
    </row>
    <row r="25" spans="2:5" ht="48.2" customHeight="1" x14ac:dyDescent="0.25">
      <c r="B25" s="185">
        <v>10</v>
      </c>
      <c r="C25" s="245" t="s">
        <v>75</v>
      </c>
      <c r="D25" s="185"/>
    </row>
    <row r="26" spans="2:5" x14ac:dyDescent="0.25">
      <c r="B26" s="244"/>
      <c r="C26" s="243"/>
      <c r="D26" s="243"/>
    </row>
    <row r="27" spans="2:5" ht="37.5" customHeight="1" x14ac:dyDescent="0.25">
      <c r="B27" s="242"/>
    </row>
    <row r="28" spans="2:5" x14ac:dyDescent="0.25">
      <c r="B28" s="241" t="s">
        <v>76</v>
      </c>
    </row>
    <row r="29" spans="2:5" x14ac:dyDescent="0.25">
      <c r="B29" s="242" t="s">
        <v>77</v>
      </c>
    </row>
    <row r="31" spans="2:5" x14ac:dyDescent="0.25">
      <c r="B31" s="241" t="s">
        <v>78</v>
      </c>
    </row>
    <row r="32" spans="2:5" x14ac:dyDescent="0.25">
      <c r="B32" s="24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241" customWidth="1"/>
    <col min="2" max="2" width="9.140625" style="241"/>
    <col min="3" max="3" width="35.28515625" style="241" customWidth="1"/>
    <col min="4" max="4" width="13.85546875" style="241" customWidth="1"/>
    <col min="5" max="5" width="24.85546875" style="241" customWidth="1"/>
    <col min="6" max="6" width="15.5703125" style="241" customWidth="1"/>
    <col min="7" max="7" width="14.85546875" style="241" customWidth="1"/>
    <col min="8" max="8" width="16.7109375" style="241" customWidth="1"/>
    <col min="9" max="10" width="13" style="241" customWidth="1"/>
    <col min="11" max="11" width="18" style="241" customWidth="1"/>
    <col min="12" max="12" width="9.140625" style="241"/>
  </cols>
  <sheetData>
    <row r="3" spans="1:12" x14ac:dyDescent="0.25">
      <c r="B3" s="327" t="s">
        <v>80</v>
      </c>
      <c r="C3" s="327"/>
      <c r="D3" s="327"/>
      <c r="E3" s="327"/>
      <c r="F3" s="327"/>
      <c r="G3" s="327"/>
      <c r="H3" s="327"/>
      <c r="I3" s="327"/>
      <c r="J3" s="327"/>
      <c r="K3" s="242"/>
    </row>
    <row r="4" spans="1:12" x14ac:dyDescent="0.25">
      <c r="B4" s="328" t="s">
        <v>81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12" x14ac:dyDescent="0.25">
      <c r="B5" s="251"/>
      <c r="C5" s="251"/>
      <c r="D5" s="251"/>
      <c r="E5" s="251"/>
      <c r="F5" s="251"/>
      <c r="G5" s="251"/>
      <c r="H5" s="251"/>
      <c r="I5" s="251"/>
      <c r="J5" s="251"/>
      <c r="K5" s="251"/>
    </row>
    <row r="6" spans="1:12" ht="29.25" customHeight="1" x14ac:dyDescent="0.25">
      <c r="B6" s="329" t="str">
        <f>'Прил.1 Сравнит табл'!B7:D7</f>
        <v xml:space="preserve">Наименование разрабатываемого показателя УНЦ - Постоянная часть ПС ПЧЗ ВЧС и КИП ПС 110 кВ </v>
      </c>
      <c r="C6" s="329"/>
      <c r="D6" s="329"/>
      <c r="E6" s="329"/>
      <c r="F6" s="329"/>
      <c r="G6" s="329"/>
      <c r="H6" s="329"/>
      <c r="I6" s="329"/>
      <c r="J6" s="329"/>
      <c r="K6" s="329"/>
    </row>
    <row r="7" spans="1:12" x14ac:dyDescent="0.25">
      <c r="B7" s="329" t="str">
        <f>'Прил.1 Сравнит табл'!B9:D9</f>
        <v>Единица измерения  — 1 ПС</v>
      </c>
      <c r="C7" s="329"/>
      <c r="D7" s="329"/>
      <c r="E7" s="329"/>
      <c r="F7" s="329"/>
      <c r="G7" s="329"/>
      <c r="H7" s="329"/>
      <c r="I7" s="329"/>
      <c r="J7" s="329"/>
      <c r="K7" s="329"/>
    </row>
    <row r="8" spans="1:12" ht="18.75" customHeight="1" x14ac:dyDescent="0.25">
      <c r="B8" s="276"/>
    </row>
    <row r="9" spans="1:12" ht="15.75" customHeight="1" x14ac:dyDescent="0.25">
      <c r="B9" s="333" t="s">
        <v>33</v>
      </c>
      <c r="C9" s="333" t="s">
        <v>82</v>
      </c>
      <c r="D9" s="333" t="s">
        <v>83</v>
      </c>
      <c r="E9" s="333"/>
      <c r="F9" s="333"/>
      <c r="G9" s="333"/>
      <c r="H9" s="333"/>
      <c r="I9" s="333"/>
      <c r="J9" s="333"/>
    </row>
    <row r="10" spans="1:12" ht="15.75" customHeight="1" x14ac:dyDescent="0.25">
      <c r="B10" s="333"/>
      <c r="C10" s="333"/>
      <c r="D10" s="333" t="s">
        <v>84</v>
      </c>
      <c r="E10" s="333" t="s">
        <v>85</v>
      </c>
      <c r="F10" s="333" t="s">
        <v>86</v>
      </c>
      <c r="G10" s="333"/>
      <c r="H10" s="333"/>
      <c r="I10" s="333"/>
      <c r="J10" s="333"/>
    </row>
    <row r="11" spans="1:12" ht="31.7" customHeight="1" x14ac:dyDescent="0.25">
      <c r="B11" s="334"/>
      <c r="C11" s="334"/>
      <c r="D11" s="334"/>
      <c r="E11" s="334"/>
      <c r="F11" s="258" t="s">
        <v>87</v>
      </c>
      <c r="G11" s="258" t="s">
        <v>88</v>
      </c>
      <c r="H11" s="258" t="s">
        <v>43</v>
      </c>
      <c r="I11" s="258" t="s">
        <v>89</v>
      </c>
      <c r="J11" s="258" t="s">
        <v>90</v>
      </c>
    </row>
    <row r="12" spans="1:12" s="188" customFormat="1" ht="31.7" customHeight="1" x14ac:dyDescent="0.25">
      <c r="A12" s="241"/>
      <c r="B12" s="319"/>
      <c r="C12" s="319" t="s">
        <v>91</v>
      </c>
      <c r="D12" s="319"/>
      <c r="E12" s="319"/>
      <c r="F12" s="335">
        <v>36.230763699999997</v>
      </c>
      <c r="G12" s="336"/>
      <c r="H12" s="319">
        <v>657.73678050000001</v>
      </c>
      <c r="I12" s="319"/>
      <c r="J12" s="319">
        <v>693.96754420000002</v>
      </c>
      <c r="K12" s="241"/>
      <c r="L12" s="241"/>
    </row>
    <row r="13" spans="1:12" ht="15.75" customHeight="1" x14ac:dyDescent="0.25">
      <c r="B13" s="331" t="s">
        <v>92</v>
      </c>
      <c r="C13" s="331"/>
      <c r="D13" s="331"/>
      <c r="E13" s="331"/>
      <c r="F13" s="318"/>
      <c r="G13" s="318"/>
      <c r="H13" s="318"/>
      <c r="I13" s="318"/>
      <c r="J13" s="318"/>
    </row>
    <row r="14" spans="1:12" x14ac:dyDescent="0.25">
      <c r="B14" s="332" t="s">
        <v>93</v>
      </c>
      <c r="C14" s="332"/>
      <c r="D14" s="332"/>
      <c r="E14" s="332"/>
      <c r="F14" s="337">
        <f>F12</f>
        <v>36.230763699999997</v>
      </c>
      <c r="G14" s="338"/>
      <c r="H14" s="275">
        <f>H12</f>
        <v>657.73678050000001</v>
      </c>
      <c r="I14" s="275"/>
      <c r="J14" s="275">
        <f>J12</f>
        <v>693.96754420000002</v>
      </c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topLeftCell="A20" zoomScale="70" zoomScaleSheetLayoutView="70" workbookViewId="0">
      <selection activeCell="D45" sqref="D45"/>
    </sheetView>
  </sheetViews>
  <sheetFormatPr defaultColWidth="9.140625" defaultRowHeight="15.75" x14ac:dyDescent="0.25"/>
  <cols>
    <col min="1" max="1" width="9.140625" style="241"/>
    <col min="2" max="2" width="12.5703125" style="241" customWidth="1"/>
    <col min="3" max="3" width="22.42578125" style="241" customWidth="1"/>
    <col min="4" max="4" width="49.7109375" style="241" customWidth="1"/>
    <col min="5" max="5" width="10.140625" style="241" customWidth="1"/>
    <col min="6" max="6" width="20.7109375" style="241" customWidth="1"/>
    <col min="7" max="7" width="20" style="241" customWidth="1"/>
    <col min="8" max="8" width="16.7109375" style="241" customWidth="1"/>
    <col min="9" max="10" width="9.140625" style="241"/>
    <col min="11" max="11" width="15" style="241" customWidth="1"/>
    <col min="12" max="12" width="9.140625" style="241"/>
  </cols>
  <sheetData>
    <row r="2" spans="1:13" s="188" customFormat="1" x14ac:dyDescent="0.25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3" x14ac:dyDescent="0.25">
      <c r="A3" s="327" t="s">
        <v>95</v>
      </c>
      <c r="B3" s="327"/>
      <c r="C3" s="327"/>
      <c r="D3" s="327"/>
      <c r="E3" s="327"/>
      <c r="F3" s="327"/>
      <c r="G3" s="327"/>
      <c r="H3" s="327"/>
    </row>
    <row r="4" spans="1:13" x14ac:dyDescent="0.25">
      <c r="A4" s="328" t="s">
        <v>96</v>
      </c>
      <c r="B4" s="328"/>
      <c r="C4" s="328"/>
      <c r="D4" s="328"/>
      <c r="E4" s="328"/>
      <c r="F4" s="328"/>
      <c r="G4" s="328"/>
      <c r="H4" s="328"/>
    </row>
    <row r="5" spans="1:13" ht="18.75" customHeight="1" x14ac:dyDescent="0.25">
      <c r="A5" s="296"/>
      <c r="B5" s="296"/>
      <c r="C5" s="340" t="s">
        <v>97</v>
      </c>
      <c r="D5" s="340"/>
      <c r="E5" s="340"/>
      <c r="F5" s="340"/>
      <c r="G5" s="340"/>
      <c r="H5" s="340"/>
    </row>
    <row r="6" spans="1:13" x14ac:dyDescent="0.25">
      <c r="A6" s="240"/>
    </row>
    <row r="7" spans="1:13" x14ac:dyDescent="0.25">
      <c r="A7" s="339" t="s">
        <v>98</v>
      </c>
      <c r="B7" s="339"/>
      <c r="C7" s="339"/>
      <c r="D7" s="339"/>
      <c r="E7" s="339"/>
      <c r="F7" s="339"/>
      <c r="G7" s="339"/>
      <c r="H7" s="339"/>
    </row>
    <row r="8" spans="1:13" x14ac:dyDescent="0.25">
      <c r="A8" s="252"/>
      <c r="B8" s="252"/>
      <c r="C8" s="252"/>
      <c r="D8" s="252"/>
      <c r="E8" s="252"/>
      <c r="F8" s="252"/>
      <c r="G8" s="252"/>
      <c r="H8" s="252"/>
    </row>
    <row r="9" spans="1:13" ht="38.25" customHeight="1" x14ac:dyDescent="0.25">
      <c r="A9" s="333" t="s">
        <v>99</v>
      </c>
      <c r="B9" s="333" t="s">
        <v>100</v>
      </c>
      <c r="C9" s="333" t="s">
        <v>101</v>
      </c>
      <c r="D9" s="333" t="s">
        <v>102</v>
      </c>
      <c r="E9" s="333" t="s">
        <v>103</v>
      </c>
      <c r="F9" s="333" t="s">
        <v>104</v>
      </c>
      <c r="G9" s="333" t="s">
        <v>105</v>
      </c>
      <c r="H9" s="333"/>
    </row>
    <row r="10" spans="1:13" ht="40.700000000000003" customHeight="1" x14ac:dyDescent="0.25">
      <c r="A10" s="333"/>
      <c r="B10" s="333"/>
      <c r="C10" s="333"/>
      <c r="D10" s="333"/>
      <c r="E10" s="333"/>
      <c r="F10" s="333"/>
      <c r="G10" s="185" t="s">
        <v>106</v>
      </c>
      <c r="H10" s="185" t="s">
        <v>107</v>
      </c>
    </row>
    <row r="11" spans="1:13" x14ac:dyDescent="0.25">
      <c r="A11" s="258">
        <v>1</v>
      </c>
      <c r="B11" s="258"/>
      <c r="C11" s="258">
        <v>2</v>
      </c>
      <c r="D11" s="258" t="s">
        <v>108</v>
      </c>
      <c r="E11" s="258">
        <v>4</v>
      </c>
      <c r="F11" s="258">
        <v>5</v>
      </c>
      <c r="G11" s="258">
        <v>6</v>
      </c>
      <c r="H11" s="258">
        <v>7</v>
      </c>
    </row>
    <row r="12" spans="1:13" s="254" customFormat="1" x14ac:dyDescent="0.25">
      <c r="A12" s="342" t="s">
        <v>109</v>
      </c>
      <c r="B12" s="343"/>
      <c r="C12" s="344"/>
      <c r="D12" s="344"/>
      <c r="E12" s="343"/>
      <c r="F12" s="284">
        <f>SUM(F13:F15)</f>
        <v>272.39</v>
      </c>
      <c r="G12" s="286"/>
      <c r="H12" s="284">
        <f>SUM(H13:H15)</f>
        <v>2741.87</v>
      </c>
    </row>
    <row r="13" spans="1:13" x14ac:dyDescent="0.25">
      <c r="A13" s="288">
        <v>1</v>
      </c>
      <c r="B13" s="257"/>
      <c r="C13" s="290" t="s">
        <v>110</v>
      </c>
      <c r="D13" s="289" t="s">
        <v>111</v>
      </c>
      <c r="E13" s="288" t="s">
        <v>112</v>
      </c>
      <c r="F13" s="295">
        <v>174</v>
      </c>
      <c r="G13" s="294">
        <v>10.35</v>
      </c>
      <c r="H13" s="277">
        <f>ROUND(F13*G13,2)</f>
        <v>1800.9</v>
      </c>
      <c r="M13" s="297">
        <f>(SUM(K13:K15)/F12)</f>
        <v>0</v>
      </c>
    </row>
    <row r="14" spans="1:13" x14ac:dyDescent="0.25">
      <c r="A14" s="288">
        <v>2</v>
      </c>
      <c r="B14" s="257"/>
      <c r="C14" s="290" t="s">
        <v>113</v>
      </c>
      <c r="D14" s="289" t="s">
        <v>114</v>
      </c>
      <c r="E14" s="288" t="s">
        <v>112</v>
      </c>
      <c r="F14" s="295">
        <v>93.3</v>
      </c>
      <c r="G14" s="294">
        <v>9.6199999999999992</v>
      </c>
      <c r="H14" s="277">
        <f>ROUND(F14*G14,2)</f>
        <v>897.55</v>
      </c>
    </row>
    <row r="15" spans="1:13" x14ac:dyDescent="0.25">
      <c r="A15" s="288">
        <v>3</v>
      </c>
      <c r="B15" s="257"/>
      <c r="C15" s="290" t="s">
        <v>115</v>
      </c>
      <c r="D15" s="289" t="s">
        <v>116</v>
      </c>
      <c r="E15" s="288" t="s">
        <v>112</v>
      </c>
      <c r="F15" s="295">
        <v>5.09</v>
      </c>
      <c r="G15" s="294">
        <v>8.5299999999999994</v>
      </c>
      <c r="H15" s="277">
        <f>ROUND(F15*G15,2)</f>
        <v>43.42</v>
      </c>
    </row>
    <row r="16" spans="1:13" x14ac:dyDescent="0.25">
      <c r="A16" s="341" t="s">
        <v>117</v>
      </c>
      <c r="B16" s="341"/>
      <c r="C16" s="341"/>
      <c r="D16" s="341"/>
      <c r="E16" s="341"/>
      <c r="F16" s="256"/>
      <c r="G16" s="255"/>
      <c r="H16" s="284">
        <f>H17</f>
        <v>143.49</v>
      </c>
    </row>
    <row r="17" spans="1:12" x14ac:dyDescent="0.25">
      <c r="A17" s="288">
        <v>4</v>
      </c>
      <c r="B17" s="253"/>
      <c r="C17" s="280">
        <v>2</v>
      </c>
      <c r="D17" s="279" t="s">
        <v>118</v>
      </c>
      <c r="E17" s="278" t="s">
        <v>112</v>
      </c>
      <c r="F17" s="293">
        <v>13.2</v>
      </c>
      <c r="G17" s="277"/>
      <c r="H17" s="292">
        <v>143.49</v>
      </c>
    </row>
    <row r="18" spans="1:12" s="254" customFormat="1" x14ac:dyDescent="0.25">
      <c r="A18" s="342" t="s">
        <v>119</v>
      </c>
      <c r="B18" s="343"/>
      <c r="C18" s="344"/>
      <c r="D18" s="344"/>
      <c r="E18" s="343"/>
      <c r="F18" s="256"/>
      <c r="G18" s="255"/>
      <c r="H18" s="284">
        <f>SUM(H19:H23)</f>
        <v>1263.6099999999999</v>
      </c>
    </row>
    <row r="19" spans="1:12" x14ac:dyDescent="0.25">
      <c r="A19" s="288">
        <v>5</v>
      </c>
      <c r="B19" s="253"/>
      <c r="C19" s="290" t="s">
        <v>120</v>
      </c>
      <c r="D19" s="289" t="s">
        <v>121</v>
      </c>
      <c r="E19" s="288" t="s">
        <v>122</v>
      </c>
      <c r="F19" s="288">
        <v>8.7200000000000006</v>
      </c>
      <c r="G19" s="287">
        <v>89.99</v>
      </c>
      <c r="H19" s="277">
        <f>ROUND(F19*G19,2)</f>
        <v>784.71</v>
      </c>
      <c r="I19" s="291"/>
      <c r="J19" s="298"/>
      <c r="L19" s="282"/>
    </row>
    <row r="20" spans="1:12" s="254" customFormat="1" ht="25.5" customHeight="1" x14ac:dyDescent="0.25">
      <c r="A20" s="288">
        <v>6</v>
      </c>
      <c r="B20" s="253"/>
      <c r="C20" s="290" t="s">
        <v>123</v>
      </c>
      <c r="D20" s="289" t="s">
        <v>124</v>
      </c>
      <c r="E20" s="288" t="s">
        <v>122</v>
      </c>
      <c r="F20" s="288">
        <v>2</v>
      </c>
      <c r="G20" s="287">
        <v>111.99</v>
      </c>
      <c r="H20" s="277">
        <f>ROUND(F20*G20,2)</f>
        <v>223.98</v>
      </c>
      <c r="I20" s="291"/>
      <c r="J20" s="298"/>
      <c r="L20" s="282"/>
    </row>
    <row r="21" spans="1:12" x14ac:dyDescent="0.25">
      <c r="A21" s="288">
        <v>7</v>
      </c>
      <c r="B21" s="253"/>
      <c r="C21" s="290" t="s">
        <v>125</v>
      </c>
      <c r="D21" s="289" t="s">
        <v>126</v>
      </c>
      <c r="E21" s="288" t="s">
        <v>122</v>
      </c>
      <c r="F21" s="288">
        <v>2.48</v>
      </c>
      <c r="G21" s="287">
        <v>65.709999999999994</v>
      </c>
      <c r="H21" s="277">
        <f>ROUND(F21*G21,2)</f>
        <v>162.96</v>
      </c>
      <c r="I21" s="291"/>
      <c r="J21" s="298"/>
      <c r="L21" s="282"/>
    </row>
    <row r="22" spans="1:12" ht="25.5" customHeight="1" x14ac:dyDescent="0.25">
      <c r="A22" s="288">
        <v>8</v>
      </c>
      <c r="B22" s="253"/>
      <c r="C22" s="290" t="s">
        <v>127</v>
      </c>
      <c r="D22" s="289" t="s">
        <v>128</v>
      </c>
      <c r="E22" s="288" t="s">
        <v>122</v>
      </c>
      <c r="F22" s="288">
        <v>22</v>
      </c>
      <c r="G22" s="287">
        <v>3.28</v>
      </c>
      <c r="H22" s="277">
        <f>ROUND(F22*G22,2)</f>
        <v>72.16</v>
      </c>
      <c r="I22" s="291"/>
      <c r="J22" s="298"/>
      <c r="L22" s="282"/>
    </row>
    <row r="23" spans="1:12" x14ac:dyDescent="0.25">
      <c r="A23" s="288">
        <v>9</v>
      </c>
      <c r="B23" s="253"/>
      <c r="C23" s="290" t="s">
        <v>129</v>
      </c>
      <c r="D23" s="289" t="s">
        <v>130</v>
      </c>
      <c r="E23" s="288" t="s">
        <v>122</v>
      </c>
      <c r="F23" s="288">
        <v>22</v>
      </c>
      <c r="G23" s="287">
        <v>0.9</v>
      </c>
      <c r="H23" s="277">
        <f>ROUND(F23*G23,2)</f>
        <v>19.8</v>
      </c>
      <c r="I23" s="291"/>
      <c r="J23" s="298"/>
      <c r="L23" s="282"/>
    </row>
    <row r="24" spans="1:12" ht="15" customHeight="1" x14ac:dyDescent="0.25">
      <c r="A24" s="341" t="s">
        <v>43</v>
      </c>
      <c r="B24" s="341"/>
      <c r="C24" s="341"/>
      <c r="D24" s="341"/>
      <c r="E24" s="341"/>
      <c r="F24" s="286"/>
      <c r="G24" s="286"/>
      <c r="H24" s="284">
        <f>SUM(H25:H33)</f>
        <v>141448.76999999999</v>
      </c>
    </row>
    <row r="25" spans="1:12" ht="25.5" customHeight="1" x14ac:dyDescent="0.25">
      <c r="A25" s="281">
        <v>10</v>
      </c>
      <c r="B25" s="285"/>
      <c r="C25" s="280" t="s">
        <v>131</v>
      </c>
      <c r="D25" s="279" t="s">
        <v>132</v>
      </c>
      <c r="E25" s="278" t="s">
        <v>133</v>
      </c>
      <c r="F25" s="278">
        <v>1</v>
      </c>
      <c r="G25" s="277">
        <v>76833.2</v>
      </c>
      <c r="H25" s="277">
        <f t="shared" ref="H25:H33" si="0">ROUND(F25*G25,2)</f>
        <v>76833.2</v>
      </c>
      <c r="I25" s="283"/>
    </row>
    <row r="26" spans="1:12" ht="127.5" customHeight="1" x14ac:dyDescent="0.25">
      <c r="A26" s="281">
        <v>11</v>
      </c>
      <c r="B26" s="285"/>
      <c r="C26" s="280" t="s">
        <v>131</v>
      </c>
      <c r="D26" s="279" t="s">
        <v>134</v>
      </c>
      <c r="E26" s="278" t="s">
        <v>133</v>
      </c>
      <c r="F26" s="278">
        <v>1</v>
      </c>
      <c r="G26" s="277">
        <v>45724.79</v>
      </c>
      <c r="H26" s="277">
        <f t="shared" si="0"/>
        <v>45724.79</v>
      </c>
      <c r="I26" s="283"/>
    </row>
    <row r="27" spans="1:12" ht="25.5" customHeight="1" x14ac:dyDescent="0.25">
      <c r="A27" s="281">
        <v>12</v>
      </c>
      <c r="B27" s="285"/>
      <c r="C27" s="280" t="s">
        <v>131</v>
      </c>
      <c r="D27" s="279" t="s">
        <v>135</v>
      </c>
      <c r="E27" s="278" t="s">
        <v>133</v>
      </c>
      <c r="F27" s="278">
        <v>1</v>
      </c>
      <c r="G27" s="277">
        <v>12353.19</v>
      </c>
      <c r="H27" s="277">
        <f t="shared" si="0"/>
        <v>12353.19</v>
      </c>
      <c r="I27" s="283"/>
    </row>
    <row r="28" spans="1:12" ht="25.5" customHeight="1" x14ac:dyDescent="0.25">
      <c r="A28" s="281">
        <v>13</v>
      </c>
      <c r="B28" s="285"/>
      <c r="C28" s="280" t="s">
        <v>131</v>
      </c>
      <c r="D28" s="279" t="s">
        <v>136</v>
      </c>
      <c r="E28" s="278" t="s">
        <v>133</v>
      </c>
      <c r="F28" s="278">
        <v>1</v>
      </c>
      <c r="G28" s="277">
        <v>2858.19</v>
      </c>
      <c r="H28" s="277">
        <f t="shared" si="0"/>
        <v>2858.19</v>
      </c>
      <c r="I28" s="283"/>
    </row>
    <row r="29" spans="1:12" ht="15" customHeight="1" x14ac:dyDescent="0.25">
      <c r="A29" s="281">
        <v>14</v>
      </c>
      <c r="B29" s="285"/>
      <c r="C29" s="280" t="s">
        <v>131</v>
      </c>
      <c r="D29" s="279" t="s">
        <v>137</v>
      </c>
      <c r="E29" s="278" t="s">
        <v>133</v>
      </c>
      <c r="F29" s="278">
        <v>1</v>
      </c>
      <c r="G29" s="277">
        <v>1914.21</v>
      </c>
      <c r="H29" s="277">
        <f t="shared" si="0"/>
        <v>1914.21</v>
      </c>
      <c r="I29" s="283"/>
    </row>
    <row r="30" spans="1:12" ht="15" customHeight="1" x14ac:dyDescent="0.25">
      <c r="A30" s="281">
        <v>15</v>
      </c>
      <c r="B30" s="285"/>
      <c r="C30" s="280" t="s">
        <v>131</v>
      </c>
      <c r="D30" s="279" t="s">
        <v>138</v>
      </c>
      <c r="E30" s="278" t="s">
        <v>133</v>
      </c>
      <c r="F30" s="278">
        <v>1</v>
      </c>
      <c r="G30" s="277">
        <v>761.5</v>
      </c>
      <c r="H30" s="277">
        <f t="shared" si="0"/>
        <v>761.5</v>
      </c>
      <c r="I30" s="283"/>
    </row>
    <row r="31" spans="1:12" ht="15" customHeight="1" x14ac:dyDescent="0.25">
      <c r="A31" s="281">
        <v>16</v>
      </c>
      <c r="B31" s="285"/>
      <c r="C31" s="280" t="s">
        <v>131</v>
      </c>
      <c r="D31" s="279" t="s">
        <v>139</v>
      </c>
      <c r="E31" s="278" t="s">
        <v>133</v>
      </c>
      <c r="F31" s="278">
        <v>1</v>
      </c>
      <c r="G31" s="277">
        <v>506.76</v>
      </c>
      <c r="H31" s="277">
        <f t="shared" si="0"/>
        <v>506.76</v>
      </c>
      <c r="I31" s="283"/>
    </row>
    <row r="32" spans="1:12" ht="15" customHeight="1" x14ac:dyDescent="0.25">
      <c r="A32" s="281">
        <v>17</v>
      </c>
      <c r="B32" s="285"/>
      <c r="C32" s="280" t="s">
        <v>131</v>
      </c>
      <c r="D32" s="279" t="s">
        <v>140</v>
      </c>
      <c r="E32" s="278" t="s">
        <v>133</v>
      </c>
      <c r="F32" s="278">
        <v>1</v>
      </c>
      <c r="G32" s="277">
        <v>358.48</v>
      </c>
      <c r="H32" s="277">
        <f t="shared" si="0"/>
        <v>358.48</v>
      </c>
      <c r="I32" s="283"/>
    </row>
    <row r="33" spans="1:11" ht="15" customHeight="1" x14ac:dyDescent="0.25">
      <c r="A33" s="281">
        <v>18</v>
      </c>
      <c r="B33" s="285"/>
      <c r="C33" s="280" t="s">
        <v>131</v>
      </c>
      <c r="D33" s="279" t="s">
        <v>141</v>
      </c>
      <c r="E33" s="278" t="s">
        <v>133</v>
      </c>
      <c r="F33" s="278">
        <v>1</v>
      </c>
      <c r="G33" s="277">
        <v>138.44999999999999</v>
      </c>
      <c r="H33" s="277">
        <f t="shared" si="0"/>
        <v>138.44999999999999</v>
      </c>
      <c r="I33" s="283"/>
    </row>
    <row r="34" spans="1:11" x14ac:dyDescent="0.25">
      <c r="A34" s="342" t="s">
        <v>142</v>
      </c>
      <c r="B34" s="343"/>
      <c r="C34" s="344"/>
      <c r="D34" s="344"/>
      <c r="E34" s="343"/>
      <c r="F34" s="256"/>
      <c r="G34" s="255"/>
      <c r="H34" s="284">
        <f>SUM(H36:H41)</f>
        <v>285.64</v>
      </c>
    </row>
    <row r="35" spans="1:11" ht="15" customHeight="1" x14ac:dyDescent="0.25">
      <c r="A35" s="281">
        <v>19</v>
      </c>
      <c r="B35" s="285"/>
      <c r="C35" s="280" t="s">
        <v>143</v>
      </c>
      <c r="D35" s="279" t="s">
        <v>144</v>
      </c>
      <c r="E35" s="278" t="s">
        <v>145</v>
      </c>
      <c r="F35" s="278">
        <v>1</v>
      </c>
      <c r="G35" s="277">
        <v>8830.6299999999992</v>
      </c>
      <c r="H35" s="277">
        <f t="shared" ref="H35:H41" si="1">ROUND(F35*G35,2)</f>
        <v>8830.6299999999992</v>
      </c>
      <c r="I35" s="283"/>
    </row>
    <row r="36" spans="1:11" ht="25.5" customHeight="1" x14ac:dyDescent="0.25">
      <c r="A36" s="281">
        <v>20</v>
      </c>
      <c r="B36" s="253"/>
      <c r="C36" s="280" t="s">
        <v>146</v>
      </c>
      <c r="D36" s="279" t="s">
        <v>147</v>
      </c>
      <c r="E36" s="278" t="s">
        <v>148</v>
      </c>
      <c r="F36" s="278">
        <v>2.7320000000000001E-3</v>
      </c>
      <c r="G36" s="277">
        <v>68050</v>
      </c>
      <c r="H36" s="277">
        <f t="shared" si="1"/>
        <v>185.91</v>
      </c>
      <c r="I36" s="283"/>
      <c r="J36" s="298"/>
      <c r="K36" s="282"/>
    </row>
    <row r="37" spans="1:11" x14ac:dyDescent="0.25">
      <c r="A37" s="281">
        <v>21</v>
      </c>
      <c r="B37" s="253"/>
      <c r="C37" s="280" t="s">
        <v>149</v>
      </c>
      <c r="D37" s="279" t="s">
        <v>150</v>
      </c>
      <c r="E37" s="278" t="s">
        <v>148</v>
      </c>
      <c r="F37" s="278">
        <v>7.1999999999999998E-3</v>
      </c>
      <c r="G37" s="277">
        <v>7826.9</v>
      </c>
      <c r="H37" s="277">
        <f t="shared" si="1"/>
        <v>56.35</v>
      </c>
      <c r="I37" s="283"/>
      <c r="J37" s="298"/>
      <c r="K37" s="282"/>
    </row>
    <row r="38" spans="1:11" x14ac:dyDescent="0.25">
      <c r="A38" s="281">
        <v>22</v>
      </c>
      <c r="B38" s="253"/>
      <c r="C38" s="280" t="s">
        <v>151</v>
      </c>
      <c r="D38" s="279" t="s">
        <v>152</v>
      </c>
      <c r="E38" s="278" t="s">
        <v>153</v>
      </c>
      <c r="F38" s="278">
        <v>0.245</v>
      </c>
      <c r="G38" s="277">
        <v>120</v>
      </c>
      <c r="H38" s="277">
        <f t="shared" si="1"/>
        <v>29.4</v>
      </c>
      <c r="I38" s="283"/>
      <c r="J38" s="298"/>
      <c r="K38" s="282"/>
    </row>
    <row r="39" spans="1:11" x14ac:dyDescent="0.25">
      <c r="A39" s="281">
        <v>23</v>
      </c>
      <c r="B39" s="253"/>
      <c r="C39" s="280" t="s">
        <v>154</v>
      </c>
      <c r="D39" s="279" t="s">
        <v>155</v>
      </c>
      <c r="E39" s="278" t="s">
        <v>148</v>
      </c>
      <c r="F39" s="278">
        <v>1.1000000000000001E-3</v>
      </c>
      <c r="G39" s="277">
        <v>12430</v>
      </c>
      <c r="H39" s="277">
        <f t="shared" si="1"/>
        <v>13.67</v>
      </c>
      <c r="I39" s="283"/>
      <c r="J39" s="298"/>
    </row>
    <row r="40" spans="1:11" x14ac:dyDescent="0.25">
      <c r="A40" s="281">
        <v>24</v>
      </c>
      <c r="B40" s="253"/>
      <c r="C40" s="280" t="s">
        <v>156</v>
      </c>
      <c r="D40" s="279" t="s">
        <v>157</v>
      </c>
      <c r="E40" s="278" t="s">
        <v>158</v>
      </c>
      <c r="F40" s="278">
        <v>1.9E-3</v>
      </c>
      <c r="G40" s="277">
        <v>155</v>
      </c>
      <c r="H40" s="277">
        <f t="shared" si="1"/>
        <v>0.28999999999999998</v>
      </c>
      <c r="I40" s="283"/>
      <c r="J40" s="298"/>
    </row>
    <row r="41" spans="1:11" ht="38.25" customHeight="1" x14ac:dyDescent="0.25">
      <c r="A41" s="281">
        <v>25</v>
      </c>
      <c r="B41" s="253"/>
      <c r="C41" s="280" t="s">
        <v>159</v>
      </c>
      <c r="D41" s="279" t="s">
        <v>160</v>
      </c>
      <c r="E41" s="278" t="s">
        <v>158</v>
      </c>
      <c r="F41" s="278">
        <v>2.0000000000000001E-4</v>
      </c>
      <c r="G41" s="277">
        <v>91.29</v>
      </c>
      <c r="H41" s="277">
        <f t="shared" si="1"/>
        <v>0.02</v>
      </c>
      <c r="I41" s="283"/>
      <c r="J41" s="298"/>
    </row>
    <row r="44" spans="1:11" x14ac:dyDescent="0.25">
      <c r="B44" s="241" t="s">
        <v>94</v>
      </c>
    </row>
    <row r="45" spans="1:11" x14ac:dyDescent="0.25">
      <c r="B45" s="242" t="s">
        <v>77</v>
      </c>
    </row>
    <row r="47" spans="1:11" x14ac:dyDescent="0.25">
      <c r="B47" s="241" t="s">
        <v>78</v>
      </c>
    </row>
    <row r="48" spans="1:11" x14ac:dyDescent="0.25">
      <c r="B48" s="242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1" workbookViewId="0">
      <selection activeCell="C48" sqref="C48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9"/>
      <c r="C1" s="259"/>
      <c r="D1" s="259"/>
      <c r="E1" s="259"/>
    </row>
    <row r="2" spans="2:5" x14ac:dyDescent="0.25">
      <c r="B2" s="259"/>
      <c r="C2" s="259"/>
      <c r="D2" s="259"/>
      <c r="E2" s="270" t="s">
        <v>161</v>
      </c>
    </row>
    <row r="3" spans="2:5" x14ac:dyDescent="0.25">
      <c r="B3" s="259"/>
      <c r="C3" s="259"/>
      <c r="D3" s="259"/>
      <c r="E3" s="259"/>
    </row>
    <row r="4" spans="2:5" x14ac:dyDescent="0.25">
      <c r="B4" s="259"/>
      <c r="C4" s="259"/>
      <c r="D4" s="259"/>
      <c r="E4" s="259"/>
    </row>
    <row r="5" spans="2:5" x14ac:dyDescent="0.25">
      <c r="B5" s="320" t="s">
        <v>162</v>
      </c>
      <c r="C5" s="320"/>
      <c r="D5" s="320"/>
      <c r="E5" s="320"/>
    </row>
    <row r="6" spans="2:5" x14ac:dyDescent="0.25">
      <c r="B6" s="269"/>
      <c r="C6" s="259"/>
      <c r="D6" s="259"/>
      <c r="E6" s="259"/>
    </row>
    <row r="7" spans="2:5" ht="25.5" customHeight="1" x14ac:dyDescent="0.25">
      <c r="B7" s="345" t="s">
        <v>163</v>
      </c>
      <c r="C7" s="345"/>
      <c r="D7" s="345"/>
      <c r="E7" s="345"/>
    </row>
    <row r="8" spans="2:5" x14ac:dyDescent="0.25">
      <c r="B8" s="346" t="s">
        <v>50</v>
      </c>
      <c r="C8" s="346"/>
      <c r="D8" s="346"/>
      <c r="E8" s="346"/>
    </row>
    <row r="9" spans="2:5" x14ac:dyDescent="0.25">
      <c r="B9" s="269"/>
      <c r="C9" s="259"/>
      <c r="D9" s="259"/>
      <c r="E9" s="259"/>
    </row>
    <row r="10" spans="2:5" ht="51" customHeight="1" x14ac:dyDescent="0.25">
      <c r="B10" s="268" t="s">
        <v>164</v>
      </c>
      <c r="C10" s="268" t="s">
        <v>165</v>
      </c>
      <c r="D10" s="268" t="s">
        <v>166</v>
      </c>
      <c r="E10" s="268" t="s">
        <v>167</v>
      </c>
    </row>
    <row r="11" spans="2:5" x14ac:dyDescent="0.25">
      <c r="B11" s="261" t="s">
        <v>168</v>
      </c>
      <c r="C11" s="262">
        <f>'Прил.5 Расчет СМР и ОБ'!J14</f>
        <v>126544.97</v>
      </c>
      <c r="D11" s="263">
        <f t="shared" ref="D11:D18" si="0">C11/$C$24</f>
        <v>0.29646733937479147</v>
      </c>
      <c r="E11" s="263">
        <f t="shared" ref="E11:E18" si="1">C11/$C$40</f>
        <v>8.6015293236600482E-2</v>
      </c>
    </row>
    <row r="12" spans="2:5" x14ac:dyDescent="0.25">
      <c r="B12" s="261" t="s">
        <v>169</v>
      </c>
      <c r="C12" s="262">
        <f>'Прил.5 Расчет СМР и ОБ'!J22</f>
        <v>15782.210000000001</v>
      </c>
      <c r="D12" s="263">
        <f t="shared" si="0"/>
        <v>3.6974285174307821E-2</v>
      </c>
      <c r="E12" s="263">
        <f t="shared" si="1"/>
        <v>1.0727502018228054E-2</v>
      </c>
    </row>
    <row r="13" spans="2:5" x14ac:dyDescent="0.25">
      <c r="B13" s="261" t="s">
        <v>170</v>
      </c>
      <c r="C13" s="262">
        <f>'Прил.5 Расчет СМР и ОБ'!J25</f>
        <v>1238.5999999999999</v>
      </c>
      <c r="D13" s="263">
        <f t="shared" si="0"/>
        <v>2.9017703868404782E-3</v>
      </c>
      <c r="E13" s="263">
        <f t="shared" si="1"/>
        <v>8.4190262325601207E-4</v>
      </c>
    </row>
    <row r="14" spans="2:5" x14ac:dyDescent="0.25">
      <c r="B14" s="261" t="s">
        <v>171</v>
      </c>
      <c r="C14" s="262">
        <f>C13+C12</f>
        <v>17020.810000000001</v>
      </c>
      <c r="D14" s="263">
        <f t="shared" si="0"/>
        <v>3.9876055561148302E-2</v>
      </c>
      <c r="E14" s="263">
        <f t="shared" si="1"/>
        <v>1.1569404641484066E-2</v>
      </c>
    </row>
    <row r="15" spans="2:5" x14ac:dyDescent="0.25">
      <c r="B15" s="261" t="s">
        <v>172</v>
      </c>
      <c r="C15" s="262">
        <f>'Прил.5 Расчет СМР и ОБ'!J16</f>
        <v>6355.14</v>
      </c>
      <c r="D15" s="263">
        <f t="shared" si="0"/>
        <v>1.4888710686440657E-2</v>
      </c>
      <c r="E15" s="263">
        <f t="shared" si="1"/>
        <v>4.3197231044398623E-3</v>
      </c>
    </row>
    <row r="16" spans="2:5" x14ac:dyDescent="0.25">
      <c r="B16" s="261" t="s">
        <v>173</v>
      </c>
      <c r="C16" s="262">
        <f>'Прил.5 Расчет СМР и ОБ'!J45</f>
        <v>70998.27</v>
      </c>
      <c r="D16" s="263">
        <f t="shared" si="0"/>
        <v>0.16633350347400674</v>
      </c>
      <c r="E16" s="263">
        <f t="shared" si="1"/>
        <v>4.8259026125979841E-2</v>
      </c>
    </row>
    <row r="17" spans="2:7" x14ac:dyDescent="0.25">
      <c r="B17" s="261" t="s">
        <v>174</v>
      </c>
      <c r="C17" s="262">
        <f>'Прил.5 Расчет СМР и ОБ'!J52</f>
        <v>2296.6499999999996</v>
      </c>
      <c r="D17" s="263">
        <f t="shared" si="0"/>
        <v>5.380551395880174E-3</v>
      </c>
      <c r="E17" s="263">
        <f t="shared" si="1"/>
        <v>1.5610815918786693E-3</v>
      </c>
      <c r="G17" s="267"/>
    </row>
    <row r="18" spans="2:7" x14ac:dyDescent="0.25">
      <c r="B18" s="261" t="s">
        <v>175</v>
      </c>
      <c r="C18" s="262">
        <f>C17+C16</f>
        <v>73294.92</v>
      </c>
      <c r="D18" s="263">
        <f t="shared" si="0"/>
        <v>0.17171405486988689</v>
      </c>
      <c r="E18" s="263">
        <f t="shared" si="1"/>
        <v>4.9820107717858504E-2</v>
      </c>
    </row>
    <row r="19" spans="2:7" x14ac:dyDescent="0.25">
      <c r="B19" s="261" t="s">
        <v>176</v>
      </c>
      <c r="C19" s="262">
        <f>C18+C14+C11</f>
        <v>216860.7</v>
      </c>
      <c r="D19" s="263"/>
      <c r="E19" s="261"/>
    </row>
    <row r="20" spans="2:7" x14ac:dyDescent="0.25">
      <c r="B20" s="261" t="s">
        <v>177</v>
      </c>
      <c r="C20" s="262">
        <f>ROUND(C21*(C11+C15),2)</f>
        <v>86385.07</v>
      </c>
      <c r="D20" s="263">
        <f>C20/$C$24</f>
        <v>0.20238142902562717</v>
      </c>
      <c r="E20" s="263">
        <f>C20/$C$40</f>
        <v>5.8717759602094494E-2</v>
      </c>
    </row>
    <row r="21" spans="2:7" x14ac:dyDescent="0.25">
      <c r="B21" s="261" t="s">
        <v>178</v>
      </c>
      <c r="C21" s="266">
        <f>'Прил.5 Расчет СМР и ОБ'!D56</f>
        <v>0.65</v>
      </c>
      <c r="D21" s="263"/>
      <c r="E21" s="261"/>
    </row>
    <row r="22" spans="2:7" x14ac:dyDescent="0.25">
      <c r="B22" s="261" t="s">
        <v>179</v>
      </c>
      <c r="C22" s="262">
        <f>ROUND(C23*(C11+C15),2)</f>
        <v>123597.1</v>
      </c>
      <c r="D22" s="263">
        <f>C22/$C$24</f>
        <v>0.28956112116854621</v>
      </c>
      <c r="E22" s="263">
        <f>C22/$C$40</f>
        <v>8.4011563633808864E-2</v>
      </c>
    </row>
    <row r="23" spans="2:7" x14ac:dyDescent="0.25">
      <c r="B23" s="261" t="s">
        <v>180</v>
      </c>
      <c r="C23" s="266">
        <f>'Прил.5 Расчет СМР и ОБ'!D55</f>
        <v>0.93</v>
      </c>
      <c r="D23" s="263"/>
      <c r="E23" s="261"/>
    </row>
    <row r="24" spans="2:7" x14ac:dyDescent="0.25">
      <c r="B24" s="261" t="s">
        <v>181</v>
      </c>
      <c r="C24" s="262">
        <f>C19+C20+C22</f>
        <v>426842.87</v>
      </c>
      <c r="D24" s="263">
        <f>C24/$C$24</f>
        <v>1</v>
      </c>
      <c r="E24" s="263">
        <f>C24/$C$40</f>
        <v>0.29013412883184642</v>
      </c>
    </row>
    <row r="25" spans="2:7" ht="25.5" customHeight="1" x14ac:dyDescent="0.25">
      <c r="B25" s="261" t="s">
        <v>182</v>
      </c>
      <c r="C25" s="262">
        <f>'Прил.5 Расчет СМР и ОБ'!J40</f>
        <v>885469.3</v>
      </c>
      <c r="D25" s="263"/>
      <c r="E25" s="263">
        <f>C25/$C$40</f>
        <v>0.60187221579417471</v>
      </c>
    </row>
    <row r="26" spans="2:7" ht="25.5" customHeight="1" x14ac:dyDescent="0.25">
      <c r="B26" s="261" t="s">
        <v>183</v>
      </c>
      <c r="C26" s="262">
        <f>'Прил.5 Расчет СМР и ОБ'!J41</f>
        <v>885469.3</v>
      </c>
      <c r="D26" s="263"/>
      <c r="E26" s="263">
        <f>C26/$C$40</f>
        <v>0.60187221579417471</v>
      </c>
    </row>
    <row r="27" spans="2:7" x14ac:dyDescent="0.25">
      <c r="B27" s="261" t="s">
        <v>184</v>
      </c>
      <c r="C27" s="265">
        <f>C24+C25</f>
        <v>1312312.17</v>
      </c>
      <c r="D27" s="263"/>
      <c r="E27" s="263">
        <f>C27/$C$40</f>
        <v>0.89200634462602102</v>
      </c>
    </row>
    <row r="28" spans="2:7" ht="33" customHeight="1" x14ac:dyDescent="0.25">
      <c r="B28" s="261" t="s">
        <v>185</v>
      </c>
      <c r="C28" s="261"/>
      <c r="D28" s="261"/>
      <c r="E28" s="261"/>
      <c r="F28" s="264"/>
    </row>
    <row r="29" spans="2:7" ht="25.5" customHeight="1" x14ac:dyDescent="0.25">
      <c r="B29" s="261" t="s">
        <v>186</v>
      </c>
      <c r="C29" s="265">
        <f>ROUND(C24*3.9%,2)</f>
        <v>16646.87</v>
      </c>
      <c r="D29" s="261"/>
      <c r="E29" s="263">
        <f t="shared" ref="E29:E38" si="2">C29/$C$40</f>
        <v>1.1315229712580178E-2</v>
      </c>
    </row>
    <row r="30" spans="2:7" ht="38.25" customHeight="1" x14ac:dyDescent="0.25">
      <c r="B30" s="261" t="s">
        <v>187</v>
      </c>
      <c r="C30" s="265">
        <f>ROUND((C24+C29)*2.1%,2)</f>
        <v>9313.2800000000007</v>
      </c>
      <c r="D30" s="261"/>
      <c r="E30" s="263">
        <f t="shared" si="2"/>
        <v>6.3304334434989128E-3</v>
      </c>
      <c r="F30" s="264"/>
    </row>
    <row r="31" spans="2:7" x14ac:dyDescent="0.25">
      <c r="B31" s="261" t="s">
        <v>188</v>
      </c>
      <c r="C31" s="265">
        <v>57410</v>
      </c>
      <c r="D31" s="261"/>
      <c r="E31" s="263">
        <f t="shared" si="2"/>
        <v>3.9022791539744597E-2</v>
      </c>
    </row>
    <row r="32" spans="2:7" ht="25.5" customHeight="1" x14ac:dyDescent="0.25">
      <c r="B32" s="261" t="s">
        <v>189</v>
      </c>
      <c r="C32" s="265">
        <f>ROUND(C27*0%,2)</f>
        <v>0</v>
      </c>
      <c r="D32" s="261"/>
      <c r="E32" s="263">
        <f t="shared" si="2"/>
        <v>0</v>
      </c>
    </row>
    <row r="33" spans="2:12" ht="25.5" customHeight="1" x14ac:dyDescent="0.25">
      <c r="B33" s="261" t="s">
        <v>190</v>
      </c>
      <c r="C33" s="265">
        <f>ROUND(C28*0%,2)</f>
        <v>0</v>
      </c>
      <c r="D33" s="261"/>
      <c r="E33" s="263">
        <f t="shared" si="2"/>
        <v>0</v>
      </c>
    </row>
    <row r="34" spans="2:12" ht="51" customHeight="1" x14ac:dyDescent="0.25">
      <c r="B34" s="261" t="s">
        <v>191</v>
      </c>
      <c r="C34" s="265">
        <f>ROUND(C29*0%,2)</f>
        <v>0</v>
      </c>
      <c r="D34" s="261"/>
      <c r="E34" s="263">
        <f t="shared" si="2"/>
        <v>0</v>
      </c>
      <c r="H34" s="272"/>
    </row>
    <row r="35" spans="2:12" ht="76.7" customHeight="1" x14ac:dyDescent="0.25">
      <c r="B35" s="261" t="s">
        <v>192</v>
      </c>
      <c r="C35" s="265">
        <f>ROUND(C30*0%,2)</f>
        <v>0</v>
      </c>
      <c r="D35" s="261"/>
      <c r="E35" s="263">
        <f t="shared" si="2"/>
        <v>0</v>
      </c>
    </row>
    <row r="36" spans="2:12" ht="25.5" customHeight="1" x14ac:dyDescent="0.25">
      <c r="B36" s="261" t="s">
        <v>193</v>
      </c>
      <c r="C36" s="265">
        <f>ROUND((C27+C32+C33+C34+C35+C29+C31+C30)*2.14%,2)</f>
        <v>29867.599999999999</v>
      </c>
      <c r="D36" s="261"/>
      <c r="E36" s="263">
        <f t="shared" si="2"/>
        <v>2.0301639585307011E-2</v>
      </c>
      <c r="L36" s="264"/>
    </row>
    <row r="37" spans="2:12" x14ac:dyDescent="0.25">
      <c r="B37" s="261" t="s">
        <v>194</v>
      </c>
      <c r="C37" s="265">
        <f>ROUND((C27+C32+C33+C34+C35+C29+C31+C30)*0.2%,2)</f>
        <v>2791.36</v>
      </c>
      <c r="D37" s="261"/>
      <c r="E37" s="263">
        <f t="shared" si="2"/>
        <v>1.8973464447375279E-3</v>
      </c>
      <c r="L37" s="264"/>
    </row>
    <row r="38" spans="2:12" ht="38.25" customHeight="1" x14ac:dyDescent="0.25">
      <c r="B38" s="261" t="s">
        <v>195</v>
      </c>
      <c r="C38" s="262">
        <f>C27+C32+C33+C34+C35+C29+C31+C30+C36+C37</f>
        <v>1428341.2800000003</v>
      </c>
      <c r="D38" s="261"/>
      <c r="E38" s="263">
        <f t="shared" si="2"/>
        <v>0.97087378535188951</v>
      </c>
    </row>
    <row r="39" spans="2:12" ht="13.7" customHeight="1" x14ac:dyDescent="0.25">
      <c r="B39" s="261" t="s">
        <v>196</v>
      </c>
      <c r="C39" s="262">
        <f>ROUND(C38*3%,2)</f>
        <v>42850.239999999998</v>
      </c>
      <c r="D39" s="261"/>
      <c r="E39" s="263">
        <f>C39/$C$38</f>
        <v>3.0000001120180458E-2</v>
      </c>
    </row>
    <row r="40" spans="2:12" x14ac:dyDescent="0.25">
      <c r="B40" s="261" t="s">
        <v>197</v>
      </c>
      <c r="C40" s="262">
        <f>C39+C38</f>
        <v>1471191.5200000003</v>
      </c>
      <c r="D40" s="261"/>
      <c r="E40" s="263">
        <f>C40/$C$40</f>
        <v>1</v>
      </c>
    </row>
    <row r="41" spans="2:12" x14ac:dyDescent="0.25">
      <c r="B41" s="261" t="s">
        <v>198</v>
      </c>
      <c r="C41" s="262">
        <f>C40/'Прил.5 Расчет СМР и ОБ'!E59</f>
        <v>1471191.5200000003</v>
      </c>
      <c r="D41" s="261"/>
      <c r="E41" s="261"/>
    </row>
    <row r="42" spans="2:12" x14ac:dyDescent="0.25">
      <c r="B42" s="260"/>
      <c r="C42" s="259"/>
      <c r="D42" s="259"/>
      <c r="E42" s="259"/>
    </row>
    <row r="43" spans="2:12" x14ac:dyDescent="0.25">
      <c r="B43" s="260" t="s">
        <v>199</v>
      </c>
      <c r="C43" s="259"/>
      <c r="D43" s="259"/>
      <c r="E43" s="259"/>
    </row>
    <row r="44" spans="2:12" x14ac:dyDescent="0.25">
      <c r="B44" s="260" t="s">
        <v>200</v>
      </c>
      <c r="C44" s="259"/>
      <c r="D44" s="259"/>
      <c r="E44" s="259"/>
    </row>
    <row r="45" spans="2:12" x14ac:dyDescent="0.25">
      <c r="B45" s="260"/>
      <c r="C45" s="259"/>
      <c r="D45" s="259"/>
      <c r="E45" s="259"/>
    </row>
    <row r="46" spans="2:12" x14ac:dyDescent="0.25">
      <c r="B46" s="260" t="s">
        <v>201</v>
      </c>
      <c r="C46" s="259"/>
      <c r="D46" s="259"/>
      <c r="E46" s="259"/>
    </row>
    <row r="47" spans="2:12" x14ac:dyDescent="0.25">
      <c r="B47" s="346" t="s">
        <v>202</v>
      </c>
      <c r="C47" s="346"/>
      <c r="D47" s="259"/>
      <c r="E47" s="259"/>
    </row>
    <row r="49" spans="2:5" x14ac:dyDescent="0.25">
      <c r="B49" s="259"/>
      <c r="C49" s="259"/>
      <c r="D49" s="259"/>
      <c r="E49" s="259"/>
    </row>
    <row r="50" spans="2:5" x14ac:dyDescent="0.25">
      <c r="B50" s="259"/>
      <c r="C50" s="259"/>
      <c r="D50" s="259"/>
      <c r="E50" s="2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zoomScale="25" zoomScaleSheetLayoutView="25" workbookViewId="0">
      <selection activeCell="CD55" sqref="CD5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187"/>
      <c r="E2" s="187"/>
      <c r="F2" s="187"/>
      <c r="G2" s="187"/>
      <c r="H2" s="361" t="s">
        <v>203</v>
      </c>
      <c r="I2" s="361"/>
      <c r="J2" s="361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20" t="s">
        <v>204</v>
      </c>
      <c r="B4" s="320"/>
      <c r="C4" s="320"/>
      <c r="D4" s="320"/>
      <c r="E4" s="320"/>
      <c r="F4" s="320"/>
      <c r="G4" s="320"/>
      <c r="H4" s="320"/>
      <c r="I4" s="320"/>
      <c r="J4" s="320"/>
    </row>
    <row r="5" spans="1:14" s="190" customFormat="1" ht="12.75" customHeight="1" x14ac:dyDescent="0.2">
      <c r="A5" s="189"/>
      <c r="B5" s="189"/>
      <c r="C5" s="191"/>
      <c r="D5" s="189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9" t="s">
        <v>205</v>
      </c>
      <c r="B6" s="228"/>
      <c r="C6" s="228"/>
      <c r="D6" s="365" t="s">
        <v>206</v>
      </c>
      <c r="E6" s="365"/>
      <c r="F6" s="365"/>
      <c r="G6" s="365"/>
      <c r="H6" s="365"/>
      <c r="I6" s="365"/>
      <c r="J6" s="365"/>
    </row>
    <row r="7" spans="1:14" s="190" customFormat="1" ht="12.75" customHeight="1" x14ac:dyDescent="0.2">
      <c r="A7" s="323" t="s">
        <v>50</v>
      </c>
      <c r="B7" s="345"/>
      <c r="C7" s="345"/>
      <c r="D7" s="345"/>
      <c r="E7" s="345"/>
      <c r="F7" s="345"/>
      <c r="G7" s="345"/>
      <c r="H7" s="345"/>
      <c r="I7" s="192"/>
      <c r="J7" s="192"/>
    </row>
    <row r="8" spans="1:14" s="4" customFormat="1" ht="13.7" customHeight="1" x14ac:dyDescent="0.2">
      <c r="A8" s="323"/>
      <c r="B8" s="345"/>
      <c r="C8" s="345"/>
      <c r="D8" s="345"/>
      <c r="E8" s="345"/>
      <c r="F8" s="345"/>
      <c r="G8" s="345"/>
      <c r="H8" s="345"/>
    </row>
    <row r="9" spans="1:14" s="188" customFormat="1" ht="27" customHeight="1" x14ac:dyDescent="0.25">
      <c r="A9" s="353" t="s">
        <v>13</v>
      </c>
      <c r="B9" s="353" t="s">
        <v>101</v>
      </c>
      <c r="C9" s="353" t="s">
        <v>164</v>
      </c>
      <c r="D9" s="353" t="s">
        <v>103</v>
      </c>
      <c r="E9" s="348" t="s">
        <v>207</v>
      </c>
      <c r="F9" s="362" t="s">
        <v>105</v>
      </c>
      <c r="G9" s="363"/>
      <c r="H9" s="348" t="s">
        <v>208</v>
      </c>
      <c r="I9" s="362" t="s">
        <v>209</v>
      </c>
      <c r="J9" s="363"/>
      <c r="K9" s="187"/>
      <c r="L9" s="187"/>
      <c r="M9" s="187"/>
      <c r="N9" s="187"/>
    </row>
    <row r="10" spans="1:14" s="188" customFormat="1" ht="28.5" customHeight="1" x14ac:dyDescent="0.25">
      <c r="A10" s="353"/>
      <c r="B10" s="353"/>
      <c r="C10" s="353"/>
      <c r="D10" s="353"/>
      <c r="E10" s="364"/>
      <c r="F10" s="155" t="s">
        <v>210</v>
      </c>
      <c r="G10" s="155" t="s">
        <v>107</v>
      </c>
      <c r="H10" s="364"/>
      <c r="I10" s="155" t="s">
        <v>210</v>
      </c>
      <c r="J10" s="155" t="s">
        <v>107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41" t="s">
        <v>211</v>
      </c>
      <c r="C12" s="352"/>
      <c r="D12" s="353"/>
      <c r="E12" s="354"/>
      <c r="F12" s="355"/>
      <c r="G12" s="355"/>
      <c r="H12" s="356"/>
      <c r="I12" s="198"/>
      <c r="J12" s="198"/>
    </row>
    <row r="13" spans="1:14" ht="25.5" customHeight="1" x14ac:dyDescent="0.25">
      <c r="A13" s="2">
        <v>1</v>
      </c>
      <c r="B13" s="226" t="s">
        <v>212</v>
      </c>
      <c r="C13" s="227" t="s">
        <v>213</v>
      </c>
      <c r="D13" s="155" t="s">
        <v>214</v>
      </c>
      <c r="E13" s="224">
        <f>G13/F13</f>
        <v>272.55168986083498</v>
      </c>
      <c r="F13" s="201">
        <v>10.06</v>
      </c>
      <c r="G13" s="201">
        <f>Прил.3!H12</f>
        <v>2741.87</v>
      </c>
      <c r="H13" s="216">
        <f>G13/G14</f>
        <v>1</v>
      </c>
      <c r="I13" s="200">
        <f>ФОТр.тек.!E13</f>
        <v>464.29715230005002</v>
      </c>
      <c r="J13" s="200">
        <f>ROUND(I13*E13,2)</f>
        <v>126544.97</v>
      </c>
    </row>
    <row r="14" spans="1:14" s="14" customFormat="1" ht="25.5" customHeight="1" x14ac:dyDescent="0.2">
      <c r="A14" s="2"/>
      <c r="B14" s="2"/>
      <c r="C14" s="194" t="s">
        <v>215</v>
      </c>
      <c r="D14" s="2" t="s">
        <v>214</v>
      </c>
      <c r="E14" s="199">
        <f>SUM(E13:E13)</f>
        <v>272.55168986083498</v>
      </c>
      <c r="F14" s="28"/>
      <c r="G14" s="28">
        <f>SUM(G13:G13)</f>
        <v>2741.87</v>
      </c>
      <c r="H14" s="197">
        <v>1</v>
      </c>
      <c r="I14" s="198"/>
      <c r="J14" s="201">
        <f>SUM(J13:J13)</f>
        <v>126544.97</v>
      </c>
    </row>
    <row r="15" spans="1:14" s="14" customFormat="1" ht="14.25" customHeight="1" x14ac:dyDescent="0.2">
      <c r="A15" s="2"/>
      <c r="B15" s="352" t="s">
        <v>117</v>
      </c>
      <c r="C15" s="352"/>
      <c r="D15" s="353"/>
      <c r="E15" s="354"/>
      <c r="F15" s="355"/>
      <c r="G15" s="355"/>
      <c r="H15" s="356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117</v>
      </c>
      <c r="D16" s="2" t="s">
        <v>214</v>
      </c>
      <c r="E16" s="199">
        <v>13.2</v>
      </c>
      <c r="F16" s="28">
        <f>G16/E16</f>
        <v>10.870454545454546</v>
      </c>
      <c r="G16" s="28">
        <f>Прил.3!H16</f>
        <v>143.49</v>
      </c>
      <c r="H16" s="197">
        <v>1</v>
      </c>
      <c r="I16" s="200">
        <f>ROUND(F16*Прил.10!D11,2)</f>
        <v>481.45</v>
      </c>
      <c r="J16" s="200">
        <f>ROUND(I16*E16,2)</f>
        <v>6355.14</v>
      </c>
    </row>
    <row r="17" spans="1:12" s="14" customFormat="1" ht="14.25" customHeight="1" x14ac:dyDescent="0.2">
      <c r="A17" s="2"/>
      <c r="B17" s="341" t="s">
        <v>119</v>
      </c>
      <c r="C17" s="352"/>
      <c r="D17" s="353"/>
      <c r="E17" s="354"/>
      <c r="F17" s="355"/>
      <c r="G17" s="355"/>
      <c r="H17" s="356"/>
      <c r="I17" s="198"/>
      <c r="J17" s="198"/>
    </row>
    <row r="18" spans="1:12" s="14" customFormat="1" ht="14.25" customHeight="1" x14ac:dyDescent="0.2">
      <c r="A18" s="2"/>
      <c r="B18" s="352" t="s">
        <v>216</v>
      </c>
      <c r="C18" s="352"/>
      <c r="D18" s="353"/>
      <c r="E18" s="354"/>
      <c r="F18" s="355"/>
      <c r="G18" s="355"/>
      <c r="H18" s="356"/>
      <c r="I18" s="198"/>
      <c r="J18" s="198"/>
    </row>
    <row r="19" spans="1:12" s="14" customFormat="1" ht="14.25" customHeight="1" x14ac:dyDescent="0.2">
      <c r="A19" s="2">
        <v>3</v>
      </c>
      <c r="B19" s="219" t="s">
        <v>120</v>
      </c>
      <c r="C19" s="223" t="s">
        <v>121</v>
      </c>
      <c r="D19" s="220" t="s">
        <v>122</v>
      </c>
      <c r="E19" s="199">
        <v>8.7200000000000006</v>
      </c>
      <c r="F19" s="221">
        <v>89.99</v>
      </c>
      <c r="G19" s="222">
        <f>ROUND(E19*F19,2)</f>
        <v>784.71</v>
      </c>
      <c r="H19" s="225">
        <f>G19/$G$26</f>
        <v>0.62100648143018811</v>
      </c>
      <c r="I19" s="201">
        <f>ROUND(F19*Прил.10!$D$12,2)</f>
        <v>1212.17</v>
      </c>
      <c r="J19" s="201">
        <f>ROUND(I19*E19,2)</f>
        <v>10570.12</v>
      </c>
    </row>
    <row r="20" spans="1:12" s="14" customFormat="1" ht="25.5" customHeight="1" x14ac:dyDescent="0.2">
      <c r="A20" s="2">
        <v>4</v>
      </c>
      <c r="B20" s="219" t="s">
        <v>123</v>
      </c>
      <c r="C20" s="223" t="s">
        <v>124</v>
      </c>
      <c r="D20" s="220" t="s">
        <v>122</v>
      </c>
      <c r="E20" s="199">
        <v>2</v>
      </c>
      <c r="F20" s="221">
        <v>111.99</v>
      </c>
      <c r="G20" s="222">
        <f>ROUND(E20*F20,2)</f>
        <v>223.98</v>
      </c>
      <c r="H20" s="225">
        <f>G20/$G$26</f>
        <v>0.17725405781847245</v>
      </c>
      <c r="I20" s="201">
        <f>ROUND(F20*Прил.10!$D$12,2)</f>
        <v>1508.51</v>
      </c>
      <c r="J20" s="201">
        <f>ROUND(I20*E20,2)</f>
        <v>3017.02</v>
      </c>
    </row>
    <row r="21" spans="1:12" s="14" customFormat="1" ht="25.5" customHeight="1" x14ac:dyDescent="0.2">
      <c r="A21" s="2">
        <v>5</v>
      </c>
      <c r="B21" s="219" t="s">
        <v>125</v>
      </c>
      <c r="C21" s="223" t="s">
        <v>126</v>
      </c>
      <c r="D21" s="220" t="s">
        <v>122</v>
      </c>
      <c r="E21" s="199">
        <v>2.48</v>
      </c>
      <c r="F21" s="221">
        <v>65.709999999999994</v>
      </c>
      <c r="G21" s="222">
        <f>ROUND(E21*F21,2)</f>
        <v>162.96</v>
      </c>
      <c r="H21" s="225">
        <f>G21/$G$26</f>
        <v>0.1289638416916612</v>
      </c>
      <c r="I21" s="201">
        <f>ROUND(F21*Прил.10!$D$12,2)</f>
        <v>885.11</v>
      </c>
      <c r="J21" s="201">
        <f>ROUND(I21*E21,2)</f>
        <v>2195.0700000000002</v>
      </c>
    </row>
    <row r="22" spans="1:12" s="14" customFormat="1" ht="14.25" customHeight="1" x14ac:dyDescent="0.2">
      <c r="A22" s="2"/>
      <c r="B22" s="2"/>
      <c r="C22" s="9" t="s">
        <v>217</v>
      </c>
      <c r="D22" s="2"/>
      <c r="E22" s="199"/>
      <c r="F22" s="28"/>
      <c r="G22" s="28">
        <f>SUM(G19:G21)</f>
        <v>1171.6500000000001</v>
      </c>
      <c r="H22" s="197">
        <f>G22/G26</f>
        <v>0.92722438094032178</v>
      </c>
      <c r="I22" s="202"/>
      <c r="J22" s="28">
        <f>SUM(J19:J21)</f>
        <v>15782.210000000001</v>
      </c>
    </row>
    <row r="23" spans="1:12" s="14" customFormat="1" ht="25.5" customHeight="1" outlineLevel="1" x14ac:dyDescent="0.2">
      <c r="A23" s="2">
        <v>6</v>
      </c>
      <c r="B23" s="219" t="s">
        <v>127</v>
      </c>
      <c r="C23" s="223" t="s">
        <v>128</v>
      </c>
      <c r="D23" s="220" t="s">
        <v>122</v>
      </c>
      <c r="E23" s="199">
        <v>22</v>
      </c>
      <c r="F23" s="221">
        <v>3.28</v>
      </c>
      <c r="G23" s="222">
        <f>ROUND(E23*F23,2)</f>
        <v>72.16</v>
      </c>
      <c r="H23" s="225">
        <f>G23/$G$26</f>
        <v>5.7106227396111132E-2</v>
      </c>
      <c r="I23" s="201">
        <f>ROUND(F23*Прил.10!$D$12,2)</f>
        <v>44.18</v>
      </c>
      <c r="J23" s="201">
        <f>ROUND(I23*E23,2)</f>
        <v>971.96</v>
      </c>
    </row>
    <row r="24" spans="1:12" s="14" customFormat="1" ht="25.5" customHeight="1" outlineLevel="1" x14ac:dyDescent="0.2">
      <c r="A24" s="2">
        <v>7</v>
      </c>
      <c r="B24" s="219" t="s">
        <v>129</v>
      </c>
      <c r="C24" s="223" t="s">
        <v>130</v>
      </c>
      <c r="D24" s="220" t="s">
        <v>122</v>
      </c>
      <c r="E24" s="199">
        <v>22</v>
      </c>
      <c r="F24" s="221">
        <v>0.9</v>
      </c>
      <c r="G24" s="222">
        <f>ROUND(E24*F24,2)</f>
        <v>19.8</v>
      </c>
      <c r="H24" s="225">
        <f>G24/$G$26</f>
        <v>1.5669391663567081E-2</v>
      </c>
      <c r="I24" s="201">
        <f>ROUND(F24*Прил.10!$D$12,2)</f>
        <v>12.12</v>
      </c>
      <c r="J24" s="201">
        <f>ROUND(I24*E24,2)</f>
        <v>266.64</v>
      </c>
    </row>
    <row r="25" spans="1:12" s="14" customFormat="1" ht="14.25" customHeight="1" x14ac:dyDescent="0.2">
      <c r="A25" s="2"/>
      <c r="B25" s="2"/>
      <c r="C25" s="9" t="s">
        <v>218</v>
      </c>
      <c r="D25" s="2"/>
      <c r="E25" s="195"/>
      <c r="F25" s="28"/>
      <c r="G25" s="202">
        <f>SUM(G23:G24)</f>
        <v>91.96</v>
      </c>
      <c r="H25" s="203">
        <f>G25/G26</f>
        <v>7.2775619059678207E-2</v>
      </c>
      <c r="I25" s="204"/>
      <c r="J25" s="204">
        <f>SUM(J23:J24)</f>
        <v>1238.5999999999999</v>
      </c>
    </row>
    <row r="26" spans="1:12" s="14" customFormat="1" ht="25.5" customHeight="1" x14ac:dyDescent="0.2">
      <c r="A26" s="2"/>
      <c r="B26" s="2"/>
      <c r="C26" s="194" t="s">
        <v>219</v>
      </c>
      <c r="D26" s="2"/>
      <c r="E26" s="195"/>
      <c r="F26" s="28"/>
      <c r="G26" s="28">
        <f>G25+G22</f>
        <v>1263.6100000000001</v>
      </c>
      <c r="H26" s="205">
        <v>1</v>
      </c>
      <c r="I26" s="206"/>
      <c r="J26" s="207">
        <f>J25+J22</f>
        <v>17020.810000000001</v>
      </c>
    </row>
    <row r="27" spans="1:12" s="14" customFormat="1" ht="14.25" customHeight="1" x14ac:dyDescent="0.2">
      <c r="A27" s="2"/>
      <c r="B27" s="341" t="s">
        <v>43</v>
      </c>
      <c r="C27" s="341"/>
      <c r="D27" s="357"/>
      <c r="E27" s="358"/>
      <c r="F27" s="359"/>
      <c r="G27" s="359"/>
      <c r="H27" s="360"/>
      <c r="I27" s="198"/>
      <c r="J27" s="198"/>
    </row>
    <row r="28" spans="1:12" x14ac:dyDescent="0.25">
      <c r="A28" s="136"/>
      <c r="B28" s="352" t="s">
        <v>220</v>
      </c>
      <c r="C28" s="352"/>
      <c r="D28" s="353"/>
      <c r="E28" s="354"/>
      <c r="F28" s="355"/>
      <c r="G28" s="355"/>
      <c r="H28" s="356"/>
      <c r="I28" s="211"/>
      <c r="J28" s="211"/>
      <c r="K28" s="208"/>
      <c r="L28" s="208"/>
    </row>
    <row r="29" spans="1:12" s="14" customFormat="1" ht="25.5" customHeight="1" x14ac:dyDescent="0.2">
      <c r="A29" s="238">
        <v>8</v>
      </c>
      <c r="B29" s="280" t="s">
        <v>131</v>
      </c>
      <c r="C29" s="161" t="s">
        <v>221</v>
      </c>
      <c r="D29" s="238" t="s">
        <v>133</v>
      </c>
      <c r="E29" s="301">
        <v>1</v>
      </c>
      <c r="F29" s="239">
        <f>Прил.3!G25</f>
        <v>76833.2</v>
      </c>
      <c r="G29" s="222">
        <f>ROUND(E29*F29,2)</f>
        <v>76833.2</v>
      </c>
      <c r="H29" s="203">
        <f t="shared" ref="H29:H40" si="0">G29/$G$40</f>
        <v>0.54318747345770491</v>
      </c>
      <c r="I29" s="201">
        <f>ROUND(F29*Прил.10!$D$14,2)</f>
        <v>480975.83</v>
      </c>
      <c r="J29" s="201">
        <f>ROUND(I29*E29,2)</f>
        <v>480975.83</v>
      </c>
    </row>
    <row r="30" spans="1:12" s="14" customFormat="1" ht="25.5" customHeight="1" x14ac:dyDescent="0.2">
      <c r="A30" s="238">
        <v>9</v>
      </c>
      <c r="B30" s="280" t="s">
        <v>131</v>
      </c>
      <c r="C30" s="161" t="s">
        <v>222</v>
      </c>
      <c r="D30" s="238" t="s">
        <v>133</v>
      </c>
      <c r="E30" s="301">
        <v>1</v>
      </c>
      <c r="F30" s="239">
        <f>Прил.3!G26</f>
        <v>45724.79</v>
      </c>
      <c r="G30" s="222">
        <f>ROUND(E30*F30,2)</f>
        <v>45724.79</v>
      </c>
      <c r="H30" s="203">
        <f t="shared" si="0"/>
        <v>0.32326042849294484</v>
      </c>
      <c r="I30" s="201">
        <f>ROUND(F30*Прил.10!$D$14,2)</f>
        <v>286237.19</v>
      </c>
      <c r="J30" s="201">
        <f>ROUND(I30*E30,2)</f>
        <v>286237.19</v>
      </c>
    </row>
    <row r="31" spans="1:12" x14ac:dyDescent="0.25">
      <c r="A31" s="2"/>
      <c r="B31" s="136"/>
      <c r="C31" s="137" t="s">
        <v>223</v>
      </c>
      <c r="D31" s="220"/>
      <c r="E31" s="302"/>
      <c r="F31" s="138"/>
      <c r="G31" s="164">
        <f>SUM(G29:G30)</f>
        <v>122557.98999999999</v>
      </c>
      <c r="H31" s="203">
        <f t="shared" si="0"/>
        <v>0.86644790195064969</v>
      </c>
      <c r="I31" s="212"/>
      <c r="J31" s="164">
        <f>SUM(J29:J30)</f>
        <v>767213.02</v>
      </c>
      <c r="K31" s="208"/>
      <c r="L31" s="208"/>
    </row>
    <row r="32" spans="1:12" s="14" customFormat="1" ht="25.5" customHeight="1" outlineLevel="1" x14ac:dyDescent="0.2">
      <c r="A32" s="238">
        <v>10</v>
      </c>
      <c r="B32" s="280" t="s">
        <v>131</v>
      </c>
      <c r="C32" s="161" t="s">
        <v>224</v>
      </c>
      <c r="D32" s="238" t="s">
        <v>225</v>
      </c>
      <c r="E32" s="301">
        <v>1</v>
      </c>
      <c r="F32" s="239">
        <f>Прил.3!G27</f>
        <v>12353.19</v>
      </c>
      <c r="G32" s="222">
        <f t="shared" ref="G32:G38" si="1">ROUND(E32*F32,2)</f>
        <v>12353.19</v>
      </c>
      <c r="H32" s="203">
        <f t="shared" si="0"/>
        <v>8.733331509351408E-2</v>
      </c>
      <c r="I32" s="201">
        <f>ROUND(F32*Прил.10!$D$14,2)</f>
        <v>77330.97</v>
      </c>
      <c r="J32" s="201">
        <f t="shared" ref="J32:J38" si="2">ROUND(I32*E32,2)</f>
        <v>77330.97</v>
      </c>
    </row>
    <row r="33" spans="1:12" s="14" customFormat="1" ht="25.5" customHeight="1" outlineLevel="1" x14ac:dyDescent="0.2">
      <c r="A33" s="238">
        <v>11</v>
      </c>
      <c r="B33" s="280" t="s">
        <v>131</v>
      </c>
      <c r="C33" s="161" t="s">
        <v>226</v>
      </c>
      <c r="D33" s="238" t="s">
        <v>225</v>
      </c>
      <c r="E33" s="301">
        <v>1</v>
      </c>
      <c r="F33" s="239">
        <f>Прил.3!G28</f>
        <v>2858.19</v>
      </c>
      <c r="G33" s="222">
        <f t="shared" si="1"/>
        <v>2858.19</v>
      </c>
      <c r="H33" s="203">
        <f t="shared" si="0"/>
        <v>2.020653838135178E-2</v>
      </c>
      <c r="I33" s="201">
        <f>ROUND(F33*Прил.10!$D$14,2)</f>
        <v>17892.27</v>
      </c>
      <c r="J33" s="201">
        <f t="shared" si="2"/>
        <v>17892.27</v>
      </c>
    </row>
    <row r="34" spans="1:12" s="14" customFormat="1" ht="14.25" customHeight="1" outlineLevel="1" x14ac:dyDescent="0.2">
      <c r="A34" s="238">
        <v>12</v>
      </c>
      <c r="B34" s="280" t="s">
        <v>131</v>
      </c>
      <c r="C34" s="161" t="s">
        <v>227</v>
      </c>
      <c r="D34" s="238" t="s">
        <v>225</v>
      </c>
      <c r="E34" s="301">
        <v>1</v>
      </c>
      <c r="F34" s="239">
        <f>Прил.3!G29</f>
        <v>1914.21</v>
      </c>
      <c r="G34" s="222">
        <f t="shared" si="1"/>
        <v>1914.21</v>
      </c>
      <c r="H34" s="203">
        <f t="shared" si="0"/>
        <v>1.3532885439724928E-2</v>
      </c>
      <c r="I34" s="201">
        <f>ROUND(F34*Прил.10!$D$14,2)</f>
        <v>11982.95</v>
      </c>
      <c r="J34" s="201">
        <f t="shared" si="2"/>
        <v>11982.95</v>
      </c>
    </row>
    <row r="35" spans="1:12" s="14" customFormat="1" ht="14.25" customHeight="1" outlineLevel="1" x14ac:dyDescent="0.2">
      <c r="A35" s="238">
        <v>13</v>
      </c>
      <c r="B35" s="280" t="s">
        <v>131</v>
      </c>
      <c r="C35" s="161" t="s">
        <v>138</v>
      </c>
      <c r="D35" s="238" t="s">
        <v>225</v>
      </c>
      <c r="E35" s="301">
        <v>1</v>
      </c>
      <c r="F35" s="239">
        <f>Прил.3!G30</f>
        <v>761.5</v>
      </c>
      <c r="G35" s="222">
        <f t="shared" si="1"/>
        <v>761.5</v>
      </c>
      <c r="H35" s="203">
        <f t="shared" si="0"/>
        <v>5.3835745620128056E-3</v>
      </c>
      <c r="I35" s="201">
        <f>ROUND(F35*Прил.10!$D$14,2)</f>
        <v>4766.99</v>
      </c>
      <c r="J35" s="201">
        <f t="shared" si="2"/>
        <v>4766.99</v>
      </c>
    </row>
    <row r="36" spans="1:12" s="14" customFormat="1" ht="14.25" customHeight="1" outlineLevel="1" x14ac:dyDescent="0.2">
      <c r="A36" s="238">
        <v>14</v>
      </c>
      <c r="B36" s="280" t="s">
        <v>131</v>
      </c>
      <c r="C36" s="161" t="s">
        <v>139</v>
      </c>
      <c r="D36" s="238" t="s">
        <v>225</v>
      </c>
      <c r="E36" s="301">
        <v>1</v>
      </c>
      <c r="F36" s="239">
        <f>Прил.3!G31</f>
        <v>506.76</v>
      </c>
      <c r="G36" s="222">
        <f t="shared" si="1"/>
        <v>506.76</v>
      </c>
      <c r="H36" s="203">
        <f t="shared" si="0"/>
        <v>3.5826398490421659E-3</v>
      </c>
      <c r="I36" s="201">
        <f>ROUND(F36*Прил.10!$D$14,2)</f>
        <v>3172.32</v>
      </c>
      <c r="J36" s="201">
        <f t="shared" si="2"/>
        <v>3172.32</v>
      </c>
    </row>
    <row r="37" spans="1:12" s="14" customFormat="1" ht="14.25" customHeight="1" outlineLevel="1" x14ac:dyDescent="0.2">
      <c r="A37" s="238">
        <v>15</v>
      </c>
      <c r="B37" s="280" t="s">
        <v>131</v>
      </c>
      <c r="C37" s="161" t="s">
        <v>140</v>
      </c>
      <c r="D37" s="238" t="s">
        <v>225</v>
      </c>
      <c r="E37" s="301">
        <v>1</v>
      </c>
      <c r="F37" s="239">
        <f>Прил.3!G32</f>
        <v>358.48</v>
      </c>
      <c r="G37" s="222">
        <f t="shared" si="1"/>
        <v>358.48</v>
      </c>
      <c r="H37" s="203">
        <f t="shared" si="0"/>
        <v>2.5343451201449122E-3</v>
      </c>
      <c r="I37" s="201">
        <f>ROUND(F37*Прил.10!$D$14,2)</f>
        <v>2244.08</v>
      </c>
      <c r="J37" s="201">
        <f t="shared" si="2"/>
        <v>2244.08</v>
      </c>
    </row>
    <row r="38" spans="1:12" s="14" customFormat="1" ht="14.25" customHeight="1" outlineLevel="1" x14ac:dyDescent="0.2">
      <c r="A38" s="238">
        <v>16</v>
      </c>
      <c r="B38" s="280" t="s">
        <v>131</v>
      </c>
      <c r="C38" s="161" t="s">
        <v>141</v>
      </c>
      <c r="D38" s="238" t="s">
        <v>225</v>
      </c>
      <c r="E38" s="301">
        <v>1</v>
      </c>
      <c r="F38" s="239">
        <f>Прил.3!G33</f>
        <v>138.44999999999999</v>
      </c>
      <c r="G38" s="222">
        <f t="shared" si="1"/>
        <v>138.44999999999999</v>
      </c>
      <c r="H38" s="203">
        <f t="shared" si="0"/>
        <v>9.7879960355964912E-4</v>
      </c>
      <c r="I38" s="201">
        <f>ROUND(F38*Прил.10!$D$14,2)</f>
        <v>866.7</v>
      </c>
      <c r="J38" s="201">
        <f t="shared" si="2"/>
        <v>866.7</v>
      </c>
    </row>
    <row r="39" spans="1:12" x14ac:dyDescent="0.25">
      <c r="A39" s="2"/>
      <c r="B39" s="136"/>
      <c r="C39" s="137" t="s">
        <v>228</v>
      </c>
      <c r="D39" s="136"/>
      <c r="E39" s="199"/>
      <c r="F39" s="138"/>
      <c r="G39" s="164">
        <f>SUM(G32:G38)</f>
        <v>18890.78</v>
      </c>
      <c r="H39" s="203">
        <f t="shared" si="0"/>
        <v>0.13355209804935031</v>
      </c>
      <c r="I39" s="212"/>
      <c r="J39" s="164">
        <f>SUM(J32:J38)</f>
        <v>118256.28000000001</v>
      </c>
      <c r="K39" s="208"/>
      <c r="L39" s="208"/>
    </row>
    <row r="40" spans="1:12" x14ac:dyDescent="0.25">
      <c r="A40" s="136"/>
      <c r="B40" s="136"/>
      <c r="C40" s="139" t="s">
        <v>229</v>
      </c>
      <c r="D40" s="136"/>
      <c r="E40" s="209"/>
      <c r="F40" s="138"/>
      <c r="G40" s="164">
        <f>G31+G39</f>
        <v>141448.76999999999</v>
      </c>
      <c r="H40" s="203">
        <f t="shared" si="0"/>
        <v>1</v>
      </c>
      <c r="I40" s="212"/>
      <c r="J40" s="164">
        <f>J39+J31</f>
        <v>885469.3</v>
      </c>
      <c r="K40" s="208"/>
      <c r="L40" s="208"/>
    </row>
    <row r="41" spans="1:12" ht="25.5" customHeight="1" x14ac:dyDescent="0.25">
      <c r="A41" s="136"/>
      <c r="B41" s="136"/>
      <c r="C41" s="137" t="s">
        <v>230</v>
      </c>
      <c r="D41" s="136"/>
      <c r="E41" s="213"/>
      <c r="F41" s="138"/>
      <c r="G41" s="164">
        <f>'Прил.6 Расчет ОБ'!G21</f>
        <v>141448.77000000002</v>
      </c>
      <c r="H41" s="210"/>
      <c r="I41" s="212"/>
      <c r="J41" s="164">
        <f>J40</f>
        <v>885469.3</v>
      </c>
      <c r="K41" s="208"/>
      <c r="L41" s="208"/>
    </row>
    <row r="42" spans="1:12" s="14" customFormat="1" ht="14.25" customHeight="1" x14ac:dyDescent="0.2">
      <c r="A42" s="2"/>
      <c r="B42" s="341" t="s">
        <v>142</v>
      </c>
      <c r="C42" s="341"/>
      <c r="D42" s="357"/>
      <c r="E42" s="358"/>
      <c r="F42" s="359"/>
      <c r="G42" s="359"/>
      <c r="H42" s="360"/>
      <c r="I42" s="198"/>
      <c r="J42" s="198"/>
    </row>
    <row r="43" spans="1:12" s="14" customFormat="1" ht="14.25" customHeight="1" x14ac:dyDescent="0.2">
      <c r="A43" s="230"/>
      <c r="B43" s="347" t="s">
        <v>231</v>
      </c>
      <c r="C43" s="347"/>
      <c r="D43" s="348"/>
      <c r="E43" s="349"/>
      <c r="F43" s="350"/>
      <c r="G43" s="350"/>
      <c r="H43" s="351"/>
      <c r="I43" s="231"/>
      <c r="J43" s="231"/>
    </row>
    <row r="44" spans="1:12" s="14" customFormat="1" ht="25.5" customHeight="1" x14ac:dyDescent="0.2">
      <c r="A44" s="238">
        <v>17</v>
      </c>
      <c r="B44" s="238" t="s">
        <v>143</v>
      </c>
      <c r="C44" s="161" t="s">
        <v>144</v>
      </c>
      <c r="D44" s="238" t="s">
        <v>145</v>
      </c>
      <c r="E44" s="301">
        <v>1</v>
      </c>
      <c r="F44" s="239">
        <v>8830.6299999999992</v>
      </c>
      <c r="G44" s="222">
        <f>ROUND(E44*F44,2)</f>
        <v>8830.6299999999992</v>
      </c>
      <c r="H44" s="203">
        <f t="shared" ref="H44:H53" si="3">G44/$G$53</f>
        <v>0.96866700964319841</v>
      </c>
      <c r="I44" s="201">
        <f>ROUND(F44*Прил.10!$D$13,2)</f>
        <v>70998.27</v>
      </c>
      <c r="J44" s="201">
        <f>ROUND(I44*E44,2)</f>
        <v>70998.27</v>
      </c>
    </row>
    <row r="45" spans="1:12" s="14" customFormat="1" ht="14.25" customHeight="1" x14ac:dyDescent="0.2">
      <c r="A45" s="232"/>
      <c r="B45" s="233"/>
      <c r="C45" s="234" t="s">
        <v>232</v>
      </c>
      <c r="D45" s="235"/>
      <c r="E45" s="303"/>
      <c r="F45" s="236"/>
      <c r="G45" s="237">
        <f>SUM(G44:G44)</f>
        <v>8830.6299999999992</v>
      </c>
      <c r="H45" s="203">
        <f t="shared" si="3"/>
        <v>0.96866700964319841</v>
      </c>
      <c r="I45" s="201"/>
      <c r="J45" s="237">
        <f>SUM(J44:J44)</f>
        <v>70998.27</v>
      </c>
    </row>
    <row r="46" spans="1:12" s="14" customFormat="1" ht="25.5" customHeight="1" outlineLevel="1" x14ac:dyDescent="0.2">
      <c r="A46" s="238">
        <v>18</v>
      </c>
      <c r="B46" s="238" t="s">
        <v>146</v>
      </c>
      <c r="C46" s="161" t="s">
        <v>147</v>
      </c>
      <c r="D46" s="238" t="s">
        <v>148</v>
      </c>
      <c r="E46" s="301">
        <v>2.7320000000000001E-3</v>
      </c>
      <c r="F46" s="239">
        <v>68050</v>
      </c>
      <c r="G46" s="222">
        <f t="shared" ref="G46:G51" si="4">ROUND(E46*F46,2)</f>
        <v>185.91</v>
      </c>
      <c r="H46" s="203">
        <f t="shared" si="3"/>
        <v>2.0393209064672287E-2</v>
      </c>
      <c r="I46" s="201">
        <f>ROUND(F46*Прил.10!$D$13,2)</f>
        <v>547122</v>
      </c>
      <c r="J46" s="201">
        <f t="shared" ref="J46:J51" si="5">ROUND(I46*E46,2)</f>
        <v>1494.74</v>
      </c>
    </row>
    <row r="47" spans="1:12" s="14" customFormat="1" ht="14.25" customHeight="1" outlineLevel="1" x14ac:dyDescent="0.2">
      <c r="A47" s="238">
        <v>19</v>
      </c>
      <c r="B47" s="238" t="s">
        <v>149</v>
      </c>
      <c r="C47" s="161" t="s">
        <v>150</v>
      </c>
      <c r="D47" s="238" t="s">
        <v>148</v>
      </c>
      <c r="E47" s="301">
        <v>7.1999999999999998E-3</v>
      </c>
      <c r="F47" s="239">
        <v>7826.9</v>
      </c>
      <c r="G47" s="222">
        <f t="shared" si="4"/>
        <v>56.35</v>
      </c>
      <c r="H47" s="203">
        <f t="shared" si="3"/>
        <v>6.1812561497191299E-3</v>
      </c>
      <c r="I47" s="201">
        <f>ROUND(F47*Прил.10!$D$13,2)</f>
        <v>62928.28</v>
      </c>
      <c r="J47" s="201">
        <f t="shared" si="5"/>
        <v>453.08</v>
      </c>
    </row>
    <row r="48" spans="1:12" s="14" customFormat="1" ht="14.25" customHeight="1" outlineLevel="1" x14ac:dyDescent="0.2">
      <c r="A48" s="238">
        <v>20</v>
      </c>
      <c r="B48" s="238" t="s">
        <v>151</v>
      </c>
      <c r="C48" s="161" t="s">
        <v>152</v>
      </c>
      <c r="D48" s="238" t="s">
        <v>153</v>
      </c>
      <c r="E48" s="301">
        <v>0.245</v>
      </c>
      <c r="F48" s="239">
        <v>120</v>
      </c>
      <c r="G48" s="222">
        <f t="shared" si="4"/>
        <v>29.4</v>
      </c>
      <c r="H48" s="203">
        <f t="shared" si="3"/>
        <v>3.2250032085491109E-3</v>
      </c>
      <c r="I48" s="201">
        <f>ROUND(F48*Прил.10!$D$13,2)</f>
        <v>964.8</v>
      </c>
      <c r="J48" s="201">
        <f t="shared" si="5"/>
        <v>236.38</v>
      </c>
    </row>
    <row r="49" spans="1:10" s="14" customFormat="1" ht="14.25" customHeight="1" outlineLevel="1" x14ac:dyDescent="0.2">
      <c r="A49" s="238">
        <v>21</v>
      </c>
      <c r="B49" s="238" t="s">
        <v>154</v>
      </c>
      <c r="C49" s="161" t="s">
        <v>155</v>
      </c>
      <c r="D49" s="238" t="s">
        <v>148</v>
      </c>
      <c r="E49" s="301">
        <v>1.1000000000000001E-3</v>
      </c>
      <c r="F49" s="239">
        <v>12430</v>
      </c>
      <c r="G49" s="222">
        <f t="shared" si="4"/>
        <v>13.67</v>
      </c>
      <c r="H49" s="203">
        <f t="shared" si="3"/>
        <v>1.4995167979886513E-3</v>
      </c>
      <c r="I49" s="201">
        <f>ROUND(F49*Прил.10!$D$13,2)</f>
        <v>99937.2</v>
      </c>
      <c r="J49" s="201">
        <f t="shared" si="5"/>
        <v>109.93</v>
      </c>
    </row>
    <row r="50" spans="1:10" s="14" customFormat="1" ht="14.25" customHeight="1" outlineLevel="1" x14ac:dyDescent="0.2">
      <c r="A50" s="238">
        <v>22</v>
      </c>
      <c r="B50" s="238" t="s">
        <v>156</v>
      </c>
      <c r="C50" s="161" t="s">
        <v>157</v>
      </c>
      <c r="D50" s="238" t="s">
        <v>158</v>
      </c>
      <c r="E50" s="301">
        <v>1.9E-3</v>
      </c>
      <c r="F50" s="239">
        <v>155</v>
      </c>
      <c r="G50" s="222">
        <f t="shared" si="4"/>
        <v>0.28999999999999998</v>
      </c>
      <c r="H50" s="203">
        <f t="shared" si="3"/>
        <v>3.1811256138749734E-5</v>
      </c>
      <c r="I50" s="201">
        <f>ROUND(F50*Прил.10!$D$13,2)</f>
        <v>1246.2</v>
      </c>
      <c r="J50" s="201">
        <f t="shared" si="5"/>
        <v>2.37</v>
      </c>
    </row>
    <row r="51" spans="1:10" s="14" customFormat="1" ht="51" customHeight="1" outlineLevel="1" x14ac:dyDescent="0.2">
      <c r="A51" s="238">
        <v>23</v>
      </c>
      <c r="B51" s="238" t="s">
        <v>159</v>
      </c>
      <c r="C51" s="161" t="s">
        <v>160</v>
      </c>
      <c r="D51" s="238" t="s">
        <v>158</v>
      </c>
      <c r="E51" s="301">
        <v>2.0000000000000001E-4</v>
      </c>
      <c r="F51" s="239">
        <v>91.29</v>
      </c>
      <c r="G51" s="222">
        <f t="shared" si="4"/>
        <v>0.02</v>
      </c>
      <c r="H51" s="203">
        <f t="shared" si="3"/>
        <v>2.1938797337068782E-6</v>
      </c>
      <c r="I51" s="201">
        <f>ROUND(F51*Прил.10!$D$13,2)</f>
        <v>733.97</v>
      </c>
      <c r="J51" s="201">
        <f t="shared" si="5"/>
        <v>0.15</v>
      </c>
    </row>
    <row r="52" spans="1:10" s="14" customFormat="1" ht="14.25" customHeight="1" x14ac:dyDescent="0.2">
      <c r="A52" s="2"/>
      <c r="B52" s="2"/>
      <c r="C52" s="9" t="s">
        <v>233</v>
      </c>
      <c r="D52" s="2"/>
      <c r="E52" s="302"/>
      <c r="F52" s="196"/>
      <c r="G52" s="28">
        <f>SUM(G46:G51)</f>
        <v>285.64</v>
      </c>
      <c r="H52" s="203">
        <f t="shared" si="3"/>
        <v>3.1332990356801635E-2</v>
      </c>
      <c r="I52" s="28"/>
      <c r="J52" s="28">
        <f>SUM(J46:J51)</f>
        <v>2296.6499999999996</v>
      </c>
    </row>
    <row r="53" spans="1:10" s="14" customFormat="1" ht="14.25" customHeight="1" x14ac:dyDescent="0.2">
      <c r="A53" s="2"/>
      <c r="B53" s="2"/>
      <c r="C53" s="194" t="s">
        <v>234</v>
      </c>
      <c r="D53" s="2"/>
      <c r="E53" s="195"/>
      <c r="F53" s="196"/>
      <c r="G53" s="28">
        <f>G45+G52</f>
        <v>9116.2699999999986</v>
      </c>
      <c r="H53" s="197">
        <f t="shared" si="3"/>
        <v>1</v>
      </c>
      <c r="I53" s="28"/>
      <c r="J53" s="28">
        <f>J45+J52</f>
        <v>73294.92</v>
      </c>
    </row>
    <row r="54" spans="1:10" s="14" customFormat="1" ht="14.25" customHeight="1" x14ac:dyDescent="0.2">
      <c r="A54" s="2"/>
      <c r="B54" s="2"/>
      <c r="C54" s="9" t="s">
        <v>235</v>
      </c>
      <c r="D54" s="2"/>
      <c r="E54" s="195"/>
      <c r="F54" s="196"/>
      <c r="G54" s="28">
        <f>G14+G26+G53</f>
        <v>13121.749999999998</v>
      </c>
      <c r="H54" s="197"/>
      <c r="I54" s="28"/>
      <c r="J54" s="28">
        <f>J14+J26+J53</f>
        <v>216860.7</v>
      </c>
    </row>
    <row r="55" spans="1:10" s="14" customFormat="1" ht="14.25" customHeight="1" x14ac:dyDescent="0.2">
      <c r="A55" s="2"/>
      <c r="B55" s="2"/>
      <c r="C55" s="9" t="s">
        <v>236</v>
      </c>
      <c r="D55" s="214">
        <f>ROUND(G55/(G$16+$G$14),2)</f>
        <v>0.93</v>
      </c>
      <c r="E55" s="195"/>
      <c r="F55" s="196"/>
      <c r="G55" s="28">
        <v>2682.94</v>
      </c>
      <c r="H55" s="197"/>
      <c r="I55" s="28"/>
      <c r="J55" s="201">
        <f>ROUND(D55*(J14+J16),2)</f>
        <v>123597.1</v>
      </c>
    </row>
    <row r="56" spans="1:10" s="14" customFormat="1" ht="14.25" customHeight="1" x14ac:dyDescent="0.2">
      <c r="A56" s="2"/>
      <c r="B56" s="2"/>
      <c r="C56" s="9" t="s">
        <v>237</v>
      </c>
      <c r="D56" s="214">
        <f>ROUND(G56/(G$14+G$16),2)</f>
        <v>0.65</v>
      </c>
      <c r="E56" s="195"/>
      <c r="F56" s="196"/>
      <c r="G56" s="28">
        <v>1875.47</v>
      </c>
      <c r="H56" s="197"/>
      <c r="I56" s="28"/>
      <c r="J56" s="201">
        <f>ROUND(D56*(J14+J16),2)</f>
        <v>86385.07</v>
      </c>
    </row>
    <row r="57" spans="1:10" s="14" customFormat="1" ht="14.25" customHeight="1" x14ac:dyDescent="0.2">
      <c r="A57" s="2"/>
      <c r="B57" s="2"/>
      <c r="C57" s="9" t="s">
        <v>238</v>
      </c>
      <c r="D57" s="2"/>
      <c r="E57" s="195"/>
      <c r="F57" s="196"/>
      <c r="G57" s="28">
        <f>G14+G26+G53+G55+G56</f>
        <v>17680.16</v>
      </c>
      <c r="H57" s="197"/>
      <c r="I57" s="28"/>
      <c r="J57" s="28">
        <f>J14+J26+J53+J55+J56</f>
        <v>426842.87000000005</v>
      </c>
    </row>
    <row r="58" spans="1:10" s="14" customFormat="1" ht="14.25" customHeight="1" x14ac:dyDescent="0.2">
      <c r="A58" s="2"/>
      <c r="B58" s="2"/>
      <c r="C58" s="9" t="s">
        <v>239</v>
      </c>
      <c r="D58" s="2"/>
      <c r="E58" s="195"/>
      <c r="F58" s="196"/>
      <c r="G58" s="28">
        <f>G57+G40</f>
        <v>159128.93</v>
      </c>
      <c r="H58" s="197"/>
      <c r="I58" s="28"/>
      <c r="J58" s="28">
        <f>J57+J40</f>
        <v>1312312.1700000002</v>
      </c>
    </row>
    <row r="59" spans="1:10" s="14" customFormat="1" ht="34.5" customHeight="1" x14ac:dyDescent="0.2">
      <c r="A59" s="2"/>
      <c r="B59" s="2"/>
      <c r="C59" s="9" t="s">
        <v>198</v>
      </c>
      <c r="D59" s="2" t="s">
        <v>240</v>
      </c>
      <c r="E59" s="195">
        <v>1</v>
      </c>
      <c r="F59" s="196"/>
      <c r="G59" s="28">
        <f>G58/E59</f>
        <v>159128.93</v>
      </c>
      <c r="H59" s="197"/>
      <c r="I59" s="28"/>
      <c r="J59" s="28">
        <f>J58/E59</f>
        <v>1312312.1700000002</v>
      </c>
    </row>
    <row r="61" spans="1:10" s="14" customFormat="1" ht="14.25" customHeight="1" x14ac:dyDescent="0.2">
      <c r="A61" s="4" t="s">
        <v>241</v>
      </c>
    </row>
    <row r="62" spans="1:10" s="14" customFormat="1" ht="14.25" customHeight="1" x14ac:dyDescent="0.2">
      <c r="A62" s="29" t="s">
        <v>77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242</v>
      </c>
    </row>
    <row r="65" spans="1:1" s="14" customFormat="1" ht="14.25" customHeight="1" x14ac:dyDescent="0.2">
      <c r="A65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D26" sqref="D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6" t="s">
        <v>243</v>
      </c>
      <c r="B1" s="366"/>
      <c r="C1" s="366"/>
      <c r="D1" s="366"/>
      <c r="E1" s="366"/>
      <c r="F1" s="366"/>
      <c r="G1" s="366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0" t="s">
        <v>244</v>
      </c>
      <c r="B3" s="320"/>
      <c r="C3" s="320"/>
      <c r="D3" s="320"/>
      <c r="E3" s="320"/>
      <c r="F3" s="320"/>
      <c r="G3" s="320"/>
    </row>
    <row r="4" spans="1:7" ht="25.5" customHeight="1" x14ac:dyDescent="0.25">
      <c r="A4" s="323" t="s">
        <v>163</v>
      </c>
      <c r="B4" s="323"/>
      <c r="C4" s="323"/>
      <c r="D4" s="323"/>
      <c r="E4" s="323"/>
      <c r="F4" s="323"/>
      <c r="G4" s="323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371" t="s">
        <v>13</v>
      </c>
      <c r="B6" s="371" t="s">
        <v>101</v>
      </c>
      <c r="C6" s="371" t="s">
        <v>164</v>
      </c>
      <c r="D6" s="371" t="s">
        <v>103</v>
      </c>
      <c r="E6" s="348" t="s">
        <v>207</v>
      </c>
      <c r="F6" s="371" t="s">
        <v>105</v>
      </c>
      <c r="G6" s="371"/>
    </row>
    <row r="7" spans="1:7" x14ac:dyDescent="0.25">
      <c r="A7" s="371"/>
      <c r="B7" s="371"/>
      <c r="C7" s="371"/>
      <c r="D7" s="371"/>
      <c r="E7" s="364"/>
      <c r="F7" s="136" t="s">
        <v>210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67" t="s">
        <v>245</v>
      </c>
      <c r="C9" s="368"/>
      <c r="D9" s="368"/>
      <c r="E9" s="368"/>
      <c r="F9" s="368"/>
      <c r="G9" s="369"/>
    </row>
    <row r="10" spans="1:7" ht="27" customHeight="1" x14ac:dyDescent="0.25">
      <c r="A10" s="136"/>
      <c r="B10" s="139"/>
      <c r="C10" s="137" t="s">
        <v>246</v>
      </c>
      <c r="D10" s="139"/>
      <c r="E10" s="142"/>
      <c r="F10" s="138"/>
      <c r="G10" s="138">
        <v>0</v>
      </c>
    </row>
    <row r="11" spans="1:7" x14ac:dyDescent="0.25">
      <c r="A11" s="136"/>
      <c r="B11" s="352" t="s">
        <v>247</v>
      </c>
      <c r="C11" s="352"/>
      <c r="D11" s="352"/>
      <c r="E11" s="370"/>
      <c r="F11" s="355"/>
      <c r="G11" s="355"/>
    </row>
    <row r="12" spans="1:7" ht="33" customHeight="1" x14ac:dyDescent="0.25">
      <c r="A12" s="136">
        <v>1</v>
      </c>
      <c r="B12" s="280" t="s">
        <v>131</v>
      </c>
      <c r="C12" s="217" t="str">
        <f>'Прил.5 Расчет СМР и ОБ'!C29</f>
        <v>Устройство тестирования сигналов РЗ и ПА AES Testbox</v>
      </c>
      <c r="D12" s="218" t="str">
        <f>'Прил.5 Расчет СМР и ОБ'!D29</f>
        <v>шт</v>
      </c>
      <c r="E12" s="304">
        <f>'Прил.5 Расчет СМР и ОБ'!E29</f>
        <v>1</v>
      </c>
      <c r="F12" s="221">
        <f>'Прил.5 Расчет СМР и ОБ'!F29</f>
        <v>76833.2</v>
      </c>
      <c r="G12" s="164">
        <f t="shared" ref="G12:G20" si="0">ROUND(E12*F12,2)</f>
        <v>76833.2</v>
      </c>
    </row>
    <row r="13" spans="1:7" ht="33" customHeight="1" x14ac:dyDescent="0.25">
      <c r="A13" s="136">
        <v>2</v>
      </c>
      <c r="B13" s="280" t="s">
        <v>131</v>
      </c>
      <c r="C13" s="217" t="str">
        <f>'Прил.5 Расчет СМР и ОБ'!C30</f>
        <v>Многофункциональный селективный измеритель уровня сигнала  ЛЭП-500</v>
      </c>
      <c r="D13" s="218" t="str">
        <f>'Прил.5 Расчет СМР и ОБ'!D30</f>
        <v>шт</v>
      </c>
      <c r="E13" s="304">
        <f>'Прил.5 Расчет СМР и ОБ'!E30</f>
        <v>1</v>
      </c>
      <c r="F13" s="221">
        <f>'Прил.5 Расчет СМР и ОБ'!F30</f>
        <v>45724.79</v>
      </c>
      <c r="G13" s="164">
        <f t="shared" si="0"/>
        <v>45724.79</v>
      </c>
    </row>
    <row r="14" spans="1:7" ht="33" customHeight="1" x14ac:dyDescent="0.25">
      <c r="A14" s="136">
        <v>3</v>
      </c>
      <c r="B14" s="280" t="s">
        <v>131</v>
      </c>
      <c r="C14" s="217" t="str">
        <f>'Прил.5 Расчет СМР и ОБ'!C32</f>
        <v xml:space="preserve">Анализатор ВЧ-связи по ЛЭП  и PLC AnCom A-7 /307 </v>
      </c>
      <c r="D14" s="218" t="str">
        <f>'Прил.5 Расчет СМР и ОБ'!D32</f>
        <v>шт.</v>
      </c>
      <c r="E14" s="304">
        <f>'Прил.5 Расчет СМР и ОБ'!E32</f>
        <v>1</v>
      </c>
      <c r="F14" s="221">
        <f>'Прил.5 Расчет СМР и ОБ'!F32</f>
        <v>12353.19</v>
      </c>
      <c r="G14" s="164">
        <f t="shared" si="0"/>
        <v>12353.19</v>
      </c>
    </row>
    <row r="15" spans="1:7" ht="33" customHeight="1" x14ac:dyDescent="0.25">
      <c r="A15" s="136">
        <v>4</v>
      </c>
      <c r="B15" s="280" t="s">
        <v>131</v>
      </c>
      <c r="C15" s="217" t="str">
        <f>'Прил.5 Расчет СМР и ОБ'!C33</f>
        <v>Дооснащение анализаторов  AnCom A-7  - Опция "TRAKT"</v>
      </c>
      <c r="D15" s="218" t="str">
        <f>'Прил.5 Расчет СМР и ОБ'!D33</f>
        <v>шт.</v>
      </c>
      <c r="E15" s="304">
        <f>'Прил.5 Расчет СМР и ОБ'!E33</f>
        <v>1</v>
      </c>
      <c r="F15" s="221">
        <f>'Прил.5 Расчет СМР и ОБ'!F33</f>
        <v>2858.19</v>
      </c>
      <c r="G15" s="164">
        <f t="shared" si="0"/>
        <v>2858.19</v>
      </c>
    </row>
    <row r="16" spans="1:7" ht="33" customHeight="1" x14ac:dyDescent="0.25">
      <c r="A16" s="136">
        <v>5</v>
      </c>
      <c r="B16" s="280" t="s">
        <v>131</v>
      </c>
      <c r="C16" s="217" t="str">
        <f>'Прил.5 Расчет СМР и ОБ'!C34</f>
        <v>Осцилограф GDS-2062</v>
      </c>
      <c r="D16" s="218" t="str">
        <f>'Прил.5 Расчет СМР и ОБ'!D34</f>
        <v>шт.</v>
      </c>
      <c r="E16" s="304">
        <f>'Прил.5 Расчет СМР и ОБ'!E34</f>
        <v>1</v>
      </c>
      <c r="F16" s="221">
        <f>'Прил.5 Расчет СМР и ОБ'!F34</f>
        <v>1914.21</v>
      </c>
      <c r="G16" s="164">
        <f t="shared" si="0"/>
        <v>1914.21</v>
      </c>
    </row>
    <row r="17" spans="1:7" ht="33" customHeight="1" x14ac:dyDescent="0.25">
      <c r="A17" s="136">
        <v>6</v>
      </c>
      <c r="B17" s="280" t="s">
        <v>131</v>
      </c>
      <c r="C17" s="217" t="str">
        <f>'Прил.5 Расчет СМР и ОБ'!C35</f>
        <v>Цифровой мультиметр MD9050</v>
      </c>
      <c r="D17" s="218" t="str">
        <f>'Прил.5 Расчет СМР и ОБ'!D35</f>
        <v>шт.</v>
      </c>
      <c r="E17" s="304">
        <f>'Прил.5 Расчет СМР и ОБ'!E35</f>
        <v>1</v>
      </c>
      <c r="F17" s="221">
        <f>'Прил.5 Расчет СМР и ОБ'!F35</f>
        <v>761.5</v>
      </c>
      <c r="G17" s="164">
        <f t="shared" si="0"/>
        <v>761.5</v>
      </c>
    </row>
    <row r="18" spans="1:7" ht="33" customHeight="1" x14ac:dyDescent="0.25">
      <c r="A18" s="136">
        <v>7</v>
      </c>
      <c r="B18" s="280" t="s">
        <v>131</v>
      </c>
      <c r="C18" s="217" t="str">
        <f>'Прил.5 Расчет СМР и ОБ'!C36</f>
        <v>Логический пробник</v>
      </c>
      <c r="D18" s="218" t="str">
        <f>'Прил.5 Расчет СМР и ОБ'!D36</f>
        <v>шт.</v>
      </c>
      <c r="E18" s="304">
        <f>'Прил.5 Расчет СМР и ОБ'!E36</f>
        <v>1</v>
      </c>
      <c r="F18" s="221">
        <f>'Прил.5 Расчет СМР и ОБ'!F36</f>
        <v>506.76</v>
      </c>
      <c r="G18" s="164">
        <f t="shared" si="0"/>
        <v>506.76</v>
      </c>
    </row>
    <row r="19" spans="1:7" ht="33" customHeight="1" x14ac:dyDescent="0.25">
      <c r="A19" s="136">
        <v>8</v>
      </c>
      <c r="B19" s="280" t="s">
        <v>131</v>
      </c>
      <c r="C19" s="217" t="str">
        <f>'Прил.5 Расчет СМР и ОБ'!C37</f>
        <v>Генератор сигналов Г4-117</v>
      </c>
      <c r="D19" s="218" t="str">
        <f>'Прил.5 Расчет СМР и ОБ'!D37</f>
        <v>шт.</v>
      </c>
      <c r="E19" s="304">
        <f>'Прил.5 Расчет СМР и ОБ'!E37</f>
        <v>1</v>
      </c>
      <c r="F19" s="221">
        <f>'Прил.5 Расчет СМР и ОБ'!F37</f>
        <v>358.48</v>
      </c>
      <c r="G19" s="164">
        <f t="shared" si="0"/>
        <v>358.48</v>
      </c>
    </row>
    <row r="20" spans="1:7" ht="33" customHeight="1" x14ac:dyDescent="0.25">
      <c r="A20" s="136">
        <v>9</v>
      </c>
      <c r="B20" s="280" t="s">
        <v>131</v>
      </c>
      <c r="C20" s="217" t="str">
        <f>'Прил.5 Расчет СМР и ОБ'!C38</f>
        <v>Милливольт-миллиамперметр М1109</v>
      </c>
      <c r="D20" s="218" t="str">
        <f>'Прил.5 Расчет СМР и ОБ'!D38</f>
        <v>шт.</v>
      </c>
      <c r="E20" s="304">
        <f>'Прил.5 Расчет СМР и ОБ'!E38</f>
        <v>1</v>
      </c>
      <c r="F20" s="221">
        <f>'Прил.5 Расчет СМР и ОБ'!F38</f>
        <v>138.44999999999999</v>
      </c>
      <c r="G20" s="164">
        <f t="shared" si="0"/>
        <v>138.44999999999999</v>
      </c>
    </row>
    <row r="21" spans="1:7" ht="25.5" customHeight="1" x14ac:dyDescent="0.25">
      <c r="A21" s="136"/>
      <c r="B21" s="137"/>
      <c r="C21" s="137" t="s">
        <v>248</v>
      </c>
      <c r="D21" s="137"/>
      <c r="E21" s="143"/>
      <c r="F21" s="138"/>
      <c r="G21" s="164">
        <f>SUM(G12:G20)</f>
        <v>141448.77000000002</v>
      </c>
    </row>
    <row r="22" spans="1:7" ht="19.5" customHeight="1" x14ac:dyDescent="0.25">
      <c r="A22" s="136"/>
      <c r="B22" s="137"/>
      <c r="C22" s="137" t="s">
        <v>249</v>
      </c>
      <c r="D22" s="137"/>
      <c r="E22" s="143"/>
      <c r="F22" s="138"/>
      <c r="G22" s="164">
        <f>G10+G21</f>
        <v>141448.77000000002</v>
      </c>
    </row>
    <row r="23" spans="1:7" x14ac:dyDescent="0.25">
      <c r="A23" s="144"/>
      <c r="B23" s="145"/>
      <c r="C23" s="144"/>
      <c r="D23" s="144"/>
      <c r="E23" s="144"/>
      <c r="F23" s="144"/>
      <c r="G23" s="144"/>
    </row>
    <row r="24" spans="1:7" x14ac:dyDescent="0.25">
      <c r="A24" s="4" t="s">
        <v>241</v>
      </c>
      <c r="B24" s="14"/>
      <c r="C24" s="14"/>
      <c r="D24" s="144"/>
      <c r="E24" s="144"/>
      <c r="F24" s="144"/>
      <c r="G24" s="144"/>
    </row>
    <row r="25" spans="1:7" x14ac:dyDescent="0.25">
      <c r="A25" s="29" t="s">
        <v>77</v>
      </c>
      <c r="B25" s="14"/>
      <c r="C25" s="14"/>
      <c r="D25" s="144"/>
      <c r="E25" s="144"/>
      <c r="F25" s="144"/>
      <c r="G25" s="144"/>
    </row>
    <row r="26" spans="1:7" x14ac:dyDescent="0.25">
      <c r="A26" s="4"/>
      <c r="B26" s="14"/>
      <c r="C26" s="14"/>
      <c r="D26" s="144"/>
      <c r="E26" s="144"/>
      <c r="F26" s="144"/>
      <c r="G26" s="144"/>
    </row>
    <row r="27" spans="1:7" x14ac:dyDescent="0.25">
      <c r="A27" s="4" t="s">
        <v>242</v>
      </c>
      <c r="B27" s="14"/>
      <c r="C27" s="14"/>
      <c r="D27" s="144"/>
      <c r="E27" s="144"/>
      <c r="F27" s="144"/>
      <c r="G27" s="144"/>
    </row>
    <row r="28" spans="1:7" x14ac:dyDescent="0.25">
      <c r="A28" s="29" t="s">
        <v>79</v>
      </c>
      <c r="B28" s="14"/>
      <c r="C28" s="14"/>
      <c r="D28" s="144"/>
      <c r="E28" s="144"/>
      <c r="F28" s="144"/>
      <c r="G28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2023-11-25T11:26:36Z</cp:lastPrinted>
  <dcterms:created xsi:type="dcterms:W3CDTF">2020-09-30T08:50:27Z</dcterms:created>
  <dcterms:modified xsi:type="dcterms:W3CDTF">2023-11-25T11:26:47Z</dcterms:modified>
  <cp:category/>
</cp:coreProperties>
</file>