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13.xml" ContentType="application/vnd.openxmlformats-officedocument.spreadsheetml.comment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true" firstSheet="3" minimized="false" showHorizontalScroll="true" showSheetTabs="true" showVerticalScroll="true" tabRatio="924" visibility="visible"/>
  </bookViews>
  <sheets>
    <sheet name="4.1 Отдел 1" sheetId="1" state="hidden" r:id="rId4"/>
    <sheet name="4.2 Отдел 2" sheetId="2" state="hidden" r:id="rId5"/>
    <sheet name="4.3 Отдел 2. Тех.характеристики" sheetId="3" state="hidden" r:id="rId6"/>
    <sheet name="Прил.1 Сравнит табл" sheetId="4" r:id="rId7"/>
    <sheet name="Прил.2 Расч стоим" sheetId="5" r:id="rId8"/>
    <sheet name="Прил. 3" sheetId="6" r:id="rId9"/>
    <sheet name="Прил.4 РМ" sheetId="7" r:id="rId10"/>
    <sheet name="Прил.5 Расчет СМР и ОБ" sheetId="8" r:id="rId11"/>
    <sheet name="Прил.6 Расчет ОБ" sheetId="9" r:id="rId12"/>
    <sheet name="Прил.7 Расчет пок." sheetId="10" r:id="rId13"/>
    <sheet name="Прил. 10" sheetId="11" r:id="rId14"/>
    <sheet name="ФОТр.тек." sheetId="12" r:id="rId15"/>
    <sheet name="4.7 Прил.6 Расчет Прочие" sheetId="13" state="hidden" r:id="rId16"/>
    <sheet name="4.8 Прил. 6.1 Расчет ПНР" sheetId="14" state="hidden" r:id="rId17"/>
    <sheet name="4.9 Прил 6.2 Расчет ПИР" sheetId="15" state="hidden" r:id="rId18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1">'{"''ФОТр.тек.'!glc1",#N/A,FALSE,'"GLC";"''ФОТр.тек.'!glc2",#N/A,FALSE,'"GLC";"''ФОТр.тек.'!glc3",#N/A,FALSE,'"GLC";"''ФОТр.тек.'!glc4",#N/A,FALSE,'"GLC";"''ФОТр.тек.'!glc5",#N/A,FALSE,"GLC"}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1">'{"''ФОТр.тек.'!glc1",#N/A,FALSE,'"GLC";"''ФОТр.тек.'!glc2",#N/A,FALSE,'"GLC";"''ФОТр.тек.'!glc3",#N/A,FALSE,'"GLC";"''ФОТр.тек.'!glc4",#N/A,FALSE,'"GLC";"''ФОТр.тек.'!glc5",#N/A,FALSE,"GLC"}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1">'{"''ФОТр.тек.'!glc1",#N/A,FALSE,'"GLC";"''ФОТр.тек.'!glc2",#N/A,FALSE,'"GLC";"''ФОТр.тек.'!glc3",#N/A,FALSE,'"GLC";"''ФОТр.тек.'!glc4",#N/A,FALSE,'"GLC";"''ФОТр.тек.'!glc5",#N/A,FALSE,"GLC"}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1">'{"''ФОТр.тек.'!glc1",#N/A,FALSE,'"GLC";"''ФОТр.тек.'!glc2",#N/A,FALSE,'"GLC";"''ФОТр.тек.'!glc3",#N/A,FALSE,'"GLC";"''ФОТр.тек.'!glc4",#N/A,FALSE,'"GLC";"''ФОТр.тек.'!glc5",#N/A,FALSE,"GLC"}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1">'{"''ФОТр.тек.'!glc1",#N/A,FALSE,'"GLC";"''ФОТр.тек.'!glc2",#N/A,FALSE,'"GLC";"''ФОТр.тек.'!glc3",#N/A,FALSE,'"GLC";"''ФОТр.тек.'!glc4",#N/A,FALSE,'"GLC";"''ФОТр.тек.'!glc5",#N/A,FALSE,"GLC"}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1">'{"''ФОТр.тек.'!glc1",#N/A,FALSE,'"GLC";"''ФОТр.тек.'!glc2",#N/A,FALSE,'"GLC";"''ФОТр.тек.'!glc3",#N/A,FALSE,'"GLC";"''ФОТр.тек.'!glc4",#N/A,FALSE,'"GLC";"''ФОТр.тек.'!glc5",#N/A,FALSE,"GLC"}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1">'{"''ФОТр.тек.'!glc1",#N/A,FALSE,'"GLC";"''ФОТр.тек.'!glc2",#N/A,FALSE,'"GLC";"''ФОТр.тек.'!glc3",#N/A,FALSE,'"GLC";"''ФОТр.тек.'!glc4",#N/A,FALSE,'"GLC";"''ФОТр.тек.'!glc5",#N/A,FALSE,"GLC"}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1">'{"''ФОТр.тек.'!glc1",#N/A,FALSE,'"GLC";"''ФОТр.тек.'!glc2",#N/A,FALSE,'"GLC";"''ФОТр.тек.'!glc3",#N/A,FALSE,'"GLC";"''ФОТр.тек.'!glc4",#N/A,FALSE,'"GLC";"''ФОТр.тек.'!glc5",#N/A,FALSE,"GLC"}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>#REF!</definedName>
    <definedName name="обл">#REF!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  <definedName name="_xlnm.Print_Area" localSheetId="2">'4.3 Отдел 2. Тех.характеристики'!$A:$D</definedName>
    <definedName name="_xlnm.Print_Area" localSheetId="4">'Прил.2 Расч стоим'!$A$1:$J$28</definedName>
    <definedName name="_xlnm.Print_Area" localSheetId="5">'Прил. 3'!$A$1:$H$368</definedName>
    <definedName name="_xlnm.Print_Area" localSheetId="6">'Прил.4 РМ'!$A$1:$E$48</definedName>
    <definedName name="_xlnm.Print_Area" localSheetId="7">'Прил.5 Расчет СМР и ОБ'!$A$1:$J$366</definedName>
    <definedName name="_xlnm.Print_Area" localSheetId="11">'ФОТр.тек.'!$A$1:$F$13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</definedNames>
  <calcPr calcId="999999" calcMode="auto" calcCompleted="1" fullCalcOnLoad="0" forceFullCalc="0"/>
</workbook>
</file>

<file path=xl/comments13.xml><?xml version="1.0" encoding="utf-8"?>
<comments xmlns="http://schemas.openxmlformats.org/spreadsheetml/2006/main">
  <authors>
    <author>user22</author>
  </authors>
  <commentList>
    <comment ref="B1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Принимаем процент согласно РГН вкладка "Индексы и нормы"</t>
        </r>
      </text>
    </comment>
    <comment ref="D1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стоимость стр-ва для определения % см. в ячейке I21
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user</author>
  </authors>
  <commentList>
    <comment ref="G4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Всего по ЛСР для РМ</t>
        </r>
      </text>
    </comment>
    <comment ref="F5" authorId="1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по ЛСР для РМ</t>
        </r>
      </text>
    </comment>
    <comment ref="F6" authorId="1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по ЛСР для РМ</t>
        </r>
      </text>
    </comment>
    <comment ref="F7" authorId="1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по ЛСР для РМ</t>
        </r>
      </text>
    </comment>
  </commentList>
</comments>
</file>

<file path=xl/sharedStrings.xml><?xml version="1.0" encoding="utf-8"?>
<sst xmlns="http://schemas.openxmlformats.org/spreadsheetml/2006/main" uniqueCount="1054">
  <si>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</si>
  <si>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</si>
  <si>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</si>
  <si>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</si>
  <si>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rFont val="Calibri"/>
        <b val="true"/>
        <i val="false"/>
        <strike val="false"/>
        <color rgb="FF000000"/>
        <sz val="11"/>
        <u val="none"/>
      </rPr>
      <t xml:space="preserve">Единица измерения:</t>
    </r>
    <r>
      <rPr>
        <rFont val="Calibri"/>
        <b val="false"/>
        <i val="false"/>
        <strike val="false"/>
        <color rgb="FF000000"/>
        <sz val="11"/>
        <u val="none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</si>
  <si>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</si>
  <si>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</si>
  <si>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</si>
  <si>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</si>
  <si>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</si>
  <si>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</si>
  <si>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</si>
  <si>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</si>
  <si>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</si>
  <si>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</si>
  <si>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</si>
  <si>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</si>
  <si>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</si>
  <si>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</si>
  <si>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</si>
  <si>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</si>
  <si>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</si>
  <si>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</si>
  <si>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</si>
  <si>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</si>
  <si>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</si>
  <si>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</si>
  <si>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</si>
  <si>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</si>
  <si>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</si>
  <si>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</si>
  <si>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</si>
  <si>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</si>
  <si>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</si>
  <si>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</si>
  <si>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</si>
  <si>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</si>
  <si>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</si>
  <si>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</si>
  <si>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</si>
  <si>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</si>
  <si>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</si>
  <si>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</si>
  <si>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</si>
  <si>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</si>
  <si>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</si>
  <si>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</si>
  <si>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</si>
  <si>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ПЧЗ Насосная ПС 500 кВ</t>
  </si>
  <si>
    <t>Сопоставимый уровень цен: 4 квартал 2018 г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</si>
  <si>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</si>
  <si>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</si>
  <si>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</si>
  <si>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</si>
  <si>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500 кВ Белобережская</t>
  </si>
  <si>
    <t>Наименование субъекта Российской Федерации</t>
  </si>
  <si>
    <t>Брянская область</t>
  </si>
  <si>
    <t>Климатический район и подрайон</t>
  </si>
  <si>
    <t>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</si>
  <si>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</si>
  <si>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</si>
  <si>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Здание противопожарной насосной станции (ПНС)
6х12 (72 кв.м)
Несущие кирпичные стены с утеплителем и облицовкой стальным профилированным листом
Кровля - Двускатная, профилированный оцинкованный лист по металлическим стропильным конструкциям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</si>
  <si>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</si>
  <si>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</si>
  <si>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</si>
  <si>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</si>
  <si>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</si>
  <si>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</si>
  <si>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</si>
  <si>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</si>
  <si>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</si>
  <si>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</si>
  <si>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2018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</si>
  <si>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</si>
  <si>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</si>
  <si>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</si>
  <si>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Д.А. Самуйленко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</si>
  <si>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</si>
  <si>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</si>
  <si>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</si>
  <si>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</si>
  <si>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</si>
  <si>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</si>
  <si>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</si>
  <si>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</si>
  <si>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</si>
  <si>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</si>
  <si>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</si>
  <si>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Прочее</t>
  </si>
  <si>
    <t>Всего</t>
  </si>
  <si>
    <t>Насосная ПС 500 кВ</t>
  </si>
  <si>
    <t>Всего по объекту:</t>
  </si>
  <si>
    <t>Всего по объекту в сопоставимом уровне цен 4 кв. 2018 г:</t>
  </si>
  <si>
    <t>Составил ______________________     Д.А. Самуйленко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</si>
  <si>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</si>
  <si>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</si>
  <si>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</si>
  <si>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 ПЧЗ Насосная ПС 500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</si>
  <si>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</si>
  <si>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</si>
  <si>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</si>
  <si>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</si>
  <si>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</si>
  <si>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</si>
  <si>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</si>
  <si>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</si>
  <si>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</si>
  <si>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</si>
  <si>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</si>
  <si>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1-3-8</t>
  </si>
  <si>
    <t>Затраты труда рабочих (средний разряд работы 3,8)</t>
  </si>
  <si>
    <t>чел.час</t>
  </si>
  <si>
    <t>1-3-2</t>
  </si>
  <si>
    <t>Затраты труда рабочих (средний разряд работы 3,2)</t>
  </si>
  <si>
    <t>1-3-4</t>
  </si>
  <si>
    <t>Затраты труда рабочих (средний разряд работы 3,4)</t>
  </si>
  <si>
    <t>1-3-7</t>
  </si>
  <si>
    <t>Затраты труда рабочих (средний разряд работы 3,7)</t>
  </si>
  <si>
    <t>1-3-5</t>
  </si>
  <si>
    <t>Затраты труда рабочих (средний разряд работы 3,5)</t>
  </si>
  <si>
    <t>1-4-0</t>
  </si>
  <si>
    <t>Затраты труда рабочих (средний разряд работы 4)</t>
  </si>
  <si>
    <t>1-4-2</t>
  </si>
  <si>
    <t>Затраты труда рабочих (средний разряд работы 4,2)</t>
  </si>
  <si>
    <t>1-5-4</t>
  </si>
  <si>
    <t>Затраты труда рабочих (средний разряд работы 5,4)</t>
  </si>
  <si>
    <t>1-4-1</t>
  </si>
  <si>
    <t>Затраты труда рабочих (средний разряд работы 4,1)</t>
  </si>
  <si>
    <t>1-2-2</t>
  </si>
  <si>
    <t>Затраты труда рабочих (средний разряд работы 2,2)</t>
  </si>
  <si>
    <t>1-4-3</t>
  </si>
  <si>
    <t>Затраты труда рабочих (средний разряд работы 4,3)</t>
  </si>
  <si>
    <t>1-1-5</t>
  </si>
  <si>
    <t>Затраты труда рабочих (средний разряд работы 1,5)</t>
  </si>
  <si>
    <t>1-3-0</t>
  </si>
  <si>
    <t>Затраты труда рабочих (средний разряд работы 3)</t>
  </si>
  <si>
    <t>1-3-9</t>
  </si>
  <si>
    <t>Затраты труда рабочих (средний разряд работы 3,9)</t>
  </si>
  <si>
    <t>1-2-0</t>
  </si>
  <si>
    <t>Затраты труда рабочих (средний разряд работы 2)</t>
  </si>
  <si>
    <t>1-2-8</t>
  </si>
  <si>
    <t>Затраты труда рабочих (средний разряд работы 2,8)</t>
  </si>
  <si>
    <t>1-5-1</t>
  </si>
  <si>
    <t>Затраты труда рабочих (средний разряд работы 5,1)</t>
  </si>
  <si>
    <t>1-4-5</t>
  </si>
  <si>
    <t>Затраты труда рабочих (средний разряд работы 4,5)</t>
  </si>
  <si>
    <t>1-3-1</t>
  </si>
  <si>
    <t>Затраты труда рабочих (средний разряд работы 3,1)</t>
  </si>
  <si>
    <t>1-4-4</t>
  </si>
  <si>
    <t>Затраты труда рабочих (средний разряд работы 4,4)</t>
  </si>
  <si>
    <t>1-3-6</t>
  </si>
  <si>
    <t>Затраты труда рабочих (средний разряд работы 3,6)</t>
  </si>
  <si>
    <t>1-2-5</t>
  </si>
  <si>
    <t>Затраты труда рабочих (средний разряд работы 2,5)</t>
  </si>
  <si>
    <t>1-4-7</t>
  </si>
  <si>
    <t>Затраты труда рабочих (средний разряд работы 4,7)</t>
  </si>
  <si>
    <t>1-3-3</t>
  </si>
  <si>
    <t>Затраты труда рабочих (средний разряд работы 3,3)</t>
  </si>
  <si>
    <t>Затраты труда машинистов</t>
  </si>
  <si>
    <t>чел.-ч</t>
  </si>
  <si>
    <t>Машины и механизмы</t>
  </si>
  <si>
    <t>91.05.06-012</t>
  </si>
  <si>
    <t>Краны на гусеничном ходу, грузоподъемность до 16 т</t>
  </si>
  <si>
    <t>маш.-ч</t>
  </si>
  <si>
    <t>91.05.01-017</t>
  </si>
  <si>
    <t>Краны башенные, грузоподъемность 8 т</t>
  </si>
  <si>
    <t>91.14.03-002</t>
  </si>
  <si>
    <t>Автомобили-самосвалы, грузоподъемность до 10 т</t>
  </si>
  <si>
    <t>91.06.03-058</t>
  </si>
  <si>
    <t>Лебедки электрические тяговым усилием: 156,96 кН (16 т)</t>
  </si>
  <si>
    <t>91.14.02-001</t>
  </si>
  <si>
    <t>Автомобили бортовые, грузоподъемность до 5 т</t>
  </si>
  <si>
    <t>91.05.05-014</t>
  </si>
  <si>
    <t>Краны на автомобильном ходу, грузоподъемность 10 т</t>
  </si>
  <si>
    <t>91.17.04-233</t>
  </si>
  <si>
    <t>Установки для сварки ручной дуговой (постоянного тока)</t>
  </si>
  <si>
    <t>91.05.06-008</t>
  </si>
  <si>
    <t>Краны на гусеничном ходу, грузоподъемность 40 т</t>
  </si>
  <si>
    <t>91.01.05-087</t>
  </si>
  <si>
    <t>Экскаваторы одноковшовые дизельные на гусеничном ходу, емкость ковша 1,0 м3</t>
  </si>
  <si>
    <t>91.08.04-021</t>
  </si>
  <si>
    <t>Котлы битумные передвижные 400 л</t>
  </si>
  <si>
    <t>91.18.01-007</t>
  </si>
  <si>
    <t>Компрессоры передвижные с двигателем внутреннего сгорания, давлением до 686 кПа (7 ат), производительность до 5 м3/мин</t>
  </si>
  <si>
    <t>91.05.04-010</t>
  </si>
  <si>
    <t>Краны мостовые электрические, грузоподъемность 50 т</t>
  </si>
  <si>
    <t>91.05.06-007</t>
  </si>
  <si>
    <t>Краны на гусеничном ходу, грузоподъемность 25 т</t>
  </si>
  <si>
    <t>91.21.22-441</t>
  </si>
  <si>
    <t>Установки: для заготовки защитных покрытий тепловой изоляции</t>
  </si>
  <si>
    <t>91.17.04-171</t>
  </si>
  <si>
    <t>Преобразователи сварочные номинальным сварочным током 315-500 А</t>
  </si>
  <si>
    <t>91.06.06-048</t>
  </si>
  <si>
    <t>Подъемники одномачтовые, грузоподъемность до 500 кг, высота подъема 45 м</t>
  </si>
  <si>
    <t>91.05.02-005</t>
  </si>
  <si>
    <t>Краны козловые, грузоподъемность 32 т</t>
  </si>
  <si>
    <t>Шуруповерт</t>
  </si>
  <si>
    <t>91.06.05-011</t>
  </si>
  <si>
    <t>Погрузчик, грузоподъемность 5 т</t>
  </si>
  <si>
    <t>91.07.07-041</t>
  </si>
  <si>
    <t>Растворонасосы: 1 м3/ч</t>
  </si>
  <si>
    <t>91.01.01-035</t>
  </si>
  <si>
    <t>Бульдозеры, мощность 79 кВт (108 л.с.)</t>
  </si>
  <si>
    <t>91.06.06-042</t>
  </si>
  <si>
    <t>Подъемники гидравлические высотой подъема: 10 м</t>
  </si>
  <si>
    <t>91.05.01-025</t>
  </si>
  <si>
    <t>Краны башенные, грузоподъемность 25-75 т</t>
  </si>
  <si>
    <t>91.05.08-007</t>
  </si>
  <si>
    <t>Краны на пневмоколесном ходу, грузоподъемность 25 т</t>
  </si>
  <si>
    <t>91.07.04-001</t>
  </si>
  <si>
    <t>Вибратор глубинный</t>
  </si>
  <si>
    <t>91.06.03-061</t>
  </si>
  <si>
    <t>Лебедки электрические тяговым усилием: до 12,26 кН (1,25 т)</t>
  </si>
  <si>
    <t>91.06.03-055</t>
  </si>
  <si>
    <t>Лебедки электрические тяговым усилием: 19,62 кН (2 т)</t>
  </si>
  <si>
    <t>Дрели: электрические</t>
  </si>
  <si>
    <t>91.06.03-062</t>
  </si>
  <si>
    <t>Лебедки электрические тяговым усилием: до 31,39 кН (3,2 т)</t>
  </si>
  <si>
    <t>91.17.04-042</t>
  </si>
  <si>
    <t>Аппарат для газовой сварки и резки</t>
  </si>
  <si>
    <t>91.06.05-057</t>
  </si>
  <si>
    <t>Погрузчики одноковшовые универсальные фронтальные пневмоколесные, грузоподъемность 3 т</t>
  </si>
  <si>
    <t>91.05.04-006</t>
  </si>
  <si>
    <t>Краны мостовые электрические, грузоподъемность 10 т</t>
  </si>
  <si>
    <t>91.07.04-002</t>
  </si>
  <si>
    <t>Вибратор поверхностный</t>
  </si>
  <si>
    <t>91.06.01-003</t>
  </si>
  <si>
    <t>Домкраты гидравлические, грузоподъемность 63-100 т</t>
  </si>
  <si>
    <t>91.07.07-001</t>
  </si>
  <si>
    <t>Агрегаты электронасосные с регулированием подачи вручную для строительных растворов, подача: до 4 м3/ч, напор 150 м</t>
  </si>
  <si>
    <t>91.21.22-421</t>
  </si>
  <si>
    <t>Термос 100 л</t>
  </si>
  <si>
    <t>91.17.04-161</t>
  </si>
  <si>
    <t>Полуавтоматы сварочные номинальным сварочным током 40-500 А</t>
  </si>
  <si>
    <t>Пила: дисковая электрическая</t>
  </si>
  <si>
    <t>91.08.09-023</t>
  </si>
  <si>
    <t>Трамбовки пневматические при работе от: передвижных компрессорных станций</t>
  </si>
  <si>
    <t>91.21.01-012</t>
  </si>
  <si>
    <t>Агрегаты окрасочные высокого давления для окраски поверхностей конструкций, мощность 1 кВт</t>
  </si>
  <si>
    <t>91.14.03-001</t>
  </si>
  <si>
    <t>Автомобиль-самосвал, грузоподъемность: до 7 т</t>
  </si>
  <si>
    <t>91.06.03-045</t>
  </si>
  <si>
    <t>Лебедки ручные и рычажные тяговым усилием: 14,72 кН (1,5 т)</t>
  </si>
  <si>
    <t>91.06.03-046</t>
  </si>
  <si>
    <t>Лебедки ручные и рычажные тяговым усилием: 29,43 кН (3 т)</t>
  </si>
  <si>
    <t>91.04.01-041</t>
  </si>
  <si>
    <t>Молотки бурильные: легкие при работе от передвижных компрессорных станций</t>
  </si>
  <si>
    <t>61.2.07.02-0046</t>
  </si>
  <si>
    <t>Блок управления оборудованием насосной станции спринклерного, дренчерного, пенного пожаротушения или пожарного водопровода</t>
  </si>
  <si>
    <t>шт.</t>
  </si>
  <si>
    <t>68.2.02.01-0001</t>
  </si>
  <si>
    <t>Насос пожарный NB 80-250/234</t>
  </si>
  <si>
    <t>1 компл</t>
  </si>
  <si>
    <t>62.1.02.10-0124</t>
  </si>
  <si>
    <t>Шкаф ВРУ-3 Prisma Plus P "Schneider Electric" IP30, IK08, размером (с цоколем 100 мм) 2107х706х650 мм, с установленной и скоммутированной аппаратурой ввода-вывода (16 автоматов)</t>
  </si>
  <si>
    <t>61.2.03.01-1006</t>
  </si>
  <si>
    <t>Модуль газового пожаротушения, вместимость 100 л., диаметр прохода 16 мм.</t>
  </si>
  <si>
    <t>Прайс из СД ОП</t>
  </si>
  <si>
    <t>Светильник светодиодный мощностью 60Вт L-industry48; Ц=14100/1,18/3,55=3365,95</t>
  </si>
  <si>
    <t>Насос-жокей CR 15-6</t>
  </si>
  <si>
    <t>Насос погружной для скважины Grundfos SQ 2-55</t>
  </si>
  <si>
    <t>Щитовое оборудование (шкафы)</t>
  </si>
  <si>
    <t>ШПК-320Н  закр. тип, цвет красн./бел., габариты 540х1300х230. цена 3455,75/1,18/3,55=824,95</t>
  </si>
  <si>
    <t>Светильник ручной РВО-42 40Вт; Ц=281/3,55=79,15</t>
  </si>
  <si>
    <t>Материалы</t>
  </si>
  <si>
    <t>04.1.02.05-0063</t>
  </si>
  <si>
    <t>Смеси бетонные тяжелого бетона (БСТ), крупность заполнителя 40 мм, класс В25 (М350)</t>
  </si>
  <si>
    <t>м3</t>
  </si>
  <si>
    <t>18.1.02.01-0087</t>
  </si>
  <si>
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300 мм</t>
  </si>
  <si>
    <t>шт</t>
  </si>
  <si>
    <t>06.1.01.05-0037</t>
  </si>
  <si>
    <t>Кирпич керамический одинарный, марка 150, размер 250х120х65 мм</t>
  </si>
  <si>
    <t>1000 шт</t>
  </si>
  <si>
    <t>06.1.01.05-0001</t>
  </si>
  <si>
    <t>Кирпич керамический лицевой профильный, размер 250х120х65 мм, марка 75</t>
  </si>
  <si>
    <t>05.1.06.14-0006</t>
  </si>
  <si>
    <t>Плиты перекрытий железобетонные трехслойные с внешними слоями из бетона плотностью 1900 кг/м3 и более</t>
  </si>
  <si>
    <t>08.4.03.03-0034</t>
  </si>
  <si>
    <t>Сталь арматурная, горячекатаная, периодического профиля, класс А-III, диаметр 16-18 мм</t>
  </si>
  <si>
    <t>т</t>
  </si>
  <si>
    <t>08.4.03.03-0032</t>
  </si>
  <si>
    <t>Сталь арматурная, горячекатаная, периодического профиля, класс А-III, диаметр 12 мм</t>
  </si>
  <si>
    <t>18.1.02.01-0158</t>
  </si>
  <si>
    <t>Задвижка клиновая с выдвижным шпинделем 30с41нж, номинальное давление 1,6 МПа (16 кгс/см2), присоединение к трубопроводу фланцевое, номинальный диаметр 150 мм</t>
  </si>
  <si>
    <t>21.1.06.10-0500</t>
  </si>
  <si>
    <t>Кабель силовой с медными жилами ВВГ 5х35-1000</t>
  </si>
  <si>
    <t>1000 м</t>
  </si>
  <si>
    <t>08.4.03.02-1002</t>
  </si>
  <si>
    <t>Сталь арматурная, гладкая, класс А-I (А240), диаметр 12 мм</t>
  </si>
  <si>
    <t>07.2.07.12-0011</t>
  </si>
  <si>
    <t>Элементы конструктивные зданий и сооружений с преобладанием гнутосварных профилей и круглых труб, средняя масса сборочной единицы до 0,1 т</t>
  </si>
  <si>
    <t>04.3.01.12-0003</t>
  </si>
  <si>
    <t>Раствор кладочный, цементно-известковый, М50</t>
  </si>
  <si>
    <t>21.1.06.10-0376</t>
  </si>
  <si>
    <t>Кабель силовой с медными жилами ВВГнг(A)-LS 3х2,5ок-1000</t>
  </si>
  <si>
    <t>07.2.06.06-0091</t>
  </si>
  <si>
    <t>Фасадная панель из оцинкованной стали с покрытием полиэстер</t>
  </si>
  <si>
    <t>м2</t>
  </si>
  <si>
    <t>12.2.05.06-0012</t>
  </si>
  <si>
    <t>Плиты из пенополистирола, размером: 0,6х4 м для укрепления земляного полотна</t>
  </si>
  <si>
    <t>08.1.02.03-0041</t>
  </si>
  <si>
    <t>Кронштейн выравнивающий стальной оцинкованный, высота профиля 200 мм, толщина металла 1,2 мм</t>
  </si>
  <si>
    <t>24.3.01.03-0002</t>
  </si>
  <si>
    <t>Трубы гладкие жесткие из ПВХ "DKC" диаметром: 25 мм</t>
  </si>
  <si>
    <t>10 м</t>
  </si>
  <si>
    <t>08.4.03.02-0002</t>
  </si>
  <si>
    <t>Сталь арматурная, горячекатаная, гладкая, класс А-I, диаметр 8 мм</t>
  </si>
  <si>
    <t>08.3.09.01-0010</t>
  </si>
  <si>
    <t>Профилированный лист оцинкованный: Н75-750-0,8</t>
  </si>
  <si>
    <t>23.3.05.01-0024</t>
  </si>
  <si>
    <t>Трубы стальные бесшовные холоднодеформированные из коррозионно-стойкой стали марки 12Х18Н10Т, наружный диаметр 45 мм, толщина стенки 4,0 мм</t>
  </si>
  <si>
    <t>м</t>
  </si>
  <si>
    <t>23.8.03.11-0014</t>
  </si>
  <si>
    <t>Фланцы приварные встык, марка стали 20, номинальное давление 1,6 МПа, номинальный диаметр 300 мм</t>
  </si>
  <si>
    <t>компл</t>
  </si>
  <si>
    <t>09.4.03.05-0010</t>
  </si>
  <si>
    <t>Блоки оконные из алюминиевого комбинированного профиля одинарной конструкции: с однокамерным стеклопакетом двухстворчатые, с двумя поворотно-откидными створками (ГОСТ 23166-99)</t>
  </si>
  <si>
    <t>21.1.06.10-0489</t>
  </si>
  <si>
    <t>Кабель силовой с медными жилами ВВГ 4х35-1000</t>
  </si>
  <si>
    <t>04.1.02.05-0057</t>
  </si>
  <si>
    <t>Смеси бетонные тяжелого бетона (БСТ), крупность заполнителя 40 мм, класс В7,5 (М100)</t>
  </si>
  <si>
    <t>08.4.03.02-0003</t>
  </si>
  <si>
    <t>Сталь арматурная, горячекатаная, гладкая, класс А-I, диаметр 10 мм</t>
  </si>
  <si>
    <t>23.3.05.01-0017</t>
  </si>
  <si>
    <t>Трубы стальные бесшовные холоднодеформированные из коррозионно-стойкой стали марки 12Х18Н10Т, наружный диаметр 32 мм, толщина стенки 3,0 мм</t>
  </si>
  <si>
    <t>23.5.02.02-0100</t>
  </si>
  <si>
    <t>Трубы стальные электросварные прямошовные со снятой фаской из стали марок БСт2кп-БСт4кп и БСт2пс-БСт4пс, наружный диаметр 325 мм, толщина стенки 6 мм</t>
  </si>
  <si>
    <t>08.3.05.05-0056</t>
  </si>
  <si>
    <t>Сталь листовая оцинкованная толщиной листа: 0,60 мм</t>
  </si>
  <si>
    <t>05.1.06.06-0072</t>
  </si>
  <si>
    <t>Плиты перекрытий железобетонные ребристые и часторебристые</t>
  </si>
  <si>
    <t>18.1.02.01-0081</t>
  </si>
  <si>
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50 мм</t>
  </si>
  <si>
    <t>08.3.01.02-0043</t>
  </si>
  <si>
    <t>Двутавры с параллельными гранями полок широкополочные «Ш», сталь: марки Ст0, № 20-24</t>
  </si>
  <si>
    <t>06.2.02.01-0051</t>
  </si>
  <si>
    <t>Плитка керамическая неглазурованная для полов гладкая, многоцветная квадратная и прямоугольная</t>
  </si>
  <si>
    <t>08.3.01.02-0029</t>
  </si>
  <si>
    <t>Двутавры с параллельными гранями полок нормальные «Б», сталь: полуспокойная, № 26-40</t>
  </si>
  <si>
    <t>23.8.03.11-0011</t>
  </si>
  <si>
    <t>Фланцы приварные встык, марка стали 20, номинальное давление 1,6 МПа, номинальный диаметр 150 мм</t>
  </si>
  <si>
    <t>07.2.06.03-0115</t>
  </si>
  <si>
    <t>Профиль направляющий ПН-4 75/30/0,6</t>
  </si>
  <si>
    <t>07.1.01.01-0001</t>
  </si>
  <si>
    <t>Дверь противопожарная металлическая двупольная ДПМ-02/30, размером 1200х2100 мм</t>
  </si>
  <si>
    <t>12.1.02.01-0011</t>
  </si>
  <si>
    <t>Гидроизол ГИ-Г</t>
  </si>
  <si>
    <t>01.7.06.03-0021</t>
  </si>
  <si>
    <t>Лента полиэтиленовая с липким слоем А50</t>
  </si>
  <si>
    <t>21.1.08.01-0121</t>
  </si>
  <si>
    <t>Кабель сигнальный КСВВнг-LS 1x2x0,8</t>
  </si>
  <si>
    <t>08.3.11.01-0044</t>
  </si>
  <si>
    <t>Швеллеры: № 5, 6 сталь марки Ст3пс5</t>
  </si>
  <si>
    <t>23.5.01.08-0033</t>
  </si>
  <si>
    <t>Трубы стальные электросварные прямошовные и спиральношовные, класс прочности К38, наружный диаметр 630 мм, толщина стенки 8 мм</t>
  </si>
  <si>
    <t>01.2.03.03-0013</t>
  </si>
  <si>
    <t>Мастика битумная кровельная горячая</t>
  </si>
  <si>
    <t>23.8.03.11-0136</t>
  </si>
  <si>
    <t>Фланцы стальные плоские приварные с соединительным выступом, марка стали ВСт3сп2, ВСт3сп3, номинальное давление 1 МПа, номинальный диаметр 300 мм</t>
  </si>
  <si>
    <t>23.3.05.01-0013</t>
  </si>
  <si>
    <t>Трубы стальные бесшовные холоднодеформированные из коррозионно-стойкой стали марки 12Х18Н10Т, наружный диаметр 25 мм, толщина стенки 3,0 мм</t>
  </si>
  <si>
    <t>08.3.05.05-0053</t>
  </si>
  <si>
    <t>Сталь листовая оцинкованная толщиной листа: 0,7 мм</t>
  </si>
  <si>
    <t>402-0116</t>
  </si>
  <si>
    <t>Цементно-песчаные смеси улучшенные для кладочных работ: цементные рецепт № 6, марка 200</t>
  </si>
  <si>
    <t>04.3.01.09-0001</t>
  </si>
  <si>
    <t>Раствор готовый кладочный тяжелый цементный</t>
  </si>
  <si>
    <t>401-0087</t>
  </si>
  <si>
    <t>Бетон тяжелый, крупность заполнителя: 10 мм, класс В20 (М250)</t>
  </si>
  <si>
    <t>01.7.15.03-0015</t>
  </si>
  <si>
    <t>Болты с гайками и шайбами для санитарно-технических работ диаметром: 20-22 мм</t>
  </si>
  <si>
    <t>12.2.04.11-0008</t>
  </si>
  <si>
    <t>Маты теплоизоляционные из стекловолокна URSA, марки: М-15-9000-1200-100</t>
  </si>
  <si>
    <t>101-1043</t>
  </si>
  <si>
    <t>Двутавры с параллельными гранями полок нормальные "Б", сталь: полуспокойная, № 12</t>
  </si>
  <si>
    <t>04.1.02.03-0003</t>
  </si>
  <si>
    <t>Бетон тяжелый для дорожных и аэродромных покрытий и оснований, класс: В7,5 (М100)</t>
  </si>
  <si>
    <t>101-3378</t>
  </si>
  <si>
    <t>Техноэласт ХПП</t>
  </si>
  <si>
    <t>101-3688</t>
  </si>
  <si>
    <t>Швеллеры: № 16 сталь марки Ст3пс</t>
  </si>
  <si>
    <t>301-1177</t>
  </si>
  <si>
    <t>Баки расширительные напольные, с сменной мембранной V=300 л</t>
  </si>
  <si>
    <t>04.3.01.12-0111</t>
  </si>
  <si>
    <t>Раствор готовый отделочный тяжелый,: цементно-известковый 1:1:6</t>
  </si>
  <si>
    <t>21.1.08.01-0022</t>
  </si>
  <si>
    <t>Кабель сигнальный КСВВнг-LS 4x0,5</t>
  </si>
  <si>
    <t>23.7.01.02-0011</t>
  </si>
  <si>
    <t>Трубопроводы из стальных бесшовных труб с гильзами для отопления и газоснабжения диаметром: 50 мм</t>
  </si>
  <si>
    <t>04.3.01.09-0011</t>
  </si>
  <si>
    <t>Раствор готовый кладочный цементный марки: 25</t>
  </si>
  <si>
    <t>206-0306</t>
  </si>
  <si>
    <t>Комплекты элементов обрамления для окон: в спаренном переплете КОС 18-15</t>
  </si>
  <si>
    <t>компл.</t>
  </si>
  <si>
    <t>204-0023</t>
  </si>
  <si>
    <t>Горячекатаная арматурная сталь периодического профиля класса: А-III, диаметром 14 мм</t>
  </si>
  <si>
    <t>07.2.07.13-0171</t>
  </si>
  <si>
    <t>Подкладки металлические</t>
  </si>
  <si>
    <t>кг</t>
  </si>
  <si>
    <t>23.5.01.08-0015</t>
  </si>
  <si>
    <t>Трубы стальные электросварные прямошовные и спирально-шовные группы А и Б с сопротивлением по разрыву 38 кгс/мм2, наружный диаметр: 426 мм, толщина стенки 7 мм</t>
  </si>
  <si>
    <t>101-3400</t>
  </si>
  <si>
    <t>Дюбель-гвоздь 8х100 мм</t>
  </si>
  <si>
    <t>100 шт.</t>
  </si>
  <si>
    <t>101-3787</t>
  </si>
  <si>
    <t>Сталь листовая горячекатаная рифленая марки: Ст0 толщиной 3-4 мм</t>
  </si>
  <si>
    <t>08.4.01.02-0011</t>
  </si>
  <si>
    <t>Детали закладные и накладные изготовленные: без применения сварки, гнутья, сверления (пробивки) отверстий поставляемые отдельно</t>
  </si>
  <si>
    <t>301-1224</t>
  </si>
  <si>
    <t>Крепления для трубопроводов: кронштейны, планки, хомуты</t>
  </si>
  <si>
    <t>21.1.04.01-0003</t>
  </si>
  <si>
    <t>Кабель (витая пара) UTP 2x2x0,52 категория 5е (внешний)</t>
  </si>
  <si>
    <t>23.8.03.11-0133</t>
  </si>
  <si>
    <t>Фланцы из стали марок ВСт3сп2, ВСт3сп3 для трубопроводов, с соединительным выступом на условное давление: Ру 1 МПа (10 кгс/см2), диаметром условного прохода 150 мм</t>
  </si>
  <si>
    <t>101-0961</t>
  </si>
  <si>
    <t>Закрыватель дверной гидравлический рычажный в алюминиевом корпусе</t>
  </si>
  <si>
    <t>507-2349</t>
  </si>
  <si>
    <t>Переходы концентрические на Ру до 16 МПа (160 кгс/см2) диаметром условного прохода: 300х100 мм, наружным диаметром и толщиной стенки 325х10-108х4 мм</t>
  </si>
  <si>
    <t>101-2405</t>
  </si>
  <si>
    <t>Начальная планка из оцинкованной стали с полимерным покрытием</t>
  </si>
  <si>
    <t>п.м</t>
  </si>
  <si>
    <t>04.1.02.05-0004</t>
  </si>
  <si>
    <t>Бетон тяжелый, класс: В10 (М150)</t>
  </si>
  <si>
    <t>07.2.07.04-0007</t>
  </si>
  <si>
    <t>Конструкции стальные индивидуальные: решетчатые сварные массой до 0,1 т</t>
  </si>
  <si>
    <t>23.8.05.15-0001</t>
  </si>
  <si>
    <t>Фасонные чугунные соединительные части к чугунным напорным трубам наружным диаметром: 50-100 мм</t>
  </si>
  <si>
    <t>113-0514</t>
  </si>
  <si>
    <t>Состав огнезащитный: "ФайэфлексТМ Крилак"</t>
  </si>
  <si>
    <t>01.8.02.08-0001</t>
  </si>
  <si>
    <t>Стеклопакеты двухслойные из неполированного стекла толщиной 4 мм</t>
  </si>
  <si>
    <t>101-4135</t>
  </si>
  <si>
    <t>Пленка пароизоляционная ЮТАФОЛ (3-х слойная полиэтиленовая с армированным слоем из полиэтиленовых полос)</t>
  </si>
  <si>
    <t>101-2403</t>
  </si>
  <si>
    <t>Нащельник стальной оцинкованный с покрытием «Полиэстер»</t>
  </si>
  <si>
    <t>04.1.02.05-0026</t>
  </si>
  <si>
    <t>Бетон тяжелый, крупность заполнителя: 10 мм, класс В15 (М200)</t>
  </si>
  <si>
    <t>507-2346</t>
  </si>
  <si>
    <t>Переходы концентрические на Ру до 16 МПа (160 кгс/см2) диаметром условного прохода: 300х150 мм, наружным диаметром и толщиной стенки 325х12-159х8 мм</t>
  </si>
  <si>
    <t>204-0030</t>
  </si>
  <si>
    <t>Проволока арматурная из низкоуглеродистой стали Вр-I, диаметром: 5 мм</t>
  </si>
  <si>
    <t>23.8.03.11-0152</t>
  </si>
  <si>
    <t>Фланцы из стали марок ВСт3сп2, ВСт3сп3 для трубопроводов, с соединительным выступом на условное давление: Ру 1,6 МПа (16 кгс/см2), диаметром условного прохода 50 мм</t>
  </si>
  <si>
    <t>302-1712</t>
  </si>
  <si>
    <t>Задвижки клиновые с выдвижным шпинделем фланцевые для воды и пара давлением 1 МПа (10 кгс/см2): 30с41нж диаметром 100 мм</t>
  </si>
  <si>
    <t>101-1045</t>
  </si>
  <si>
    <t>Двутавры с параллельными гранями полок нормальные "Б", сталь: полуспокойная, № 16-18</t>
  </si>
  <si>
    <t>01.7.15.06-0111</t>
  </si>
  <si>
    <t>Гвозди строительные</t>
  </si>
  <si>
    <t>25.1.01.04-0031</t>
  </si>
  <si>
    <t>Шпалы непропитанные для железных дорог: 1 тип</t>
  </si>
  <si>
    <t>204-0021</t>
  </si>
  <si>
    <t>Горячекатаная арматурная сталь периодического профиля класса: А-III, диаметром 10 мм</t>
  </si>
  <si>
    <t>20.2.08.05-0017</t>
  </si>
  <si>
    <t>Профиль монтажный</t>
  </si>
  <si>
    <t>13.2.03.01-0011</t>
  </si>
  <si>
    <t>Камень булыжный</t>
  </si>
  <si>
    <t>23.8.04.06-0107</t>
  </si>
  <si>
    <t>Отводы 90 град. с радиусом кривизны R=1,5 Ду на Ру до 16 МПа (160 кгс/см2), диаметром условного прохода: 300 мм, наружным диаметром 325 мм, толщиной стенки 8 мм</t>
  </si>
  <si>
    <t>23.8.03.11-0009</t>
  </si>
  <si>
    <t>Фланцы воротниковые приварные встык из углеродистой стали марки 20, давлением: 1,6 МПа (16 кгс/см2), диаметром 100 мм</t>
  </si>
  <si>
    <t>02.2.05.04-0105</t>
  </si>
  <si>
    <t>Щебень из природного камня для строительных работ марка: 1000, фракция 40-70 мм</t>
  </si>
  <si>
    <t>403-2403</t>
  </si>
  <si>
    <t>Перемычка брусковая: 3ПБ18-8-п /бетон В15 (М200), объем 0,048 м3, расход ар-ры 1,5 кг/ (серия 1.038.1-1 вып. 1)</t>
  </si>
  <si>
    <t>509-1836</t>
  </si>
  <si>
    <t>Кабель-канал (короб) "Электропласт": 60x40 мм</t>
  </si>
  <si>
    <t>100 м</t>
  </si>
  <si>
    <t>20.2.10.03-0002</t>
  </si>
  <si>
    <t>Наконечники кабельные: медные для электротехнических установок</t>
  </si>
  <si>
    <t>301-3246</t>
  </si>
  <si>
    <t>Клапаны обратные поворотные однодисковые 19ч21бр для воды и пара давлением 1,6 МПа (16 кгс/см2), диаметром 150 мм</t>
  </si>
  <si>
    <t>507-0780</t>
  </si>
  <si>
    <t>Переход: "полиэтилен-сталь 160х159"</t>
  </si>
  <si>
    <t>23.8.03.11-0008</t>
  </si>
  <si>
    <t>Фланцы воротниковые приварные встык из углеродистой стали марки 20, давлением: 1,6 МПа (16 кгс/см2), диаметром 80 мм</t>
  </si>
  <si>
    <t>101-2404</t>
  </si>
  <si>
    <t>Угол наружный, внутренний из оцинкованной стали с полимерным покрытием</t>
  </si>
  <si>
    <t>101-1691</t>
  </si>
  <si>
    <t>Шурупы-саморезы 4,2х16 мм</t>
  </si>
  <si>
    <t>11.2.13.04-0011</t>
  </si>
  <si>
    <t>Щиты: из досок толщиной 25 мм</t>
  </si>
  <si>
    <t>01.6.02.01-0025</t>
  </si>
  <si>
    <t>Обои обыкновенного качества</t>
  </si>
  <si>
    <t>100 м2</t>
  </si>
  <si>
    <t>01.7.11.07-0054</t>
  </si>
  <si>
    <t>Электроды диаметром: 6 мм Э42</t>
  </si>
  <si>
    <t>101-1641</t>
  </si>
  <si>
    <t>Сталь угловая равнополочная, марка стали: ВСт3кп2, размером 50x50x5 мм</t>
  </si>
  <si>
    <t>23.7.01.02-0014</t>
  </si>
  <si>
    <t>Трубопроводы из стальных бесшовных труб с гильзами для отопления и газоснабжения диаметром: 100 мм</t>
  </si>
  <si>
    <t>23.7.01.02-0016</t>
  </si>
  <si>
    <t>Трубопроводы из стальных бесшовных труб с гильзами для отопления и газоснабжения диаметром: 150 мм</t>
  </si>
  <si>
    <t>403-5901</t>
  </si>
  <si>
    <t>Плиты козырьков сплошные: КВ18.16-Т /бетон В15 (М200), объем 0,3 м3, расход ар-ры 36,09 кг/ (серия 1.238-1 вып. 2)</t>
  </si>
  <si>
    <t>11.1.03.06-0079</t>
  </si>
  <si>
    <t>Доски обрезные хвойных пород длиной: 2-3,75 м, шириной 75-150 мм, толщиной 44 мм и более, III сорта</t>
  </si>
  <si>
    <t>20.2.02.02-0011</t>
  </si>
  <si>
    <t>Заглушки</t>
  </si>
  <si>
    <t>10 шт.</t>
  </si>
  <si>
    <t>11.1.03.01-0082</t>
  </si>
  <si>
    <t>Бруски обрезные хвойных пород длиной: 4-6,5 м, шириной 75-150 мм, толщиной 100, 125 мм, II сорта</t>
  </si>
  <si>
    <t>01.7.11.07-0056</t>
  </si>
  <si>
    <t>Электроды диаметром: 6 мм Э46</t>
  </si>
  <si>
    <t>507-0778</t>
  </si>
  <si>
    <t>Переход: "полиэтилен-сталь 63х57"</t>
  </si>
  <si>
    <t>01.7.15.03-0014</t>
  </si>
  <si>
    <t>Болты с гайками и шайбами для санитарно-технических работ диаметром: 16 мм</t>
  </si>
  <si>
    <t>01.7.11.07-0045</t>
  </si>
  <si>
    <t>Электроды диаметром: 5 мм Э42А</t>
  </si>
  <si>
    <t>12.1.02.06-0022</t>
  </si>
  <si>
    <t>Рубероид кровельный с пылевидной посыпкой марки РКП-350б</t>
  </si>
  <si>
    <t>101-4163</t>
  </si>
  <si>
    <t>Грунтовка акриловая: НОРТЕКС-ГРУНТ</t>
  </si>
  <si>
    <t>302-1133</t>
  </si>
  <si>
    <t>Вентили пожарные 50-10 для воды давлением 1 МПа (10 кгс/см2), диаметром 50 мм</t>
  </si>
  <si>
    <t>23.8.03.11-0007</t>
  </si>
  <si>
    <t>Фланцы воротниковые приварные встык из углеродистой стали марки 20, давлением: 1,6 МПа (16 кгс/см2), диаметром 65 мм</t>
  </si>
  <si>
    <t>01.7.11.07-0040</t>
  </si>
  <si>
    <t>Электроды диаметром: 4 мм Э50А</t>
  </si>
  <si>
    <t>Насадка-распылитель "Лавина": 200/1,18/5,06=33,49</t>
  </si>
  <si>
    <t>01.1.02.08-0006</t>
  </si>
  <si>
    <t>Прокладки из паронита марки ПМБ, толщиной: 1 мм, диаметром 300 мм</t>
  </si>
  <si>
    <t>1000 шт.</t>
  </si>
  <si>
    <t>204-0034</t>
  </si>
  <si>
    <t>Надбавки к ценам заготовок за сборку и сварку каркасов и сеток: плоских, диаметром 5-6 мм</t>
  </si>
  <si>
    <t>01.3.01.01-0009</t>
  </si>
  <si>
    <t>Бензин растворитель</t>
  </si>
  <si>
    <t>14.4.02.09-0001</t>
  </si>
  <si>
    <t>Краска</t>
  </si>
  <si>
    <t>08.1.02.17-0161</t>
  </si>
  <si>
    <t>Сетка тканая с квадратными ячейками № 05: без покрытия</t>
  </si>
  <si>
    <t>11.1.03.06-0087</t>
  </si>
  <si>
    <t>Доски обрезные хвойных пород длиной: 4-6,5 м, шириной 75-150 мм, толщиной 25 мм, III сорта</t>
  </si>
  <si>
    <t>04.3.01.09-0016</t>
  </si>
  <si>
    <t>Раствор готовый кладочный цементный марки: 200</t>
  </si>
  <si>
    <t>509-1828</t>
  </si>
  <si>
    <t>Кабель-канал (короб) "Электропласт": 15x10 мм</t>
  </si>
  <si>
    <t>507-2313</t>
  </si>
  <si>
    <t>Переходы концентрические на Ру до 16 МПа (160 кгс/см2) диаметром условного прохода: 150х80 мм, наружным диаметром и толщиной стенки 159х8-89х6 мм</t>
  </si>
  <si>
    <t>01.2.01.02-0041</t>
  </si>
  <si>
    <t>Битумы нефтяные строительные кровельные марки: БНК-45/190, БНК-45/180</t>
  </si>
  <si>
    <t>18.3.01.02-0031</t>
  </si>
  <si>
    <t>Рукава пожарные льняные сухого прядения нормальные, диаметром 51 мм</t>
  </si>
  <si>
    <t>01.2.01.02-0054</t>
  </si>
  <si>
    <t>Битумы нефтяные строительные марки: БН-90/10</t>
  </si>
  <si>
    <t>18.3.02.02-0011</t>
  </si>
  <si>
    <t>Шкаф пожарный, навесной закрытый, ШПК-320</t>
  </si>
  <si>
    <t>Огнетушитель углекислотный ОУ-3 (цена 983,83/1,18/5,06=164,77)</t>
  </si>
  <si>
    <t>01.3.01.03-0002</t>
  </si>
  <si>
    <t>Керосин для технических целей марок КТ-1, КТ-2</t>
  </si>
  <si>
    <t>999-9950</t>
  </si>
  <si>
    <t>Вспомогательные ненормируемые ресурсы (2% от Оплаты труда рабочих)</t>
  </si>
  <si>
    <t>руб</t>
  </si>
  <si>
    <t>01.7.15.07-0012</t>
  </si>
  <si>
    <t>Дюбели пластмассовые с шурупами 12х70 мм</t>
  </si>
  <si>
    <t>01.1.02.03-0002</t>
  </si>
  <si>
    <t>Волокно асбестовое марки: П-3-50</t>
  </si>
  <si>
    <t>301-3245</t>
  </si>
  <si>
    <t>Клапаны обратные поворотные однодисковые 19ч21бр для воды и пара давлением 1,6 МПа (16 кгс/см2), диаметром 100 мм</t>
  </si>
  <si>
    <t>23.8.03.11-0006</t>
  </si>
  <si>
    <t>Фланцы воротниковые приварные встык из углеродистой стали марки 20, давлением: 1,6 МПа (16 кгс/см2), диаметром 50 мм</t>
  </si>
  <si>
    <t>01.7.19.07-0002</t>
  </si>
  <si>
    <t>Резина листовая вулканизованная цветная</t>
  </si>
  <si>
    <t>20.2.02.01-0019</t>
  </si>
  <si>
    <t>Втулки изолирующие</t>
  </si>
  <si>
    <t>08.1.02.11-0013</t>
  </si>
  <si>
    <t>Поковки оцинкованные, масса: 2,825 кг</t>
  </si>
  <si>
    <t>501-8191</t>
  </si>
  <si>
    <t>Кабель силовой с медными жилами с поливинилхлоридной изоляцией в поливинилхлоридной оболочке без защитного покрова: ВВГ, напряжением 0,66 Кв, число жил - 3 и сечением 2,5 мм2</t>
  </si>
  <si>
    <t>18.1.10.02-0002</t>
  </si>
  <si>
    <t>01.1.02.08-0003</t>
  </si>
  <si>
    <t>Прокладки из паронита марки ПМБ, толщиной: 1 мм, диаметром 150 мм</t>
  </si>
  <si>
    <t>01.7.06.05-0041</t>
  </si>
  <si>
    <t>Лента изоляционная прорезиненная односторонняя ширина 20 мм, толщина 0,25-0,35 мм</t>
  </si>
  <si>
    <t>07.2.07.12-0006</t>
  </si>
  <si>
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</si>
  <si>
    <t>23.8.04.06-0117</t>
  </si>
  <si>
    <t>Отводы 90 град. с радиусом кривизны R=1,5 Ду на Ру до 16 МПа (160 кгс/см2), диаметром условного прохода: 400 мм, наружным диаметром 426 мм, толщиной стенки 9 мм</t>
  </si>
  <si>
    <t>01.7.03.01-0001</t>
  </si>
  <si>
    <t>Вода</t>
  </si>
  <si>
    <t>11.1.03.06-0095</t>
  </si>
  <si>
    <t>Доски обрезные хвойных пород длиной: 4-6,5 м, шириной 75-150 мм, толщиной 44 мм и более, III сорта</t>
  </si>
  <si>
    <t>101-1714</t>
  </si>
  <si>
    <t>Болты с гайками и шайбами строительные</t>
  </si>
  <si>
    <t>301-3214</t>
  </si>
  <si>
    <t>Клапаны обратные приемные с сеткой фланцевые 16ч42р, диаметром: 50 мм</t>
  </si>
  <si>
    <t>01.7.07.12-0024</t>
  </si>
  <si>
    <t>Пленка полиэтиленовая толщиной: 0,15 мм</t>
  </si>
  <si>
    <t>23.8.03.11-0128</t>
  </si>
  <si>
    <t>Фланцы из стали марок ВСт3сп2, ВСт3сп3 для трубопроводов, с соединительным выступом на условное давление: Ру 1 МПа (10 кгс/см2), диаметром условного прохода 50 мм</t>
  </si>
  <si>
    <t>18.2.07.01-0009</t>
  </si>
  <si>
    <t>Узлы укрупненные монтажные (трубопроводы) из стальных водогазопроводных : оцинкованных труб с гильзами для водоснабжения диаметром 50 мм</t>
  </si>
  <si>
    <t>23.8.03.11-0131</t>
  </si>
  <si>
    <t>Фланцы из стали марок ВСт3сп2, ВСт3сп3 для трубопроводов, с соединительным выступом на условное давление: Ру 1 МПа (10 кгс/см2), диаметром условного прохода 100 мм</t>
  </si>
  <si>
    <t>501-8190</t>
  </si>
  <si>
    <t>Кабель силовой с медными жилами с поливинилхлоридной изоляцией в поливинилхлоридной оболочке без защитного покрова: ВВГ, напряжением 0,66 Кв, число жил - 3 и сечением 1,5 мм2</t>
  </si>
  <si>
    <t>14.1.02.01-0002</t>
  </si>
  <si>
    <t>Клей БМК-5к</t>
  </si>
  <si>
    <t>11.1.02.04-0031</t>
  </si>
  <si>
    <t>Лесоматериалы круглые хвойных пород для строительства диаметром 14-24 см, длиной 3-6,5 м</t>
  </si>
  <si>
    <t>04.3.01.09-0014</t>
  </si>
  <si>
    <t>Раствор готовый кладочный цементный марки: 100</t>
  </si>
  <si>
    <t>01.3.02.08-0001</t>
  </si>
  <si>
    <t>Кислород технический: газообразный</t>
  </si>
  <si>
    <t>501-8209</t>
  </si>
  <si>
    <t>Кабель силовой с медными жилами с поливинилхлоридной изоляцией в поливинилхлоридной оболочке без защитного покрова: ВВГ, напряжением 0,66 Кв, число жил - 5 и сечением 1,5 мм2</t>
  </si>
  <si>
    <t>08.1.02.11-0001</t>
  </si>
  <si>
    <t>Поковки из квадратных заготовок, масса: 1,8 кг</t>
  </si>
  <si>
    <t>201-0844</t>
  </si>
  <si>
    <t>Детали крепления стальные</t>
  </si>
  <si>
    <t>20.2.01.05-0001</t>
  </si>
  <si>
    <t>Гильза кабельная: медная ГМ 2,5</t>
  </si>
  <si>
    <t>07.2.07.12-0020</t>
  </si>
  <si>
    <t>Отдельные конструктивные элементы зданий и сооружений с преобладанием: горячекатаных профилей, средняя масса сборочной единицы от 0,1 до 0,5 т</t>
  </si>
  <si>
    <t>10.3.02.03-0012</t>
  </si>
  <si>
    <t>Припои оловянно-свинцовые бессурьмянистые марки: ПОС40</t>
  </si>
  <si>
    <t>01.3.01.01-0001</t>
  </si>
  <si>
    <t>Бензин авиационный Б-70</t>
  </si>
  <si>
    <t>01.7.07.13-0001</t>
  </si>
  <si>
    <t>Мука андезитовая кислотоупорная, марка: А</t>
  </si>
  <si>
    <t>18.3.01.01-0033</t>
  </si>
  <si>
    <t>Головки-заглушки ГЗ-80</t>
  </si>
  <si>
    <t>14.4.01.01-0003</t>
  </si>
  <si>
    <t>Грунтовка: ГФ-021 красно-коричневая</t>
  </si>
  <si>
    <t>01.7.15.03-0041</t>
  </si>
  <si>
    <t>14.1.03.01-0001</t>
  </si>
  <si>
    <t>Клей для обоев: КМЦ</t>
  </si>
  <si>
    <t>18.3.01.01-0013</t>
  </si>
  <si>
    <t>Головки соединительные напорные для соединения напорных пожарных рукавов между собой и с пожарным оборудованием-муфтовые ГМ 80</t>
  </si>
  <si>
    <t>01.1.02.08-0001</t>
  </si>
  <si>
    <t>Прокладки из паронита марки ПМБ, толщиной: 1 мм, диаметром 50 мм</t>
  </si>
  <si>
    <t>01.7.11.07-0035</t>
  </si>
  <si>
    <t>Электроды диаметром: 4 мм Э46</t>
  </si>
  <si>
    <t>403-0472</t>
  </si>
  <si>
    <t>Перемычка брусковая: 8ПБ16-1 /бетон В15 (М200), объем 0,017 м3, расход ар-ры 0,54 кг/ (серия 1.038.1-1 вып. 4)</t>
  </si>
  <si>
    <t>01.7.15.03-0042</t>
  </si>
  <si>
    <t>101-0892</t>
  </si>
  <si>
    <t>Скобяные изделия при заполнении отдельными элементами дверей входных в здание: однопольных</t>
  </si>
  <si>
    <t>01.7.11.07-0032</t>
  </si>
  <si>
    <t>Электроды диаметром: 4 мм Э42</t>
  </si>
  <si>
    <t>01.7.07.20-0002</t>
  </si>
  <si>
    <t>Тальк молотый, сорт I</t>
  </si>
  <si>
    <t>18.3.01.04-0001</t>
  </si>
  <si>
    <t>Стволы пожарные ручные марки РС, диаметр 50 мм</t>
  </si>
  <si>
    <t>10.3.02.03-0011</t>
  </si>
  <si>
    <t>Припои оловянно-свинцовые бессурьмянистые марки: ПОС30</t>
  </si>
  <si>
    <t>08.3.08.02-0042</t>
  </si>
  <si>
    <t>Сталь угловая равнополочная, марка стали: 18кп, шириной полок 35-56 мм</t>
  </si>
  <si>
    <t>01.1.02.08-0002</t>
  </si>
  <si>
    <t>Прокладки из паронита марки ПМБ, толщиной: 1 мм, диаметром 100 мм</t>
  </si>
  <si>
    <t>14.4.04.08-0003</t>
  </si>
  <si>
    <t>Эмаль ПФ-115 серая</t>
  </si>
  <si>
    <t>01.7.07.29-0111</t>
  </si>
  <si>
    <t>Пакля пропитанная</t>
  </si>
  <si>
    <t>08.3.03.06-0002</t>
  </si>
  <si>
    <t>Проволока горячекатаная в мотках, диаметром 6,3-6,5 мм</t>
  </si>
  <si>
    <t>20.5.02.04-0006</t>
  </si>
  <si>
    <t>Коробка ответвительная КОР-94-3У2 IP43, размер 80х80х43 мм</t>
  </si>
  <si>
    <t>08.3.11.01-0091</t>
  </si>
  <si>
    <t>Швеллеры № 40 из стали марки: Ст0</t>
  </si>
  <si>
    <t>23.7.01.02-0013</t>
  </si>
  <si>
    <t>Трубопроводы из стальных бесшовных труб с гильзами для отопления и газоснабжения диаметром: 80 мм</t>
  </si>
  <si>
    <t>01.2.01.02-0052</t>
  </si>
  <si>
    <t>Битумы нефтяные строительные марки: БН-70/30</t>
  </si>
  <si>
    <t>11.1.03.01-0080</t>
  </si>
  <si>
    <t>Бруски обрезные хвойных пород длиной: 4-6,5 м, шириной 75-150 мм, толщиной 40-75 мм, IV сорта</t>
  </si>
  <si>
    <t>20.3.03.03-0045</t>
  </si>
  <si>
    <t>Светильник переносной с защитной решеткой РВО-42, длина провода 12 м</t>
  </si>
  <si>
    <t>Клапан запорный проходной муфтовый Ду50, Ру 1,6 МПа, 16б3п (цена 350/1,18/5,06=58,62)</t>
  </si>
  <si>
    <t>01.3.02.09-0022</t>
  </si>
  <si>
    <t>Пропан-бутан, смесь техническая</t>
  </si>
  <si>
    <t>14.5.11.01-0001</t>
  </si>
  <si>
    <t>Шпатлевка клеевая</t>
  </si>
  <si>
    <t>08.3.03.04-0012</t>
  </si>
  <si>
    <t>Проволока светлая диаметром: 1,1 мм</t>
  </si>
  <si>
    <t>01.7.02.10-0005</t>
  </si>
  <si>
    <t>Бумага ролевая</t>
  </si>
  <si>
    <t>08.3.03.05-0002</t>
  </si>
  <si>
    <t>Проволока канатная оцинкованная, диаметром: 3 мм</t>
  </si>
  <si>
    <t>20.1.02.23-0082</t>
  </si>
  <si>
    <t>Перемычки гибкие, тип ПГС-50</t>
  </si>
  <si>
    <t>02.3.01.02-0015</t>
  </si>
  <si>
    <t>Песок природный для строительных: работ средний</t>
  </si>
  <si>
    <t>01.7.03.04-0001</t>
  </si>
  <si>
    <t>Электроэнергия</t>
  </si>
  <si>
    <t>кВт-ч</t>
  </si>
  <si>
    <t>01.7.07.29-0031</t>
  </si>
  <si>
    <t>Каболка</t>
  </si>
  <si>
    <t>20.4.03.05-0003</t>
  </si>
  <si>
    <t>Розетка открытой проводки двухгнездная с заземлением</t>
  </si>
  <si>
    <t>11.1.03.06-0092</t>
  </si>
  <si>
    <t>Доски обрезные хвойных пород длиной: 4-6,5 м, шириной 75-150 мм, толщиной 32-40 мм, IV сорта</t>
  </si>
  <si>
    <t>18.3.01.01-0041</t>
  </si>
  <si>
    <t>Головки для пожарных рукавов соединительные напорные, давлением 1,2 МПа (12 кгс/см2) рукавные, диаметром: 50 мм</t>
  </si>
  <si>
    <t>01.7.15.04-0054</t>
  </si>
  <si>
    <t>Винты самонарезающие: оцинкованные, размером 4-12 мм ГОСТ 10621-80</t>
  </si>
  <si>
    <t>08.4.01.01-0022</t>
  </si>
  <si>
    <t>Анкерные детали из прямых или гнутых круглых стержней с резьбой (в комплекте с шайбами и гайками или без них),: поставляемые отдельно</t>
  </si>
  <si>
    <t>01.7.15.14-0165</t>
  </si>
  <si>
    <t>Шурупы с полукруглой головкой: 4x40 мм</t>
  </si>
  <si>
    <t>14.4.04.08-0007</t>
  </si>
  <si>
    <t>Эмаль ПФ-133 темно-серая</t>
  </si>
  <si>
    <t>12.1.02.06-0042</t>
  </si>
  <si>
    <t>Рубероид подкладочный с пылевидной посыпкой: РПП-300б</t>
  </si>
  <si>
    <t>20.2.02.01-0011</t>
  </si>
  <si>
    <t>Втулки В17</t>
  </si>
  <si>
    <t>14.4.03.03-0002</t>
  </si>
  <si>
    <t>Лак битумный: БТ-123</t>
  </si>
  <si>
    <t>14.5.09.07-0029</t>
  </si>
  <si>
    <t>Растворитель марки: Р-4</t>
  </si>
  <si>
    <t>01.7.06.07-0001</t>
  </si>
  <si>
    <t>Лента К226</t>
  </si>
  <si>
    <t>01.7.20.08-0071</t>
  </si>
  <si>
    <t>Канаты пеньковые пропитанные</t>
  </si>
  <si>
    <t>04.3.01.09-0012</t>
  </si>
  <si>
    <t>Раствор готовый кладочный цементный марки: 50</t>
  </si>
  <si>
    <t>01.7.15.06-0146</t>
  </si>
  <si>
    <t>Гвозди толевые круглые: 3,0х40 мм</t>
  </si>
  <si>
    <t>20.5.04.09-0001</t>
  </si>
  <si>
    <t>Сжимы ответвительные</t>
  </si>
  <si>
    <t>01.7.15.06-0094</t>
  </si>
  <si>
    <t>Гвозди проволочные оцинкованные для асбестоцементной кровли: 4,5х120 мм</t>
  </si>
  <si>
    <t>08.1.02.11-0023</t>
  </si>
  <si>
    <t>Поковки простые строительные /скобы, закрепы, хомуты и т,п,/ массой до 1,6 кг</t>
  </si>
  <si>
    <t>14.4.02.04-0141</t>
  </si>
  <si>
    <t>Краски масляные земляные марки: МА-0115 мумия, сурик железный</t>
  </si>
  <si>
    <t>12.1.02.14-0002</t>
  </si>
  <si>
    <t>Толь с крупнозернистой посыпкой марки ТВК-350</t>
  </si>
  <si>
    <t>20.2.02.01-0012</t>
  </si>
  <si>
    <t>Втулки В22</t>
  </si>
  <si>
    <t>14.2.04.01-0001</t>
  </si>
  <si>
    <t>Смола каменноугольная для дорожного строительства</t>
  </si>
  <si>
    <t>01.3.01.06-0046</t>
  </si>
  <si>
    <t>Смазка солидол жировой марки «Ж»</t>
  </si>
  <si>
    <t>20.4.01.01-0033</t>
  </si>
  <si>
    <t>Выключатель одноклавишный для открытой проводки влагопылезащищенный 0-4-IP44-01-6/220</t>
  </si>
  <si>
    <t>03.1.02.03-0011</t>
  </si>
  <si>
    <t>Известь строительная: негашеная комовая, сорт I</t>
  </si>
  <si>
    <t>14.5.05.01-0012</t>
  </si>
  <si>
    <t>Олифа комбинированная, марки: К-3</t>
  </si>
  <si>
    <t>01.7.07.29-0101</t>
  </si>
  <si>
    <t>Очес льняной</t>
  </si>
  <si>
    <t>03.1.01.01-0002</t>
  </si>
  <si>
    <t>Гипсовые вяжущие, марка: Г3</t>
  </si>
  <si>
    <t>11.1.03.06-0099</t>
  </si>
  <si>
    <t>Доски обрезные хвойных пород длиной: 4-6,5 м, шириной 75-150, мм толщиной 19-22 мм, III сорта</t>
  </si>
  <si>
    <t>01.1.02.10-0021</t>
  </si>
  <si>
    <t>Асбест хризотиловый марки: К-6-30</t>
  </si>
  <si>
    <t>11.1.03.01-0077</t>
  </si>
  <si>
    <t>Бруски обрезные хвойных пород длиной: 4-6,5 м, шириной 75-150 мм, толщиной 40-75 мм, I сорта</t>
  </si>
  <si>
    <t>04.3.01.09-0013</t>
  </si>
  <si>
    <t>Раствор готовый кладочный цементный марки: 75</t>
  </si>
  <si>
    <t>11.1.03.01-0079</t>
  </si>
  <si>
    <t>Бруски обрезные хвойных пород длиной: 4-6,5 м, шириной 75-150 мм, толщиной 40-75 мм, III сорта</t>
  </si>
  <si>
    <t>01.3.02.03-0011</t>
  </si>
  <si>
    <t>Ацетилен растворенный технический марки: А</t>
  </si>
  <si>
    <t>01.3.02.03-0001</t>
  </si>
  <si>
    <t>Ацетилен газообразный технический</t>
  </si>
  <si>
    <t>01.7.11.04-0072</t>
  </si>
  <si>
    <t>Проволока сварочная легированная диаметром: 4 мм</t>
  </si>
  <si>
    <t>03.2.02.08-0001</t>
  </si>
  <si>
    <t>Цемент гипсоглиноземистый расширяющийся</t>
  </si>
  <si>
    <t>01.7.15.07-0014</t>
  </si>
  <si>
    <t>Дюбели распорные полипропиленовые</t>
  </si>
  <si>
    <t>14.5.09.02-0002</t>
  </si>
  <si>
    <t>Ксилол нефтяной марки А</t>
  </si>
  <si>
    <t>14.4.02.04-0006</t>
  </si>
  <si>
    <t>Краска для наружных работ: коричневая</t>
  </si>
  <si>
    <t>24.3.01.01-0001</t>
  </si>
  <si>
    <t>Трубка поливинилхлоридная ХВТ</t>
  </si>
  <si>
    <t>14.5.05.01-0011</t>
  </si>
  <si>
    <t>Олифа комбинированная, марки: К-2</t>
  </si>
  <si>
    <t>08.4.03.02-0005</t>
  </si>
  <si>
    <t>Горячекатаная арматурная сталь гладкая класса А-I, диаметром: 14 мм</t>
  </si>
  <si>
    <t>08.2.02.11-0007</t>
  </si>
  <si>
    <t>Канат двойной свивки типа ТК, конструкции 6х19(1+6+12)+1 о.с., оцинкованный из проволок марки В, маркировочная группа: 1770 н/мм2, диаметром 5,5 мм</t>
  </si>
  <si>
    <t>01.7.19.04-0031</t>
  </si>
  <si>
    <t>Прокладки резиновые (пластина техническая прессованная)</t>
  </si>
  <si>
    <t>01.7.11.07-0034</t>
  </si>
  <si>
    <t>Электроды диаметром: 4 мм Э42А</t>
  </si>
  <si>
    <t>01.3.05.17-0002</t>
  </si>
  <si>
    <t>Канифоль сосновая</t>
  </si>
  <si>
    <t>24.3.01.01-0002</t>
  </si>
  <si>
    <t>Трубка полихлорвиниловая</t>
  </si>
  <si>
    <t>08.3.07.01-0076</t>
  </si>
  <si>
    <t>Сталь полосовая, марка стали: Ст3сп шириной 50-200 мм толщиной 4-5 мм</t>
  </si>
  <si>
    <t>14.5.06.03-0002</t>
  </si>
  <si>
    <t>Паста антисептическая</t>
  </si>
  <si>
    <t>14.5.09.11-0101</t>
  </si>
  <si>
    <t>Уайт-спирит</t>
  </si>
  <si>
    <t>01.7.15.06-0121</t>
  </si>
  <si>
    <t>Гвозди строительные с плоской головкой: 1,6x50 мм</t>
  </si>
  <si>
    <t>01.3.01.05-0009</t>
  </si>
  <si>
    <t>Парафины нефтяные твердые марки Т-1</t>
  </si>
  <si>
    <t>02.2.05.04-0093</t>
  </si>
  <si>
    <t>Щебень из природного камня для строительных работ марка: 800, фракция 20-40 мм</t>
  </si>
  <si>
    <t>12.1.02.06-0024</t>
  </si>
  <si>
    <t>Рубероид морозостойкий РПМ-300</t>
  </si>
  <si>
    <t>08.3.03.05-0013</t>
  </si>
  <si>
    <t>Проволока стальная низкоуглеродистая разного назначения оцинкованная диаметром: 1,6 мм</t>
  </si>
  <si>
    <t>01.7.20.08-0051</t>
  </si>
  <si>
    <t>Ветошь</t>
  </si>
  <si>
    <t>01.7.15.07-0021</t>
  </si>
  <si>
    <t>Дюбели распорные полиэтиленовые: 6х30 мм</t>
  </si>
  <si>
    <t>03.1.02.03-0015</t>
  </si>
  <si>
    <t>Известь строительная: негашеная хлорная, марки А</t>
  </si>
  <si>
    <t>02.4.03.02-0001</t>
  </si>
  <si>
    <t>Пемза шлаковая (щебень пористый из металлургического шлака), марка 600, фракция 5-10 мм</t>
  </si>
  <si>
    <t>Приложение № 4</t>
  </si>
  <si>
    <t>Ресурсная модель</t>
  </si>
  <si>
    <t>Наименование разрабатываемого показателя УНЦ — ПЧЗ Насосная ПС 500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</si>
  <si>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</si>
  <si>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</si>
  <si>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</si>
  <si>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</si>
  <si>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</si>
  <si>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</si>
  <si>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</si>
  <si>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</si>
  <si>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</si>
  <si>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</si>
  <si>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</si>
  <si>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</si>
  <si>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</si>
  <si>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</si>
  <si>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</si>
  <si>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</si>
  <si>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</si>
  <si>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</si>
  <si>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</si>
  <si>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</si>
  <si>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</si>
  <si>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</si>
  <si>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</si>
  <si>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</si>
  <si>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</si>
  <si>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</si>
  <si>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</si>
  <si>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</si>
  <si>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</si>
  <si>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</si>
  <si>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</si>
  <si>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</si>
  <si>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</si>
  <si>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</si>
  <si>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</si>
  <si>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 Д.А. Самуйленко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</si>
  <si>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</si>
  <si>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</si>
  <si>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</si>
  <si>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</si>
  <si>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</si>
  <si>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</si>
  <si>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ПЧЗ Насосная ПС 500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</si>
  <si>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</si>
  <si>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</si>
  <si>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</si>
  <si>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</si>
  <si>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</si>
  <si>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</si>
  <si>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</si>
  <si>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</si>
  <si>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</si>
  <si>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</si>
  <si>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</si>
  <si>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</si>
  <si>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</si>
  <si>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</si>
  <si>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</si>
  <si>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</si>
  <si>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</si>
  <si>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</si>
  <si>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</si>
  <si>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</si>
  <si>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</si>
  <si>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</si>
  <si>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</si>
  <si>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</si>
  <si>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</si>
  <si>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</si>
  <si>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rFont val="Arial"/>
        <b val="false"/>
        <i val="false"/>
        <strike val="false"/>
        <color rgb="FF000000"/>
        <sz val="10"/>
        <u val="single"/>
      </rPr>
      <t xml:space="preserve">______________________     Д.А. Самуйленко</t>
    </r>
  </si>
  <si>
    <r>
      <t xml:space="preserve">Проверил </t>
    </r>
    <r>
      <rPr>
        <rFont val="Arial"/>
        <b val="false"/>
        <i val="false"/>
        <strike val="false"/>
        <color rgb="FF000000"/>
        <sz val="10"/>
        <u val="single"/>
      </rPr>
      <t xml:space="preserve"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</si>
  <si>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</si>
  <si>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</si>
  <si>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</si>
  <si>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</si>
  <si>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</si>
  <si>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</si>
  <si>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</si>
  <si>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r>
      <t xml:space="preserve">Составил </t>
    </r>
    <r>
      <rPr>
        <rFont val="Arial"/>
        <b val="false"/>
        <i val="false"/>
        <strike val="false"/>
        <color rgb="FF000000"/>
        <sz val="10"/>
        <u val="single"/>
      </rPr>
      <t xml:space="preserve">______________________    Д.А. Самуйленко</t>
    </r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</si>
  <si>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</si>
  <si>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</si>
  <si>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</si>
  <si>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</si>
  <si>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</si>
  <si>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 xml:space="preserve">З1 ПС ПЧЗ Насосная 500 кВ </t>
  </si>
  <si>
    <t>УНЦ прочих здания и сооружений ПС</t>
  </si>
  <si>
    <t>Составил ______________________      М.С. Колотиевская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</si>
  <si>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</si>
  <si>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</si>
  <si>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</si>
  <si>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</si>
  <si>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</si>
  <si>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</si>
  <si>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</si>
  <si>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</si>
  <si>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</si>
  <si>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</si>
  <si>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</si>
  <si>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</si>
  <si>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</si>
  <si>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</si>
  <si>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</si>
  <si>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</si>
  <si>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</si>
  <si>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</si>
  <si>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</si>
  <si>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rFont val="Arial"/>
        <b val="false"/>
        <i val="false"/>
        <strike val="false"/>
        <color rgb="FF000000"/>
        <sz val="10"/>
        <u val="single"/>
      </rPr>
      <t xml:space="preserve">______________________        Е.А. Князева</t>
    </r>
  </si>
  <si>
    <r>
      <t xml:space="preserve">Расчет размера средств на оплату труда рабочих-строителей в текущем уровне цен (ФОТ</t>
    </r>
    <r>
      <rPr>
        <rFont val="Times New Roman"/>
        <b val="true"/>
        <i val="false"/>
        <vertAlign val="subscript"/>
        <strike val="false"/>
        <color rgb="FF000000"/>
        <sz val="12"/>
        <u val="none"/>
      </rPr>
      <t xml:space="preserve">р.тек.</t>
    </r>
    <r>
      <rPr>
        <rFont val="Times New Roman"/>
        <b val="true"/>
        <i val="false"/>
        <strike val="false"/>
        <color rgb="FF000000"/>
        <sz val="12"/>
        <u val="none"/>
      </rPr>
      <t xml:space="preserve"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</si>
  <si>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</si>
  <si>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</si>
  <si>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</si>
  <si>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</si>
  <si>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</si>
  <si>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</si>
  <si>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</si>
  <si>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</si>
  <si>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 xml:space="preserve">С</t>
    </r>
    <r>
      <rPr>
        <rFont val="Times New Roman"/>
        <b val="false"/>
        <i val="false"/>
        <vertAlign val="subscript"/>
        <strike val="false"/>
        <color rgb="FF000000"/>
        <sz val="12"/>
        <u val="none"/>
      </rPr>
      <t xml:space="preserve"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</si>
  <si>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</si>
  <si>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</si>
  <si>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</si>
  <si>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</si>
  <si>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 xml:space="preserve">t</t>
    </r>
    <r>
      <rPr>
        <rFont val="Times New Roman"/>
        <b val="false"/>
        <i val="false"/>
        <vertAlign val="subscript"/>
        <strike val="false"/>
        <color rgb="FF000000"/>
        <sz val="12"/>
        <u val="none"/>
      </rPr>
      <t xml:space="preserve"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</si>
  <si>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</si>
  <si>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</si>
  <si>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</si>
  <si>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</si>
  <si>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</si>
  <si>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</si>
  <si>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</si>
  <si>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</si>
  <si>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</si>
  <si>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</si>
  <si>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 xml:space="preserve">К</t>
    </r>
    <r>
      <rPr>
        <rFont val="Times New Roman"/>
        <b val="false"/>
        <i val="false"/>
        <vertAlign val="subscript"/>
        <strike val="false"/>
        <color rgb="FF000000"/>
        <sz val="12"/>
        <u val="none"/>
      </rPr>
      <t xml:space="preserve"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</si>
  <si>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</si>
  <si>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</si>
  <si>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</si>
  <si>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 xml:space="preserve">К</t>
    </r>
    <r>
      <rPr>
        <rFont val="Times New Roman"/>
        <b val="false"/>
        <i val="false"/>
        <vertAlign val="subscript"/>
        <strike val="false"/>
        <color rgb="FF000000"/>
        <sz val="12"/>
        <u val="none"/>
      </rPr>
      <t xml:space="preserve"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</si>
  <si>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</si>
  <si>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</si>
  <si>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</si>
  <si>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 xml:space="preserve">Размер средств на оплату труда рабочих-строителей в текущем уровне цен (ФОТ</t>
    </r>
    <r>
      <rPr>
        <rFont val="Times New Roman"/>
        <b val="true"/>
        <i val="false"/>
        <vertAlign val="subscript"/>
        <strike val="false"/>
        <color rgb="FF000000"/>
        <sz val="12"/>
        <u val="none"/>
      </rPr>
      <t xml:space="preserve">р.тек.</t>
    </r>
    <r>
      <rPr>
        <rFont val="Times New Roman"/>
        <b val="true"/>
        <i val="false"/>
        <strike val="false"/>
        <color rgb="FF000000"/>
        <sz val="12"/>
        <u val="none"/>
      </rPr>
      <t xml:space="preserve">), руб/чел.-ч</t>
    </r>
  </si>
  <si>
    <r>
      <t xml:space="preserve">ФОТ</t>
    </r>
    <r>
      <rPr>
        <rFont val="Times New Roman"/>
        <b val="false"/>
        <i val="false"/>
        <vertAlign val="subscript"/>
        <strike val="false"/>
        <color rgb="FF000000"/>
        <sz val="12"/>
        <u val="none"/>
      </rPr>
      <t xml:space="preserve">р.тек.</t>
    </r>
  </si>
  <si>
    <r>
      <t xml:space="preserve">(С</t>
    </r>
    <r>
      <rPr>
        <rFont val="Times New Roman"/>
        <b val="false"/>
        <i val="false"/>
        <vertAlign val="subscript"/>
        <strike val="false"/>
        <color rgb="FF000000"/>
        <sz val="12"/>
        <u val="none"/>
      </rPr>
      <t xml:space="preserve">1ср</t>
    </r>
    <r>
      <rPr>
        <rFont val="Times New Roman"/>
        <b val="false"/>
        <i val="false"/>
        <strike val="false"/>
        <color rgb="FF000000"/>
        <sz val="12"/>
        <u val="none"/>
      </rPr>
      <t xml:space="preserve">/t</t>
    </r>
    <r>
      <rPr>
        <rFont val="Times New Roman"/>
        <b val="false"/>
        <i val="false"/>
        <vertAlign val="subscript"/>
        <strike val="false"/>
        <color rgb="FF000000"/>
        <sz val="12"/>
        <u val="none"/>
      </rPr>
      <t xml:space="preserve">ср</t>
    </r>
    <r>
      <rPr>
        <rFont val="Times New Roman"/>
        <b val="false"/>
        <i val="false"/>
        <strike val="false"/>
        <color rgb="FF000000"/>
        <sz val="12"/>
        <u val="none"/>
      </rPr>
      <t xml:space="preserve">*К</t>
    </r>
    <r>
      <rPr>
        <rFont val="Times New Roman"/>
        <b val="false"/>
        <i val="false"/>
        <vertAlign val="subscript"/>
        <strike val="false"/>
        <color rgb="FF000000"/>
        <sz val="12"/>
        <u val="none"/>
      </rPr>
      <t xml:space="preserve">Т</t>
    </r>
    <r>
      <rPr>
        <rFont val="Times New Roman"/>
        <b val="false"/>
        <i val="false"/>
        <strike val="false"/>
        <color rgb="FF000000"/>
        <sz val="12"/>
        <u val="none"/>
      </rPr>
      <t xml:space="preserve">*Т*Кув)*К</t>
    </r>
    <r>
      <rPr>
        <rFont val="Times New Roman"/>
        <b val="false"/>
        <i val="false"/>
        <vertAlign val="subscript"/>
        <strike val="false"/>
        <color rgb="FF000000"/>
        <sz val="12"/>
        <u val="none"/>
      </rPr>
      <t xml:space="preserve"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</si>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</sst>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:space="preserve">
  <numFmts count="6">
    <numFmt numFmtId="164" formatCode="_-* #,##0\ _₽_-;\-* #,##0\ _₽_-;_-* &quot;-&quot;??\ _₽_-;_-@_-"/>
    <numFmt numFmtId="165" formatCode="_-* #,##0.00_-;\-* #,##0.00_-;_-* &quot;-&quot;??_-;_-@_-"/>
    <numFmt numFmtId="166" formatCode="0.0000"/>
    <numFmt numFmtId="167" formatCode="#,##0.0000"/>
    <numFmt numFmtId="168" formatCode="#,##0.0"/>
    <numFmt numFmtId="169" formatCode="#,##0.000"/>
  </numFmts>
  <fonts count="2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1"/>
      <strike val="0"/>
      <u val="none"/>
      <sz val="8"/>
      <color rgb="FFFF0000"/>
      <name val="Arial"/>
    </font>
    <font>
      <b val="0"/>
      <i val="1"/>
      <strike val="0"/>
      <u val="none"/>
      <sz val="8"/>
      <color rgb="FF000000"/>
      <name val="Arial"/>
    </font>
    <font>
      <b val="0"/>
      <i val="1"/>
      <strike val="0"/>
      <u val="none"/>
      <sz val="11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8"/>
      <color rgb="FF000000"/>
      <name val="Arial"/>
    </font>
    <font>
      <b val="1"/>
      <i val="0"/>
      <strike val="0"/>
      <u val="none"/>
      <sz val="9"/>
      <color rgb="FFFF0000"/>
      <name val="Arial"/>
    </font>
    <font>
      <b val="0"/>
      <i val="1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2"/>
      <color rgb="FF0563C1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FF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0"/>
      <color rgb="FFFF0000"/>
      <name val="Arial"/>
    </font>
    <font>
      <b val="0"/>
      <i val="1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4" fillId="0" borderId="1" applyFont="1" applyNumberFormat="1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true" shrinkToFit="false"/>
    </xf>
    <xf xfId="0" fontId="2" numFmtId="0" fillId="0" borderId="1" applyFont="1" applyNumberFormat="0" applyFill="0" applyBorder="1" applyAlignment="1">
      <alignment textRotation="0" wrapText="true" shrinkToFit="false"/>
    </xf>
    <xf xfId="0" fontId="2" numFmtId="0" fillId="0" borderId="1" applyFont="1" applyNumberFormat="0" applyFill="0" applyBorder="1" applyAlignment="1">
      <alignment vertical="center" textRotation="0" wrapText="true" shrinkToFit="false"/>
    </xf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5" numFmtId="4" fillId="0" borderId="0" applyFont="1" applyNumberFormat="1" applyFill="0" applyBorder="0" applyAlignment="1">
      <alignment vertical="center" textRotation="0" wrapText="false" shrinkToFit="false"/>
    </xf>
    <xf xfId="0" fontId="6" numFmtId="10" fillId="0" borderId="0" applyFont="1" applyNumberFormat="1" applyFill="0" applyBorder="0" applyAlignment="1">
      <alignment vertical="center" textRotation="0" wrapText="false" shrinkToFit="false"/>
    </xf>
    <xf xfId="0" fontId="1" numFmtId="10" fillId="0" borderId="1" applyFont="1" applyNumberFormat="1" applyFill="0" applyBorder="1" applyAlignment="1">
      <alignment horizontal="center" vertical="center" textRotation="0" wrapText="true" shrinkToFit="false"/>
    </xf>
    <xf xfId="0" fontId="5" numFmtId="10" fillId="0" borderId="0" applyFont="1" applyNumberFormat="1" applyFill="0" applyBorder="0" applyAlignment="1">
      <alignment vertical="center" textRotation="0" wrapText="false" shrinkToFit="false"/>
    </xf>
    <xf xfId="0" fontId="5" numFmtId="4" fillId="0" borderId="0" applyFont="1" applyNumberFormat="1" applyFill="0" applyBorder="0" applyAlignment="1">
      <alignment horizontal="right" vertical="center" textRotation="0" wrapText="false" shrinkToFit="false"/>
    </xf>
    <xf xfId="0" fontId="7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6" numFmtId="10" fillId="0" borderId="0" applyFont="1" applyNumberFormat="1" applyFill="0" applyBorder="0" applyAlignment="0"/>
    <xf xfId="0" fontId="6" numFmtId="4" fillId="0" borderId="0" applyFont="1" applyNumberFormat="1" applyFill="0" applyBorder="0" applyAlignment="0"/>
    <xf xfId="0" fontId="3" numFmtId="4" fillId="0" borderId="0" applyFont="1" applyNumberFormat="1" applyFill="0" applyBorder="0" applyAlignment="0"/>
    <xf xfId="0" fontId="1" numFmtId="4" fillId="0" borderId="1" applyFont="1" applyNumberFormat="1" applyFill="0" applyBorder="1" applyAlignment="1">
      <alignment horizontal="right" vertical="center" textRotation="0" wrapText="false" shrinkToFit="false"/>
    </xf>
    <xf xfId="0" fontId="8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vertical="top" textRotation="0" wrapText="false" shrinkToFit="false"/>
    </xf>
    <xf xfId="0" fontId="1" numFmtId="4" fillId="0" borderId="1" applyFont="1" applyNumberFormat="1" applyFill="0" applyBorder="1" applyAlignment="1">
      <alignment horizontal="right" vertical="center" textRotation="0" wrapText="tru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9" numFmtId="0" fillId="0" borderId="0" applyFont="1" applyNumberFormat="0" applyFill="0" applyBorder="0" applyAlignment="0"/>
    <xf xfId="0" fontId="1" numFmtId="164" fillId="0" borderId="1" applyFont="1" applyNumberFormat="1" applyFill="0" applyBorder="1" applyAlignment="1">
      <alignment horizontal="center" vertical="center" textRotation="0" wrapText="true" shrinkToFit="false"/>
    </xf>
    <xf xfId="0" fontId="1" numFmtId="164" fillId="0" borderId="1" applyFont="1" applyNumberFormat="1" applyFill="0" applyBorder="1" applyAlignment="1">
      <alignment vertical="center" textRotation="0" wrapText="true" shrinkToFit="false"/>
    </xf>
    <xf xfId="0" fontId="1" numFmtId="164" fillId="0" borderId="1" applyFont="1" applyNumberFormat="1" applyFill="0" applyBorder="1" applyAlignment="1">
      <alignment horizontal="left" vertical="center" textRotation="0" wrapText="true" shrinkToFit="false"/>
    </xf>
    <xf xfId="0" fontId="1" numFmtId="164" fillId="0" borderId="1" applyFont="1" applyNumberFormat="1" applyFill="0" applyBorder="1" applyAlignment="1">
      <alignment horizontal="right" vertical="center" textRotation="0" wrapText="true" shrinkToFit="false"/>
    </xf>
    <xf xfId="0" fontId="8" numFmtId="4" fillId="0" borderId="0" applyFont="1" applyNumberFormat="1" applyFill="0" applyBorder="0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10" numFmtId="4" fillId="0" borderId="0" applyFont="1" applyNumberFormat="1" applyFill="0" applyBorder="0" applyAlignment="1">
      <alignment vertical="center" textRotation="0" wrapText="false" shrinkToFit="false"/>
    </xf>
    <xf xfId="0" fontId="11" numFmtId="0" fillId="0" borderId="1" applyFont="1" applyNumberFormat="0" applyFill="0" applyBorder="1" applyAlignment="1">
      <alignment horizontal="right" vertical="center" textRotation="0" wrapText="true" shrinkToFit="false"/>
    </xf>
    <xf xfId="0" fontId="12" numFmtId="0" fillId="0" borderId="0" applyFont="1" applyNumberFormat="0" applyFill="0" applyBorder="0" applyAlignment="0"/>
    <xf xfId="0" fontId="1" numFmtId="9" fillId="0" borderId="1" applyFont="1" applyNumberFormat="1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right" vertical="center" textRotation="0" wrapText="true" shrinkToFit="false"/>
    </xf>
    <xf xfId="0" fontId="1" numFmtId="164" fillId="0" borderId="0" applyFont="1" applyNumberFormat="1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1" numFmtId="0" fillId="0" borderId="0" applyFont="1" applyNumberFormat="0" applyFill="0" applyBorder="0" applyAlignment="1">
      <alignment horizontal="right" vertical="center" textRotation="0" wrapText="true" shrinkToFit="false"/>
    </xf>
    <xf xfId="0" fontId="1" numFmtId="4" fillId="0" borderId="0" applyFont="1" applyNumberFormat="1" applyFill="0" applyBorder="0" applyAlignment="1">
      <alignment horizontal="right" vertical="center" textRotation="0" wrapText="true" shrinkToFit="false"/>
    </xf>
    <xf xfId="0" fontId="1" numFmtId="0" fillId="0" borderId="0" applyFont="1" applyNumberFormat="0" applyFill="0" applyBorder="0" applyAlignment="1">
      <alignment horizontal="right" textRotation="0" wrapText="false" shrinkToFit="false"/>
    </xf>
    <xf xfId="0" fontId="4" numFmtId="0" fillId="0" borderId="0" applyFont="1" applyNumberFormat="0" applyFill="0" applyBorder="0" applyAlignment="1">
      <alignment horizontal="right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0" numFmtId="0" fillId="0" borderId="3" applyFont="0" applyNumberFormat="0" applyFill="0" applyBorder="1" applyAlignment="1">
      <alignment horizontal="center" vertical="center" textRotation="0" wrapText="true" shrinkToFit="false"/>
    </xf>
    <xf xfId="0" fontId="13" numFmtId="0" fillId="0" borderId="0" applyFont="1" applyNumberFormat="0" applyFill="0" applyBorder="0" applyAlignment="0"/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true" shrinkToFit="false"/>
    </xf>
    <xf xfId="0" fontId="0" numFmtId="4" fillId="0" borderId="1" applyFont="0" applyNumberFormat="1" applyFill="0" applyBorder="1" applyAlignment="1">
      <alignment horizontal="center" vertical="center" textRotation="0" wrapText="false" shrinkToFit="false"/>
    </xf>
    <xf xfId="0" fontId="0" numFmtId="10" fillId="0" borderId="1" applyFont="0" applyNumberFormat="1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true" shrinkToFit="false"/>
    </xf>
    <xf xfId="0" fontId="13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14" numFmtId="0" fillId="2" borderId="1" applyFont="1" applyNumberFormat="0" applyFill="1" applyBorder="1" applyAlignment="1">
      <alignment horizontal="left" vertical="center" textRotation="0" wrapText="true" shrinkToFit="false"/>
    </xf>
    <xf xfId="0" fontId="0" numFmtId="4" fillId="2" borderId="1" applyFont="0" applyNumberFormat="1" applyFill="1" applyBorder="1" applyAlignment="1">
      <alignment horizontal="center" vertical="center" textRotation="0" wrapText="false" shrinkToFit="false"/>
    </xf>
    <xf xfId="0" fontId="14" numFmtId="10" fillId="2" borderId="1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true" shrinkToFit="false"/>
    </xf>
    <xf xfId="0" fontId="0" numFmtId="4" fillId="0" borderId="0" applyFont="0" applyNumberFormat="1" applyFill="0" applyBorder="0" applyAlignment="1">
      <alignment horizontal="center" vertical="center" textRotation="0" wrapText="false" shrinkToFit="false"/>
    </xf>
    <xf xfId="0" fontId="0" numFmtId="10" fillId="0" borderId="0" applyFont="0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false" shrinkToFit="false"/>
    </xf>
    <xf xfId="0" fontId="15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5" numFmtId="0" fillId="3" borderId="1" applyFont="1" applyNumberFormat="0" applyFill="1" applyBorder="1" applyAlignment="1">
      <alignment horizontal="left" vertical="center" textRotation="0" wrapText="true" shrinkToFit="false"/>
    </xf>
    <xf xfId="0" fontId="0" numFmtId="0" fillId="0" borderId="4" applyFont="0" applyNumberFormat="0" applyFill="0" applyBorder="1" applyAlignment="1">
      <alignment horizontal="center" vertical="center" textRotation="0" wrapText="true" shrinkToFit="false"/>
    </xf>
    <xf xfId="0" fontId="0" numFmtId="0" fillId="4" borderId="1" applyFont="0" applyNumberFormat="0" applyFill="1" applyBorder="1" applyAlignment="1">
      <alignment horizontal="center" vertical="center" textRotation="0" wrapText="true" shrinkToFit="false"/>
    </xf>
    <xf xfId="0" fontId="0" numFmtId="0" fillId="4" borderId="2" applyFont="0" applyNumberFormat="0" applyFill="1" applyBorder="1" applyAlignment="1">
      <alignment horizontal="center" vertical="center" textRotation="0" wrapText="true" shrinkToFit="false"/>
    </xf>
    <xf xfId="0" fontId="0" numFmtId="0" fillId="0" borderId="4" applyFont="0" applyNumberFormat="0" applyFill="0" applyBorder="1" applyAlignment="1">
      <alignment horizontal="center" vertical="center" textRotation="90" wrapText="false" shrinkToFit="false"/>
    </xf>
    <xf xfId="0" fontId="0" numFmtId="10" fillId="0" borderId="2" applyFont="0" applyNumberFormat="1" applyFill="0" applyBorder="1" applyAlignment="1">
      <alignment horizontal="center" vertical="center" textRotation="0" wrapText="false" shrinkToFit="false"/>
    </xf>
    <xf xfId="0" fontId="0" numFmtId="9" fillId="0" borderId="1" applyFont="0" applyNumberFormat="1" applyFill="0" applyBorder="1" applyAlignment="1">
      <alignment horizontal="center" vertical="center" textRotation="0" wrapText="false" shrinkToFit="false"/>
    </xf>
    <xf xfId="0" fontId="0" numFmtId="0" fillId="5" borderId="1" applyFont="0" applyNumberFormat="0" applyFill="1" applyBorder="1" applyAlignment="1">
      <alignment horizontal="left" vertical="center" textRotation="0" wrapText="true" shrinkToFit="false"/>
    </xf>
    <xf xfId="0" fontId="0" numFmtId="4" fillId="5" borderId="1" applyFont="0" applyNumberFormat="1" applyFill="1" applyBorder="1" applyAlignment="1">
      <alignment horizontal="center" vertical="center" textRotation="0" wrapText="false" shrinkToFit="false"/>
    </xf>
    <xf xfId="0" fontId="0" numFmtId="10" fillId="5" borderId="1" applyFont="0" applyNumberFormat="1" applyFill="1" applyBorder="1" applyAlignment="1">
      <alignment horizontal="center" vertical="center" textRotation="0" wrapText="false" shrinkToFit="false"/>
    </xf>
    <xf xfId="0" fontId="0" numFmtId="10" fillId="5" borderId="2" applyFont="0" applyNumberFormat="1" applyFill="1" applyBorder="1" applyAlignment="1">
      <alignment horizontal="center" vertical="center" textRotation="0" wrapText="false" shrinkToFit="false"/>
    </xf>
    <xf xfId="0" fontId="0" numFmtId="9" fillId="5" borderId="1" applyFont="0" applyNumberFormat="1" applyFill="1" applyBorder="1" applyAlignment="1">
      <alignment horizontal="center" vertical="center" textRotation="0" wrapText="false" shrinkToFit="false"/>
    </xf>
    <xf xfId="0" fontId="14" numFmtId="0" fillId="2" borderId="1" applyFont="1" applyNumberFormat="0" applyFill="1" applyBorder="1" applyAlignment="1">
      <alignment vertical="center" textRotation="0" wrapText="true" shrinkToFit="false"/>
    </xf>
    <xf xfId="0" fontId="14" numFmtId="4" fillId="2" borderId="1" applyFont="1" applyNumberFormat="1" applyFill="1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1" applyFont="0" applyNumberFormat="0" applyFill="1" applyBorder="1" applyAlignment="1">
      <alignment horizontal="left" vertical="center" textRotation="0" wrapText="true" shrinkToFit="false"/>
    </xf>
    <xf xfId="0" fontId="0" numFmtId="0" fillId="3" borderId="5" applyFont="0" applyNumberFormat="0" applyFill="1" applyBorder="1" applyAlignment="1">
      <alignment horizontal="left" vertical="center" textRotation="0" wrapText="true" shrinkToFit="false"/>
    </xf>
    <xf xfId="0" fontId="0" numFmtId="0" fillId="3" borderId="5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5" applyFont="0" applyNumberFormat="0" applyFill="1" applyBorder="1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6" numFmtId="165" fillId="0" borderId="0" applyFont="1" applyNumberFormat="1" applyFill="0" applyBorder="0" applyAlignment="1">
      <alignment vertical="center" textRotation="0" wrapText="false" shrinkToFit="false"/>
    </xf>
    <xf xfId="0" fontId="1" numFmtId="2" fillId="0" borderId="1" applyFont="1" applyNumberFormat="1" applyFill="0" applyBorder="1" applyAlignment="1">
      <alignment horizontal="right" vertical="center" textRotation="0" wrapText="true" shrinkToFit="false"/>
    </xf>
    <xf xfId="0" fontId="1" numFmtId="0" fillId="0" borderId="1" applyFont="1" applyNumberFormat="0" applyFill="0" applyBorder="1" applyAlignment="1">
      <alignment vertical="center" textRotation="0" wrapText="true" shrinkToFit="false"/>
    </xf>
    <xf xfId="0" fontId="8" numFmtId="0" fillId="0" borderId="0" applyFont="1" applyNumberFormat="0" applyFill="0" applyBorder="0" applyAlignment="1">
      <alignment horizontal="right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5" numFmtId="4" fillId="5" borderId="0" applyFont="1" applyNumberFormat="1" applyFill="1" applyBorder="0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 applyProtection="true">
      <alignment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4" fillId="0" borderId="1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5" applyFont="1" applyNumberFormat="0" applyFill="0" applyBorder="1" applyAlignment="1">
      <alignment horizontal="left" vertical="center" textRotation="0" wrapText="true" shrinkToFit="false"/>
    </xf>
    <xf xfId="0" fontId="1" numFmtId="10" fillId="0" borderId="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6" numFmtId="0" fillId="0" borderId="1" applyFont="1" applyNumberFormat="0" applyFill="0" applyBorder="1" applyAlignment="1">
      <alignment horizontal="justify" vertical="center" textRotation="0" wrapText="true" shrinkToFit="false"/>
    </xf>
    <xf xfId="0" fontId="16" numFmtId="49" fillId="0" borderId="0" applyFont="1" applyNumberFormat="1" applyFill="0" applyBorder="0" applyAlignment="1">
      <alignment horizontal="left" vertical="center" textRotation="0" wrapText="false" shrinkToFit="false"/>
    </xf>
    <xf xfId="0" fontId="16" numFmtId="0" fillId="0" borderId="0" applyFont="1" applyNumberFormat="0" applyFill="0" applyBorder="0" applyAlignment="0"/>
    <xf xfId="0" fontId="16" numFmtId="0" fillId="0" borderId="1" applyFont="1" applyNumberFormat="0" applyFill="0" applyBorder="1" applyAlignment="1">
      <alignment horizontal="center" vertical="center" textRotation="0" wrapText="false" shrinkToFit="false"/>
    </xf>
    <xf xfId="0" fontId="16" numFmtId="49" fillId="0" borderId="1" applyFont="1" applyNumberFormat="1" applyFill="0" applyBorder="1" applyAlignment="1">
      <alignment horizontal="center" vertical="center" textRotation="0" wrapText="false" shrinkToFit="false"/>
    </xf>
    <xf xfId="0" fontId="16" numFmtId="0" fillId="0" borderId="1" applyFont="1" applyNumberFormat="0" applyFill="0" applyBorder="1" applyAlignment="1">
      <alignment horizontal="left" vertical="center" textRotation="0" wrapText="true" shrinkToFit="false"/>
    </xf>
    <xf xfId="0" fontId="16" numFmtId="0" fillId="0" borderId="1" applyFont="1" applyNumberFormat="0" applyFill="0" applyBorder="1" applyAlignment="1">
      <alignment horizontal="center" vertical="center" textRotation="0" wrapText="true" shrinkToFit="false"/>
    </xf>
    <xf xfId="0" fontId="16" numFmtId="4" fillId="0" borderId="1" applyFont="1" applyNumberFormat="1" applyFill="0" applyBorder="1" applyAlignment="1">
      <alignment horizontal="center" vertical="center" textRotation="0" wrapText="false" shrinkToFit="false"/>
    </xf>
    <xf xfId="0" fontId="17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1" applyFont="1" applyNumberFormat="0" applyFill="0" applyBorder="1" applyAlignment="1">
      <alignment vertical="center" textRotation="0" wrapText="true" shrinkToFit="false"/>
    </xf>
    <xf xfId="0" fontId="16" numFmtId="166" fillId="4" borderId="1" applyFont="1" applyNumberFormat="1" applyFill="1" applyBorder="1" applyAlignment="1">
      <alignment horizontal="center" vertical="center" textRotation="0" wrapText="false" shrinkToFit="false"/>
    </xf>
    <xf xfId="0" fontId="16" numFmtId="0" fillId="0" borderId="1" applyFont="1" applyNumberFormat="0" applyFill="0" applyBorder="1" applyAlignment="1">
      <alignment textRotation="0" wrapText="true" shrinkToFit="false"/>
    </xf>
    <xf xfId="0" fontId="18" numFmtId="0" fillId="0" borderId="1" applyFont="1" applyNumberFormat="0" applyFill="0" applyBorder="1" applyAlignment="1">
      <alignment vertical="center" textRotation="0" wrapText="true" shrinkToFit="false"/>
    </xf>
    <xf xfId="0" fontId="18" numFmtId="4" fillId="0" borderId="1" applyFont="1" applyNumberFormat="1" applyFill="0" applyBorder="1" applyAlignment="1">
      <alignment horizontal="center" vertical="center" textRotation="0" wrapText="false" shrinkToFit="false"/>
    </xf>
    <xf xfId="0" fontId="19" numFmtId="0" fillId="0" borderId="0" applyFont="1" applyNumberFormat="0" applyFill="0" applyBorder="0" applyAlignment="1">
      <alignment horizontal="right" vertical="center" textRotation="0" wrapText="false" shrinkToFit="false"/>
    </xf>
    <xf xfId="0" fontId="19" numFmtId="0" fillId="0" borderId="0" applyFont="1" applyNumberFormat="0" applyFill="0" applyBorder="0" applyAlignment="1">
      <alignment horizontal="justify" vertical="center" textRotation="0" wrapText="false" shrinkToFit="false"/>
    </xf>
    <xf xfId="0" fontId="16" numFmtId="10" fillId="0" borderId="1" applyFont="1" applyNumberFormat="1" applyFill="0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left" vertical="center" textRotation="0" wrapText="true" shrinkToFit="false"/>
    </xf>
    <xf xfId="0" fontId="1" numFmtId="2" fillId="0" borderId="1" applyFont="1" applyNumberFormat="1" applyFill="0" applyBorder="1" applyAlignment="1">
      <alignment horizontal="center" vertical="center" textRotation="0" wrapText="true" shrinkToFit="false"/>
    </xf>
    <xf xfId="0" fontId="1" numFmtId="10" fillId="0" borderId="2" applyFont="1" applyNumberFormat="1" applyFill="0" applyBorder="1" applyAlignment="1">
      <alignment horizontal="right" vertical="center" textRotation="0" wrapText="true" shrinkToFit="false"/>
    </xf>
    <xf xfId="0" fontId="4" numFmtId="0" fillId="0" borderId="1" applyFont="1" applyNumberFormat="0" applyFill="0" applyBorder="1" applyAlignment="0"/>
    <xf xfId="0" fontId="1" numFmtId="167" fillId="0" borderId="1" applyFont="1" applyNumberFormat="1" applyFill="0" applyBorder="1" applyAlignment="1">
      <alignment horizontal="center" vertical="center" textRotation="0" wrapText="true" shrinkToFit="false"/>
    </xf>
    <xf xfId="0" fontId="1" numFmtId="4" fillId="0" borderId="2" applyFont="1" applyNumberFormat="1" applyFill="0" applyBorder="1" applyAlignment="1">
      <alignment horizontal="right" vertical="center" textRotation="0" wrapText="true" shrinkToFit="false"/>
    </xf>
    <xf xfId="0" fontId="1" numFmtId="10" fillId="0" borderId="1" applyFont="1" applyNumberFormat="1" applyFill="0" applyBorder="1" applyAlignment="1">
      <alignment horizontal="right" vertical="center" textRotation="0" wrapText="true" shrinkToFit="false"/>
    </xf>
    <xf xfId="0" fontId="1" numFmtId="10" fillId="0" borderId="3" applyFont="1" applyNumberFormat="1" applyFill="0" applyBorder="1" applyAlignment="1">
      <alignment horizontal="right" vertical="center" textRotation="0" wrapText="true" shrinkToFit="false"/>
    </xf>
    <xf xfId="0" fontId="1" numFmtId="4" fillId="0" borderId="3" applyFont="1" applyNumberFormat="1" applyFill="0" applyBorder="1" applyAlignment="1">
      <alignment horizontal="right" vertical="center" textRotation="0" wrapText="true" shrinkToFit="false"/>
    </xf>
    <xf xfId="0" fontId="20" numFmtId="10" fillId="0" borderId="1" applyFont="1" applyNumberFormat="1" applyFill="0" applyBorder="1" applyAlignment="1">
      <alignment horizontal="center" vertical="top" textRotation="0" wrapText="tru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4" fillId="0" borderId="0" applyFont="1" applyNumberFormat="1" applyFill="0" applyBorder="0" applyAlignment="1">
      <alignment vertical="center" textRotation="0" wrapText="true" shrinkToFit="false"/>
    </xf>
    <xf xfId="0" fontId="1" numFmtId="4" fillId="0" borderId="0" applyFont="1" applyNumberFormat="1" applyFill="0" applyBorder="0" applyAlignment="1">
      <alignment vertical="center" textRotation="0" wrapText="false" shrinkToFit="false"/>
    </xf>
    <xf xfId="0" fontId="1" numFmtId="4" fillId="0" borderId="4" applyFont="1" applyNumberFormat="1" applyFill="0" applyBorder="1" applyAlignment="1">
      <alignment horizontal="right" vertical="center" textRotation="0" wrapText="true" shrinkToFit="false"/>
    </xf>
    <xf xfId="0" fontId="16" numFmtId="0" fillId="0" borderId="0" applyFont="1" applyNumberFormat="0" applyFill="0" applyBorder="0" applyAlignment="1">
      <alignment horizontal="justify"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true" shrinkToFit="false"/>
    </xf>
    <xf xfId="0" fontId="16" numFmtId="0" fillId="0" borderId="0" applyFont="1" applyNumberFormat="0" applyFill="0" applyBorder="0" applyAlignment="1">
      <alignment horizontal="center" vertical="center" textRotation="0" wrapText="true" shrinkToFit="false"/>
    </xf>
    <xf xfId="0" fontId="21" numFmtId="0" fillId="0" borderId="0" applyFont="1" applyNumberFormat="0" applyFill="0" applyBorder="0" applyAlignment="1">
      <alignment textRotation="0" wrapText="true" shrinkToFit="false"/>
    </xf>
    <xf xfId="0" fontId="16" numFmtId="0" fillId="0" borderId="2" applyFont="1" applyNumberFormat="0" applyFill="0" applyBorder="1" applyAlignment="1">
      <alignment horizontal="justify" vertical="center" textRotation="0" wrapText="true" shrinkToFit="false"/>
    </xf>
    <xf xfId="0" fontId="16" numFmtId="0" fillId="0" borderId="2" applyFont="1" applyNumberFormat="0" applyFill="0" applyBorder="1" applyAlignment="1">
      <alignment vertical="center" textRotation="0" wrapText="true" shrinkToFit="false"/>
    </xf>
    <xf xfId="0" fontId="16" numFmtId="49" fillId="0" borderId="1" applyFont="1" applyNumberFormat="1" applyFill="0" applyBorder="1" applyAlignment="1">
      <alignment horizontal="center" vertical="center" textRotation="0" wrapText="true" shrinkToFit="false"/>
    </xf>
    <xf xfId="0" fontId="21" numFmtId="0" fillId="0" borderId="0" applyFont="1" applyNumberFormat="0" applyFill="0" applyBorder="0" applyAlignment="0"/>
    <xf xfId="0" fontId="16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1">
      <alignment horizontal="left" vertical="center" textRotation="0" wrapText="false" shrinkToFit="false"/>
    </xf>
    <xf xfId="0" fontId="18" numFmtId="0" fillId="0" borderId="0" applyFont="1" applyNumberFormat="0" applyFill="0" applyBorder="0" applyAlignment="0"/>
    <xf xfId="0" fontId="18" numFmtId="4" fillId="0" borderId="1" applyFont="1" applyNumberFormat="1" applyFill="0" applyBorder="1" applyAlignment="1">
      <alignment vertical="top" textRotation="0" wrapText="false" shrinkToFit="false"/>
    </xf>
    <xf xfId="0" fontId="18" numFmtId="0" fillId="0" borderId="1" applyFont="1" applyNumberFormat="0" applyFill="0" applyBorder="1" applyAlignment="1">
      <alignment vertical="top" textRotation="0" wrapText="false" shrinkToFit="false"/>
    </xf>
    <xf xfId="0" fontId="16" numFmtId="0" fillId="0" borderId="5" applyFont="1" applyNumberFormat="0" applyFill="0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4" fillId="0" borderId="1" applyFont="1" applyNumberFormat="1" applyFill="0" applyBorder="1" applyAlignment="1">
      <alignment vertical="center" textRotation="0" wrapText="true" shrinkToFit="false"/>
    </xf>
    <xf xfId="0" fontId="1" numFmtId="10" fillId="0" borderId="1" applyFont="1" applyNumberFormat="1" applyFill="0" applyBorder="1" applyAlignment="1">
      <alignment vertical="center" textRotation="0" wrapText="false" shrinkToFit="false"/>
    </xf>
    <xf xfId="0" fontId="0" numFmtId="4" fillId="0" borderId="0" applyFont="0" applyNumberFormat="1" applyFill="0" applyBorder="0" applyAlignment="0"/>
    <xf xfId="0" fontId="1" numFmtId="10" fillId="0" borderId="1" applyFont="1" applyNumberFormat="1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0"/>
    <xf xfId="0" fontId="1" numFmtId="0" fillId="0" borderId="0" applyFont="1" applyNumberFormat="0" applyFill="0" applyBorder="0" applyAlignment="1">
      <alignment horizontal="justify" vertical="center" textRotation="0" wrapText="false" shrinkToFit="false"/>
    </xf>
    <xf xfId="0" fontId="21" numFmtId="4" fillId="0" borderId="0" applyFont="1" applyNumberFormat="1" applyFill="0" applyBorder="0" applyAlignment="1">
      <alignment textRotation="0" wrapText="true" shrinkToFit="false"/>
    </xf>
    <xf xfId="0" fontId="19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true" shrinkToFit="false"/>
    </xf>
    <xf xfId="0" fontId="22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168" fillId="0" borderId="1" applyFont="1" applyNumberFormat="1" applyFill="0" applyBorder="1" applyAlignment="1">
      <alignment horizontal="center" vertical="center" textRotation="0" wrapText="false" shrinkToFit="false"/>
    </xf>
    <xf xfId="0" fontId="16" numFmtId="169" fillId="0" borderId="1" applyFont="1" applyNumberFormat="1" applyFill="0" applyBorder="1" applyAlignment="1">
      <alignment horizontal="center" vertical="center" textRotation="0" wrapText="false" shrinkToFit="false"/>
    </xf>
    <xf xfId="0" fontId="1" numFmtId="49" fillId="0" borderId="1" applyFont="1" applyNumberFormat="1" applyFill="0" applyBorder="1" applyAlignment="1">
      <alignment horizontal="center" vertical="center" textRotation="0" wrapText="true" shrinkToFit="false"/>
    </xf>
    <xf xfId="0" fontId="16" numFmtId="0" fillId="0" borderId="1" applyFont="1" applyNumberFormat="0" applyFill="0" applyBorder="1" applyAlignment="1">
      <alignment vertical="center" textRotation="0" wrapText="false" shrinkToFit="false"/>
    </xf>
    <xf xfId="0" fontId="2" numFmtId="0" fillId="0" borderId="5" applyFont="1" applyNumberFormat="0" applyFill="0" applyBorder="1" applyAlignment="1">
      <alignment horizontal="left" vertical="center" textRotation="0" wrapText="true" shrinkToFit="false"/>
    </xf>
    <xf xfId="0" fontId="1" numFmtId="2" fillId="0" borderId="5" applyFont="1" applyNumberFormat="1" applyFill="0" applyBorder="1" applyAlignment="1">
      <alignment horizontal="center" vertical="center" textRotation="0" wrapText="true" shrinkToFit="false"/>
    </xf>
    <xf xfId="0" fontId="1" numFmtId="2" fillId="0" borderId="5" applyFont="1" applyNumberFormat="1" applyFill="0" applyBorder="1" applyAlignment="1">
      <alignment horizontal="right" vertical="center" textRotation="0" wrapText="true" shrinkToFit="false"/>
    </xf>
    <xf xfId="0" fontId="1" numFmtId="4" fillId="0" borderId="5" applyFont="1" applyNumberFormat="1" applyFill="0" applyBorder="1" applyAlignment="1">
      <alignment horizontal="right" vertical="center" textRotation="0" wrapText="true" shrinkToFit="false"/>
    </xf>
    <xf xfId="0" fontId="1" numFmtId="4" fillId="0" borderId="6" applyFont="1" applyNumberFormat="1" applyFill="0" applyBorder="1" applyAlignment="1">
      <alignment horizontal="right" vertical="center" textRotation="0" wrapText="true" shrinkToFit="false"/>
    </xf>
    <xf xfId="0" fontId="1" numFmtId="166" fillId="0" borderId="1" applyFont="1" applyNumberFormat="1" applyFill="0" applyBorder="1" applyAlignment="1">
      <alignment horizontal="center" vertical="center" textRotation="0" wrapText="true" shrinkToFit="false"/>
    </xf>
    <xf xfId="0" fontId="1" numFmtId="0" fillId="0" borderId="4" applyFont="1" applyNumberFormat="0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right" vertical="center" textRotation="0" wrapText="false" shrinkToFit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8" numFmtId="0" fillId="0" borderId="1" applyFont="1" applyNumberFormat="0" applyFill="0" applyBorder="1" applyAlignment="1">
      <alignment vertical="center" textRotation="0" wrapText="false" shrinkToFit="false"/>
    </xf>
    <xf xfId="0" fontId="1" numFmtId="1" fillId="0" borderId="5" applyFont="1" applyNumberFormat="1" applyFill="0" applyBorder="1" applyAlignment="1">
      <alignment horizontal="center" vertical="center" textRotation="0" wrapText="true" shrinkToFit="false"/>
    </xf>
    <xf xfId="0" fontId="1" numFmtId="169" fillId="0" borderId="1" applyFont="1" applyNumberFormat="1" applyFill="0" applyBorder="1" applyAlignment="1">
      <alignment horizontal="center" vertical="center" textRotation="0" wrapText="true" shrinkToFit="false"/>
    </xf>
    <xf xfId="0" fontId="4" numFmtId="0" fillId="0" borderId="5" applyFont="1" applyNumberFormat="0" applyFill="0" applyBorder="1" applyAlignment="0"/>
    <xf xfId="0" fontId="1" numFmtId="10" fillId="0" borderId="4" applyFont="1" applyNumberFormat="1" applyFill="0" applyBorder="1" applyAlignment="1">
      <alignment horizontal="right" vertical="center" textRotation="0" wrapText="true" shrinkToFit="false"/>
    </xf>
    <xf xfId="0" fontId="1" numFmtId="166" fillId="0" borderId="6" applyFont="1" applyNumberFormat="1" applyFill="0" applyBorder="1" applyAlignment="1">
      <alignment horizontal="center" vertical="center" textRotation="0" wrapText="true" shrinkToFit="false"/>
    </xf>
    <xf xfId="0" fontId="1" numFmtId="10" fillId="0" borderId="7" applyFont="1" applyNumberFormat="1" applyFill="0" applyBorder="1" applyAlignment="1">
      <alignment horizontal="right" vertical="center" textRotation="0" wrapText="true" shrinkToFit="false"/>
    </xf>
    <xf xfId="0" fontId="1" numFmtId="4" fillId="0" borderId="7" applyFont="1" applyNumberFormat="1" applyFill="0" applyBorder="1" applyAlignment="1">
      <alignment horizontal="right" vertical="center" textRotation="0" wrapText="true" shrinkToFit="false"/>
    </xf>
    <xf xfId="0" fontId="1" numFmtId="0" fillId="0" borderId="4" applyFont="1" applyNumberFormat="0" applyFill="0" applyBorder="1" applyAlignment="1">
      <alignment horizontal="left" vertical="center" textRotation="0" wrapText="true" shrinkToFit="false"/>
    </xf>
    <xf xfId="0" fontId="1" numFmtId="2" fillId="0" borderId="4" applyFont="1" applyNumberFormat="1" applyFill="0" applyBorder="1" applyAlignment="1">
      <alignment horizontal="right" vertical="center" textRotation="0" wrapText="true" shrinkToFit="false"/>
    </xf>
    <xf xfId="0" fontId="1" numFmtId="0" fillId="0" borderId="7" applyFont="1" applyNumberFormat="0" applyFill="0" applyBorder="1" applyAlignment="1">
      <alignment horizontal="center" vertical="center" textRotation="0" wrapText="true" shrinkToFit="false"/>
    </xf>
    <xf xfId="0" fontId="1" numFmtId="4" fillId="0" borderId="8" applyFont="1" applyNumberFormat="1" applyFill="0" applyBorder="1" applyAlignment="1">
      <alignment horizontal="right" vertical="center" textRotation="0" wrapText="true" shrinkToFit="false"/>
    </xf>
    <xf xfId="0" fontId="1" numFmtId="0" fillId="0" borderId="7" applyFont="1" applyNumberFormat="0" applyFill="0" applyBorder="1" applyAlignment="1">
      <alignment horizontal="left" vertical="center" textRotation="0" wrapText="true" shrinkToFit="false"/>
    </xf>
    <xf xfId="0" fontId="1" numFmtId="167" fillId="0" borderId="7" applyFont="1" applyNumberFormat="1" applyFill="0" applyBorder="1" applyAlignment="1">
      <alignment horizontal="center" vertical="center" textRotation="0" wrapText="true" shrinkToFit="false"/>
    </xf>
    <xf xfId="0" fontId="1" numFmtId="2" fillId="0" borderId="7" applyFont="1" applyNumberFormat="1" applyFill="0" applyBorder="1" applyAlignment="1">
      <alignment horizontal="right" vertical="center" textRotation="0" wrapText="true" shrinkToFit="false"/>
    </xf>
    <xf xfId="0" fontId="1" numFmtId="166" fillId="0" borderId="4" applyFont="1" applyNumberFormat="1" applyFill="0" applyBorder="1" applyAlignment="1">
      <alignment horizontal="center" vertical="center" textRotation="0" wrapText="true" shrinkToFit="false"/>
    </xf>
    <xf xfId="0" fontId="1" numFmtId="49" fillId="0" borderId="4" applyFont="1" applyNumberFormat="1" applyFill="0" applyBorder="1" applyAlignment="1">
      <alignment horizontal="center" vertical="center" textRotation="0" wrapText="true" shrinkToFit="false"/>
    </xf>
    <xf xfId="0" fontId="1" numFmtId="0" fillId="0" borderId="4" applyFont="1" applyNumberFormat="0" applyFill="0" applyBorder="1" applyAlignment="1">
      <alignment horizontal="right" vertical="center" textRotation="0" wrapText="true" shrinkToFit="false"/>
    </xf>
    <xf xfId="0" fontId="1" numFmtId="0" fillId="0" borderId="4" applyFont="1" applyNumberFormat="0" applyFill="0" applyBorder="1" applyAlignment="0"/>
    <xf xfId="0" fontId="1" numFmtId="49" fillId="0" borderId="5" applyFont="1" applyNumberFormat="1" applyFill="0" applyBorder="1" applyAlignment="1">
      <alignment horizontal="center" vertical="center" textRotation="0" wrapText="true" shrinkToFit="false"/>
    </xf>
    <xf xfId="0" fontId="1" numFmtId="49" fillId="0" borderId="1" applyFont="1" applyNumberFormat="1" applyFill="0" applyBorder="1" applyAlignment="1">
      <alignment horizontal="left" vertical="center" textRotation="0" wrapText="true" shrinkToFit="false"/>
    </xf>
    <xf xfId="0" fontId="1" numFmtId="49" fillId="0" borderId="5" applyFont="1" applyNumberFormat="1" applyFill="0" applyBorder="1" applyAlignment="1">
      <alignment horizontal="left" vertical="center" textRotation="0" wrapText="true" shrinkToFit="false"/>
    </xf>
    <xf xfId="0" fontId="1" numFmtId="0" fillId="0" borderId="5" applyFont="1" applyNumberFormat="0" applyFill="0" applyBorder="1" applyAlignment="1">
      <alignment horizontal="right" vertical="center" textRotation="0" wrapText="true" shrinkToFit="false"/>
    </xf>
    <xf xfId="0" fontId="2" numFmtId="0" fillId="0" borderId="4" applyFont="1" applyNumberFormat="0" applyFill="0" applyBorder="1" applyAlignment="1">
      <alignment horizontal="left" vertical="center" textRotation="0" wrapText="true" shrinkToFit="false"/>
    </xf>
    <xf xfId="0" fontId="2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1" applyFont="1" applyNumberFormat="0" applyFill="0" applyBorder="1" applyAlignment="1">
      <alignment vertical="center" textRotation="0" wrapText="false" shrinkToFit="false"/>
    </xf>
    <xf xfId="0" fontId="16" numFmtId="10" fillId="0" borderId="0" applyFont="1" applyNumberFormat="1" applyFill="0" applyBorder="0" applyAlignment="1">
      <alignment horizontal="right" vertical="center" textRotation="0" wrapText="false" shrinkToFit="false"/>
    </xf>
    <xf xfId="0" fontId="1" numFmtId="2" fillId="0" borderId="4" applyFont="1" applyNumberFormat="1" applyFill="0" applyBorder="1" applyAlignment="1">
      <alignment horizontal="center" vertical="center" textRotation="0" wrapText="true" shrinkToFit="false"/>
    </xf>
    <xf xfId="0" fontId="16" numFmtId="0" fillId="0" borderId="1" applyFont="1" applyNumberFormat="0" applyFill="0" applyBorder="1" applyAlignment="1">
      <alignment vertical="top" textRotation="0" wrapText="false" shrinkToFit="false"/>
    </xf>
    <xf xfId="0" fontId="16" numFmtId="0" fillId="0" borderId="4" applyFont="1" applyNumberFormat="0" applyFill="0" applyBorder="1" applyAlignment="1">
      <alignment vertical="top" textRotation="0" wrapText="false" shrinkToFit="false"/>
    </xf>
    <xf xfId="0" fontId="1" numFmtId="0" fillId="0" borderId="1" applyFont="1" applyNumberFormat="0" applyFill="0" applyBorder="1" applyAlignment="1">
      <alignment vertical="top" textRotation="0" wrapText="false" shrinkToFit="false"/>
    </xf>
    <xf xfId="0" fontId="1" numFmtId="4" fillId="0" borderId="1" applyFont="1" applyNumberFormat="1" applyFill="0" applyBorder="1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right" textRotation="0" wrapText="false" shrinkToFit="false"/>
    </xf>
    <xf xfId="0" fontId="23" numFmtId="2" fillId="0" borderId="9" applyFont="1" applyNumberFormat="1" applyFill="0" applyBorder="1" applyAlignment="0"/>
    <xf xfId="0" fontId="23" numFmtId="10" fillId="0" borderId="0" applyFont="1" applyNumberFormat="1" applyFill="0" applyBorder="0" applyAlignment="1">
      <alignment horizontal="right" vertical="center" textRotation="0" wrapText="false" shrinkToFit="false"/>
    </xf>
    <xf xfId="0" fontId="1" numFmtId="10" fillId="0" borderId="0" applyFont="1" applyNumberFormat="1" applyFill="0" applyBorder="0" applyAlignment="1">
      <alignment horizontal="right" vertical="center" textRotation="0" wrapText="false" shrinkToFit="false"/>
    </xf>
    <xf xfId="0" fontId="1" numFmtId="0" fillId="0" borderId="0" applyFont="1" applyNumberFormat="0" applyFill="0" applyBorder="0" applyAlignment="1">
      <alignment horizontal="right" vertical="center" textRotation="0" wrapText="false" shrinkToFit="false"/>
    </xf>
    <xf xfId="0" fontId="23" numFmtId="10" fillId="0" borderId="10" applyFont="1" applyNumberFormat="1" applyFill="0" applyBorder="1" applyAlignment="0"/>
    <xf xfId="0" fontId="1" numFmtId="10" fillId="0" borderId="11" applyFont="1" applyNumberFormat="1" applyFill="0" applyBorder="1" applyAlignment="1">
      <alignment horizontal="right" vertical="center" textRotation="0" wrapText="false" shrinkToFit="false"/>
    </xf>
    <xf xfId="0" fontId="1" numFmtId="10" fillId="0" borderId="12" applyFont="1" applyNumberFormat="1" applyFill="0" applyBorder="1" applyAlignment="1">
      <alignment horizontal="right" vertical="center" textRotation="0" wrapText="false" shrinkToFit="false"/>
    </xf>
    <xf xfId="0" fontId="1" numFmtId="10" fillId="0" borderId="13" applyFont="1" applyNumberFormat="1" applyFill="0" applyBorder="1" applyAlignment="1">
      <alignment horizontal="right" vertical="center" textRotation="0" wrapText="false" shrinkToFit="false"/>
    </xf>
    <xf xfId="0" fontId="23" numFmtId="10" fillId="0" borderId="10" applyFont="1" applyNumberFormat="1" applyFill="0" applyBorder="1" applyAlignment="1">
      <alignment horizontal="right" vertical="center" textRotation="0" wrapText="false" shrinkToFit="false"/>
    </xf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right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4" fillId="0" borderId="0" applyFont="1" applyNumberFormat="1" applyFill="0" applyBorder="0" applyAlignment="1">
      <alignment horizontal="left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4" fillId="0" borderId="1" applyFont="1" applyNumberFormat="1" applyFill="0" applyBorder="1" applyAlignment="1">
      <alignment vertical="center" textRotation="0" wrapText="true" shrinkToFit="false"/>
    </xf>
    <xf xfId="0" fontId="1" numFmtId="4" fillId="0" borderId="1" applyFont="1" applyNumberFormat="1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right" textRotation="0" wrapText="false" shrinkToFit="false"/>
    </xf>
    <xf xfId="0" fontId="4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0" applyFont="1" applyNumberFormat="0" applyFill="0" applyBorder="0" applyAlignment="0"/>
    <xf xfId="0" fontId="16" numFmtId="0" fillId="0" borderId="1" applyFont="1" applyNumberFormat="0" applyFill="0" applyBorder="1" applyAlignment="1">
      <alignment horizontal="center" vertical="center" textRotation="0" wrapText="true" shrinkToFit="false"/>
    </xf>
    <xf xfId="0" fontId="16" numFmtId="0" fillId="0" borderId="5" applyFont="1" applyNumberFormat="0" applyFill="0" applyBorder="1" applyAlignment="1">
      <alignment horizontal="center" vertical="center" textRotation="0" wrapText="false" shrinkToFit="false"/>
    </xf>
    <xf xfId="0" fontId="16" numFmtId="0" fillId="0" borderId="5" applyFont="1" applyNumberFormat="0" applyFill="0" applyBorder="1" applyAlignment="1">
      <alignment horizontal="center" vertical="center" textRotation="0" wrapText="true" shrinkToFit="false"/>
    </xf>
    <xf xfId="0" fontId="16" numFmtId="49" fillId="0" borderId="1" applyFont="1" applyNumberFormat="1" applyFill="0" applyBorder="1" applyAlignment="1">
      <alignment horizontal="left" vertical="center" textRotation="0" wrapText="true" shrinkToFit="false"/>
    </xf>
    <xf xfId="0" fontId="16" numFmtId="0" fillId="0" borderId="1" applyFont="1" applyNumberFormat="0" applyFill="0" applyBorder="1" applyAlignment="1">
      <alignment vertical="center" textRotation="0" wrapText="true" shrinkToFit="false"/>
    </xf>
    <xf xfId="0" fontId="18" numFmtId="4" fillId="0" borderId="1" applyFont="1" applyNumberFormat="1" applyFill="0" applyBorder="1" applyAlignment="1">
      <alignment vertical="center" textRotation="0" wrapText="true" shrinkToFit="false"/>
    </xf>
    <xf xfId="0" fontId="16" numFmtId="4" fillId="0" borderId="1" applyFont="1" applyNumberFormat="1" applyFill="0" applyBorder="1" applyAlignment="1">
      <alignment horizontal="right" vertical="center" textRotation="0" wrapText="false" shrinkToFit="false"/>
    </xf>
    <xf xfId="0" fontId="16" numFmtId="4" fillId="0" borderId="1" applyFont="1" applyNumberFormat="1" applyFill="0" applyBorder="1" applyAlignment="1">
      <alignment horizontal="right" vertical="center" textRotation="0" wrapText="true" shrinkToFit="false"/>
    </xf>
    <xf xfId="0" fontId="16" numFmtId="4" fillId="0" borderId="1" applyFont="1" applyNumberFormat="1" applyFill="0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14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1" numFmtId="4" fillId="0" borderId="0" applyFont="1" applyNumberFormat="1" applyFill="0" applyBorder="0" applyAlignment="1">
      <alignment horizontal="left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16" numFmtId="0" fillId="0" borderId="0" applyFont="1" applyNumberFormat="0" applyFill="0" applyBorder="0" applyAlignment="1">
      <alignment horizontal="right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1">
      <alignment horizontal="justify" vertical="center" textRotation="0" wrapText="false" shrinkToFit="false"/>
    </xf>
    <xf xfId="0" fontId="19" numFmtId="0" fillId="0" borderId="0" applyFont="1" applyNumberFormat="0" applyFill="0" applyBorder="0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horizontal="justify" vertical="center" textRotation="0" wrapText="false" shrinkToFit="false"/>
    </xf>
    <xf xfId="0" fontId="18" numFmtId="0" fillId="0" borderId="1" applyFont="1" applyNumberFormat="0" applyFill="0" applyBorder="1" applyAlignment="1">
      <alignment horizontal="right" vertical="center" textRotation="0" wrapText="true" shrinkToFit="false"/>
    </xf>
    <xf xfId="0" fontId="18" numFmtId="4" fillId="0" borderId="2" applyFont="1" applyNumberFormat="1" applyFill="0" applyBorder="1" applyAlignment="1">
      <alignment horizontal="center" vertical="center" textRotation="0" wrapText="true" shrinkToFit="false"/>
    </xf>
    <xf xfId="0" fontId="18" numFmtId="4" fillId="0" borderId="14" applyFont="1" applyNumberFormat="1" applyFill="0" applyBorder="1" applyAlignment="1">
      <alignment horizontal="center" vertical="center" textRotation="0" wrapText="true" shrinkToFit="false"/>
    </xf>
    <xf xfId="0" fontId="16" numFmtId="0" fillId="0" borderId="1" applyFont="1" applyNumberFormat="0" applyFill="0" applyBorder="1" applyAlignment="1">
      <alignment horizontal="center" vertical="center" textRotation="0" wrapText="true" shrinkToFit="false"/>
    </xf>
    <xf xfId="0" fontId="16" numFmtId="4" fillId="0" borderId="2" applyFont="1" applyNumberFormat="1" applyFill="0" applyBorder="1" applyAlignment="1">
      <alignment horizontal="center" vertical="center" textRotation="0" wrapText="false" shrinkToFit="false"/>
    </xf>
    <xf xfId="0" fontId="16" numFmtId="4" fillId="0" borderId="14" applyFont="1" applyNumberFormat="1" applyFill="0" applyBorder="1" applyAlignment="1">
      <alignment horizontal="center" vertical="center" textRotation="0" wrapText="false" shrinkToFit="false"/>
    </xf>
    <xf xfId="0" fontId="2" numFmtId="0" fillId="0" borderId="2" applyFont="1" applyNumberFormat="0" applyFill="0" applyBorder="1" applyAlignment="1">
      <alignment horizontal="left" vertical="center" textRotation="0" wrapText="true" shrinkToFit="false"/>
    </xf>
    <xf xfId="0" fontId="2" numFmtId="0" fillId="0" borderId="15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left" vertical="center" textRotation="0" wrapText="true" shrinkToFit="false"/>
    </xf>
    <xf xfId="0" fontId="18" numFmtId="0" fillId="0" borderId="1" applyFont="1" applyNumberFormat="0" applyFill="0" applyBorder="1" applyAlignment="1">
      <alignment vertical="top" textRotation="0" wrapText="false" shrinkToFit="false"/>
    </xf>
    <xf xfId="0" fontId="16" numFmtId="0" fillId="0" borderId="1" applyFont="1" applyNumberFormat="0" applyFill="0" applyBorder="1" applyAlignment="1">
      <alignment vertical="top" textRotation="0" wrapText="false" shrinkToFit="false"/>
    </xf>
    <xf xfId="0" fontId="16" numFmtId="0" fillId="0" borderId="1" applyFont="1" applyNumberFormat="0" applyFill="0" applyBorder="1" applyAlignment="1">
      <alignment vertical="top" textRotation="0" wrapText="true" shrinkToFit="false"/>
    </xf>
    <xf xfId="0" fontId="18" numFmtId="0" fillId="0" borderId="2" applyFont="1" applyNumberFormat="0" applyFill="0" applyBorder="1" applyAlignment="1">
      <alignment vertical="top" textRotation="0" wrapText="false" shrinkToFit="false"/>
    </xf>
    <xf xfId="0" fontId="18" numFmtId="0" fillId="0" borderId="15" applyFont="1" applyNumberFormat="0" applyFill="0" applyBorder="1" applyAlignment="1">
      <alignment vertical="top" textRotation="0" wrapText="false" shrinkToFit="false"/>
    </xf>
    <xf xfId="0" fontId="18" numFmtId="0" fillId="0" borderId="14" applyFont="1" applyNumberFormat="0" applyFill="0" applyBorder="1" applyAlignment="1">
      <alignment vertical="top" textRotation="0" wrapText="false" shrinkToFit="false"/>
    </xf>
    <xf xfId="0" fontId="16" numFmtId="0" fillId="0" borderId="0" applyFont="1" applyNumberFormat="0" applyFill="0" applyBorder="0" applyAlignment="1">
      <alignment horizontal="left" vertical="center" textRotation="0" wrapText="false" shrinkToFit="false"/>
    </xf>
    <xf xfId="0" fontId="16" numFmtId="0" fillId="0" borderId="1" applyFont="1" applyNumberFormat="0" applyFill="0" applyBorder="1" applyAlignment="1">
      <alignment horizontal="center" vertical="center" textRotation="0" wrapText="true" shrinkToFit="false"/>
    </xf>
    <xf xfId="0" fontId="18" numFmtId="0" fillId="0" borderId="1" applyFont="1" applyNumberFormat="0" applyFill="0" applyBorder="1" applyAlignment="1">
      <alignment horizontal="left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2" fillId="0" borderId="1" applyFont="1" applyNumberFormat="1" applyFill="0" applyBorder="1" applyAlignment="1">
      <alignment horizontal="center" vertical="center" textRotation="0" wrapText="true" shrinkToFit="false"/>
    </xf>
    <xf xfId="0" fontId="1" numFmtId="2" fillId="0" borderId="1" applyFont="1" applyNumberFormat="1" applyFill="0" applyBorder="1" applyAlignment="1">
      <alignment horizontal="right" vertical="center" textRotation="0" wrapText="true" shrinkToFit="false"/>
    </xf>
    <xf xfId="0" fontId="1" numFmtId="10" fillId="0" borderId="1" applyFont="1" applyNumberFormat="1" applyFill="0" applyBorder="1" applyAlignment="1">
      <alignment horizontal="right" vertical="center" textRotation="0" wrapText="true" shrinkToFit="false"/>
    </xf>
    <xf xfId="0" fontId="2" numFmtId="0" fillId="0" borderId="1" applyFont="1" applyNumberFormat="0" applyFill="0" applyBorder="1" applyAlignment="1">
      <alignment horizontal="left" vertical="center" textRotation="0" wrapText="true" shrinkToFit="false"/>
    </xf>
    <xf xfId="0" fontId="1" numFmtId="10" fillId="0" borderId="2" applyFont="1" applyNumberFormat="1" applyFill="0" applyBorder="1" applyAlignment="1">
      <alignment horizontal="right" vertical="center" textRotation="0" wrapText="true" shrinkToFit="false"/>
    </xf>
    <xf xfId="0" fontId="1" numFmtId="0" fillId="0" borderId="5" applyFont="1" applyNumberFormat="0" applyFill="0" applyBorder="1" applyAlignment="1">
      <alignment horizontal="left" vertical="center" textRotation="0" wrapText="true" shrinkToFit="false"/>
    </xf>
    <xf xfId="0" fontId="1" numFmtId="0" fillId="0" borderId="5" applyFont="1" applyNumberFormat="0" applyFill="0" applyBorder="1" applyAlignment="1">
      <alignment horizontal="center" vertical="center" textRotation="0" wrapText="true" shrinkToFit="false"/>
    </xf>
    <xf xfId="0" fontId="1" numFmtId="2" fillId="0" borderId="5" applyFont="1" applyNumberFormat="1" applyFill="0" applyBorder="1" applyAlignment="1">
      <alignment horizontal="center" vertical="center" textRotation="0" wrapText="true" shrinkToFit="false"/>
    </xf>
    <xf xfId="0" fontId="1" numFmtId="2" fillId="0" borderId="5" applyFont="1" applyNumberFormat="1" applyFill="0" applyBorder="1" applyAlignment="1">
      <alignment horizontal="right" vertical="center" textRotation="0" wrapText="true" shrinkToFit="false"/>
    </xf>
    <xf xfId="0" fontId="1" numFmtId="10" fillId="0" borderId="6" applyFont="1" applyNumberFormat="1" applyFill="0" applyBorder="1" applyAlignment="1">
      <alignment horizontal="right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2" fillId="0" borderId="1" applyFont="1" applyNumberFormat="1" applyFill="0" applyBorder="1" applyAlignment="1">
      <alignment horizontal="center" vertical="center" textRotation="0" wrapText="true" shrinkToFit="false"/>
    </xf>
    <xf xfId="0" fontId="2" numFmtId="2" fillId="0" borderId="1" applyFont="1" applyNumberFormat="1" applyFill="0" applyBorder="1" applyAlignment="1">
      <alignment horizontal="right" vertical="center" textRotation="0" wrapText="true" shrinkToFit="false"/>
    </xf>
    <xf xfId="0" fontId="2" numFmtId="10" fillId="0" borderId="2" applyFont="1" applyNumberFormat="1" applyFill="0" applyBorder="1" applyAlignment="1">
      <alignment horizontal="right" vertical="center" textRotation="0" wrapText="true" shrinkToFit="false"/>
    </xf>
    <xf xfId="0" fontId="2" numFmtId="10" fillId="0" borderId="1" applyFont="1" applyNumberFormat="1" applyFill="0" applyBorder="1" applyAlignment="1">
      <alignment horizontal="right" vertical="center" textRotation="0" wrapText="true" shrinkToFit="false"/>
    </xf>
    <xf xfId="0" fontId="16" numFmtId="0" fillId="0" borderId="0" applyFont="1" applyNumberFormat="0" applyFill="0" applyBorder="0" applyAlignment="1">
      <alignment horizontal="right" textRotation="0" wrapText="fals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14" applyFont="1" applyNumberFormat="0" applyFill="0" applyBorder="1" applyAlignment="1">
      <alignment horizontal="center" vertical="center" textRotation="0" wrapText="true" shrinkToFit="false"/>
    </xf>
    <xf xfId="0" fontId="1" numFmtId="0" fillId="0" borderId="4" applyFont="1" applyNumberFormat="0" applyFill="0" applyBorder="1" applyAlignment="1">
      <alignment horizontal="center" vertical="center" textRotation="0" wrapText="true" shrinkToFit="false"/>
    </xf>
    <xf xfId="0" fontId="1" numFmtId="4" fillId="0" borderId="0" applyFont="1" applyNumberFormat="1" applyFill="0" applyBorder="0" applyAlignment="1">
      <alignment horizontal="left" vertical="center" textRotation="0" wrapText="true" shrinkToFit="false"/>
    </xf>
    <xf xfId="0" fontId="1" numFmtId="0" fillId="0" borderId="0" applyFont="1" applyNumberFormat="0" applyFill="0" applyBorder="0" applyAlignment="1">
      <alignment horizontal="right" textRotation="0" wrapText="false" shrinkToFit="false"/>
    </xf>
    <xf xfId="0" fontId="1" numFmtId="0" fillId="0" borderId="2" applyFont="1" applyNumberFormat="0" applyFill="0" applyBorder="1" applyAlignment="1">
      <alignment horizontal="left" vertical="center" textRotation="0" wrapText="true" shrinkToFit="false"/>
    </xf>
    <xf xfId="0" fontId="1" numFmtId="0" fillId="0" borderId="15" applyFont="1" applyNumberFormat="0" applyFill="0" applyBorder="1" applyAlignment="1">
      <alignment horizontal="left" vertical="center" textRotation="0" wrapText="true" shrinkToFit="false"/>
    </xf>
    <xf xfId="0" fontId="1" numFmtId="0" fillId="0" borderId="14" applyFont="1" applyNumberFormat="0" applyFill="0" applyBorder="1" applyAlignment="1">
      <alignment horizontal="left" vertical="center" textRotation="0" wrapText="true" shrinkToFit="false"/>
    </xf>
    <xf xfId="0" fontId="1" numFmtId="0" fillId="0" borderId="1" applyFont="1" applyNumberFormat="0" applyFill="0" applyBorder="1" applyAlignment="1">
      <alignment horizontal="right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top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top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24" numFmtId="0" fillId="0" borderId="0" applyFont="1" applyNumberFormat="0" applyFill="0" applyBorder="0" applyAlignment="1">
      <alignment horizontal="right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90" wrapText="false" shrinkToFit="false"/>
    </xf>
    <xf xfId="0" fontId="0" numFmtId="0" fillId="0" borderId="7" applyFont="0" applyNumberFormat="0" applyFill="0" applyBorder="1" applyAlignment="1">
      <alignment horizontal="center" vertical="center" textRotation="90" wrapText="false" shrinkToFit="false"/>
    </xf>
    <xf xfId="0" fontId="0" numFmtId="0" fillId="0" borderId="4" applyFont="0" applyNumberFormat="0" applyFill="0" applyBorder="1" applyAlignment="1">
      <alignment horizontal="center" vertical="center" textRotation="9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0" borderId="7" applyFont="0" applyNumberFormat="0" applyFill="0" applyBorder="1" applyAlignment="1">
      <alignment horizontal="center" vertical="center" textRotation="0" wrapText="true" shrinkToFit="false"/>
    </xf>
    <xf xfId="0" fontId="0" numFmtId="0" fillId="0" borderId="4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0" numFmtId="0" fillId="0" borderId="15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15" applyFont="0" applyNumberFormat="0" applyFill="0" applyBorder="1" applyAlignment="1">
      <alignment horizontal="center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15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5" numFmtId="0" fillId="3" borderId="1" applyFont="1" applyNumberFormat="0" applyFill="1" applyBorder="1" applyAlignment="1">
      <alignment horizontal="left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0" numFmtId="0" fillId="3" borderId="4" applyFont="0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4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5" applyFont="0" applyNumberFormat="0" applyFill="1" applyBorder="1" applyAlignment="1">
      <alignment horizontal="left" vertical="center" textRotation="0" wrapText="true" shrinkToFit="false"/>
    </xf>
    <xf xfId="0" fontId="0" numFmtId="0" fillId="3" borderId="4" applyFont="0" applyNumberFormat="0" applyFill="1" applyBorder="1" applyAlignment="1">
      <alignment horizontal="left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true" shrinkToFit="false"/>
    </xf>
    <xf xfId="0" fontId="0" numFmtId="0" fillId="3" borderId="4" applyFont="0" applyNumberFormat="0" applyFill="1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left" vertical="center" textRotation="0" wrapText="true" shrinkToFit="false"/>
    </xf>
    <xf xfId="0" fontId="0" numFmtId="0" fillId="0" borderId="4" applyFont="0" applyNumberFormat="0" applyFill="0" applyBorder="1" applyAlignment="1">
      <alignment horizontal="left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center" textRotation="0" wrapText="true" shrinkToFit="false"/>
    </xf>
    <xf xfId="0" fontId="0" numFmtId="49" fillId="0" borderId="5" applyFont="0" applyNumberFormat="1" applyFill="0" applyBorder="1" applyAlignment="1">
      <alignment vertical="center" textRotation="0" wrapText="true" shrinkToFit="false"/>
    </xf>
    <xf xfId="0" fontId="0" numFmtId="49" fillId="0" borderId="4" applyFont="0" applyNumberFormat="1" applyFill="0" applyBorder="1" applyAlignment="1">
      <alignment vertical="center" textRotation="0" wrapText="true" shrinkToFit="false"/>
    </xf>
    <xf xfId="0" fontId="0" numFmtId="0" fillId="0" borderId="5" applyFont="0" applyNumberFormat="0" applyFill="0" applyBorder="1" applyAlignment="1">
      <alignment vertical="center" textRotation="0" wrapText="true" shrinkToFit="false"/>
    </xf>
    <xf xfId="0" fontId="0" numFmtId="0" fillId="0" borderId="4" applyFont="0" applyNumberFormat="0" applyFill="0" applyBorder="1" applyAlignment="1">
      <alignment vertical="center" textRotation="0" wrapText="true" shrinkToFit="false"/>
    </xf>
    <xf xfId="0" fontId="25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4" borderId="2" applyFont="0" applyNumberFormat="0" applyFill="1" applyBorder="1" applyAlignment="1">
      <alignment horizontal="center" vertical="center" textRotation="0" wrapText="true" shrinkToFit="false"/>
    </xf>
    <xf xfId="0" fontId="0" numFmtId="0" fillId="4" borderId="15" applyFont="0" applyNumberFormat="0" applyFill="1" applyBorder="1" applyAlignment="1">
      <alignment horizontal="center" vertical="center" textRotation="0" wrapText="true" shrinkToFit="false"/>
    </xf>
    <xf xfId="0" fontId="0" numFmtId="0" fillId="4" borderId="14" applyFont="0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/Relationships>
</file>

<file path=xl/drawings/_rels/vmlDrawing13.vml.rels><?xml version="1.0" encoding="UTF-8" standalone="yes"?>
<Relationships xmlns="http://schemas.openxmlformats.org/package/2006/relationships"/>
</file>

<file path=xl/drawings/_rels/vmlDrawing3.vml.rels><?xml version="1.0" encoding="UTF-8" standalone="yes"?>
<Relationships xmlns="http://schemas.openxmlformats.org/package/2006/relationships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0.bin"/></Relationships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Relationship Id="rId2ps" Type="http://schemas.openxmlformats.org/officeDocument/2006/relationships/printerSettings" Target="../printerSettings/printerSettings11.bin"/></Relationships>
</file>

<file path=xl/worksheets/_rels/sheet1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3.vml"/><Relationship Id="rId_comments1" Type="http://schemas.openxmlformats.org/officeDocument/2006/relationships/comments" Target="../comments13.xml"/><Relationship Id="rId1ps" Type="http://schemas.openxmlformats.org/officeDocument/2006/relationships/printerSettings" Target="../printerSettings/printerSettings12.bin"/></Relationships>
</file>

<file path=xl/worksheets/_rels/sheet1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3.bin"/></Relationships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4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0"/>
  <sheetViews>
    <sheetView tabSelected="0" workbookViewId="0" view="pageBreakPreview" showGridLines="true" showRowColHeaders="1">
      <selection activeCell="B22" sqref="B22"/>
    </sheetView>
  </sheetViews>
  <sheetFormatPr defaultRowHeight="14.4" defaultColWidth="9.125" outlineLevelRow="0" outlineLevelCol="0"/>
  <cols>
    <col min="1" max="1" width="19.125" customWidth="true" style="4"/>
    <col min="2" max="2" width="52" customWidth="true" style="4"/>
    <col min="3" max="3" width="21" customWidth="true" style="4"/>
    <col min="4" max="4" width="9.125" style="4"/>
    <col min="5" max="5" width="9.125" style="4"/>
    <col min="6" max="6" width="9.125" style="4"/>
    <col min="7" max="7" width="7" customWidth="true" style="4"/>
    <col min="8" max="8" width="9.125" style="4"/>
  </cols>
  <sheetData>
    <row r="2" spans="1:8">
      <c r="A2" s="246" t="s">
        <v>0</v>
      </c>
      <c r="B2" s="246"/>
      <c r="C2" s="246"/>
    </row>
    <row r="3" spans="1:8">
      <c r="A3" s="1"/>
      <c r="B3" s="1"/>
      <c r="C3" s="1"/>
    </row>
    <row r="4" spans="1:8">
      <c r="A4" s="247" t="s">
        <v>1</v>
      </c>
      <c r="B4" s="247"/>
      <c r="C4" s="247"/>
    </row>
    <row r="5" spans="1:8" customHeight="1" ht="25.5" s="4" customFormat="1">
      <c r="A5" s="1"/>
      <c r="B5" s="1"/>
      <c r="C5" s="1"/>
    </row>
    <row r="6" spans="1:8" customHeight="1" ht="45.7">
      <c r="A6" s="104" t="s">
        <v>2</v>
      </c>
      <c r="B6" s="248" t="s">
        <v>3</v>
      </c>
      <c r="C6" s="248"/>
    </row>
    <row r="7" spans="1:8">
      <c r="A7" s="105" t="s">
        <v>4</v>
      </c>
      <c r="B7" s="1"/>
      <c r="C7" s="1"/>
    </row>
    <row r="8" spans="1:8">
      <c r="A8" s="105"/>
      <c r="B8" s="1"/>
      <c r="C8" s="1"/>
    </row>
    <row r="9" spans="1:8" customHeight="1" ht="39.6">
      <c r="A9" s="2" t="s">
        <v>5</v>
      </c>
      <c r="B9" s="2" t="s">
        <v>6</v>
      </c>
      <c r="C9" s="2" t="s">
        <v>7</v>
      </c>
    </row>
    <row r="10" spans="1:8" customHeight="1" ht="86.45">
      <c r="A10" s="106" t="s">
        <v>8</v>
      </c>
      <c r="B10" s="10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>
    <mergeCell ref="A2:C2"/>
    <mergeCell ref="A4:C4"/>
    <mergeCell ref="B6:C6"/>
  </mergeCells>
  <printOptions gridLines="false" gridLinesSet="true"/>
  <pageMargins left="0.7" right="0.7" top="0.75" bottom="0.75" header="0.3" footer="0.3"/>
  <pageSetup paperSize="9" orientation="portrait" scale="93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7"/>
  <sheetViews>
    <sheetView tabSelected="0" workbookViewId="0" view="pageBreakPreview" showGridLines="true" showRowColHeaders="1">
      <selection activeCell="C15" sqref="C15"/>
    </sheetView>
  </sheetViews>
  <sheetFormatPr defaultRowHeight="14.4" defaultColWidth="8.875" outlineLevelRow="0" outlineLevelCol="0"/>
  <cols>
    <col min="1" max="1" width="14.375" customWidth="true" style="0"/>
    <col min="2" max="2" width="29.625" customWidth="true" style="0"/>
    <col min="3" max="3" width="39.125" customWidth="true" style="0"/>
    <col min="4" max="4" width="24.375" customWidth="true" style="0"/>
  </cols>
  <sheetData>
    <row r="1" spans="1:5">
      <c r="B1" s="224"/>
      <c r="C1" s="224"/>
      <c r="D1" s="225" t="s">
        <v>892</v>
      </c>
    </row>
    <row r="2" spans="1:5">
      <c r="A2" s="225"/>
      <c r="B2" s="225"/>
      <c r="C2" s="225"/>
      <c r="D2" s="225"/>
    </row>
    <row r="3" spans="1:5" customHeight="1" ht="24.8">
      <c r="A3" s="307" t="s">
        <v>893</v>
      </c>
      <c r="B3" s="307"/>
      <c r="C3" s="307"/>
      <c r="D3" s="307"/>
    </row>
    <row r="4" spans="1:5" customHeight="1" ht="24.8">
      <c r="A4" s="226"/>
      <c r="B4" s="226"/>
      <c r="C4" s="226"/>
      <c r="D4" s="226"/>
    </row>
    <row r="5" spans="1:5" customHeight="1" ht="24.65">
      <c r="A5" s="300" t="s">
        <v>894</v>
      </c>
      <c r="B5" s="300"/>
      <c r="C5" s="300"/>
      <c r="D5" s="227" t="str">
        <f>'Прил.5 Расчет СМР и ОБ'!D6:J6</f>
        <v>ПЧЗ Насосная ПС 500 кВ</v>
      </c>
    </row>
    <row r="6" spans="1:5" customHeight="1" ht="19.9">
      <c r="A6" s="300" t="s">
        <v>50</v>
      </c>
      <c r="B6" s="300"/>
      <c r="C6" s="300"/>
      <c r="D6" s="227"/>
    </row>
    <row r="7" spans="1:5">
      <c r="A7" s="224"/>
      <c r="B7" s="224"/>
      <c r="C7" s="224"/>
      <c r="D7" s="224"/>
    </row>
    <row r="8" spans="1:5" customHeight="1" ht="14.45">
      <c r="A8" s="308" t="s">
        <v>5</v>
      </c>
      <c r="B8" s="308" t="s">
        <v>6</v>
      </c>
      <c r="C8" s="308" t="s">
        <v>895</v>
      </c>
      <c r="D8" s="308" t="s">
        <v>896</v>
      </c>
    </row>
    <row r="9" spans="1:5" customHeight="1" ht="14.95">
      <c r="A9" s="308"/>
      <c r="B9" s="308"/>
      <c r="C9" s="308"/>
      <c r="D9" s="308"/>
    </row>
    <row r="10" spans="1:5">
      <c r="A10" s="228">
        <v>1</v>
      </c>
      <c r="B10" s="228">
        <v>2</v>
      </c>
      <c r="C10" s="228">
        <v>3</v>
      </c>
      <c r="D10" s="228">
        <v>4</v>
      </c>
    </row>
    <row r="11" spans="1:5" customHeight="1" ht="41.45">
      <c r="A11" s="228" t="s">
        <v>897</v>
      </c>
      <c r="B11" s="228" t="s">
        <v>898</v>
      </c>
      <c r="C11" s="229" t="str">
        <f>D5</f>
        <v>ПЧЗ Насосная ПС 500 кВ</v>
      </c>
      <c r="D11" s="230">
        <f>'Прил.4 РМ'!C41/1000</f>
        <v>24031.2995284</v>
      </c>
      <c r="E11" s="231"/>
    </row>
    <row r="12" spans="1:5">
      <c r="A12" s="232"/>
      <c r="B12" s="233"/>
      <c r="C12" s="232"/>
      <c r="D12" s="232"/>
    </row>
    <row r="13" spans="1:5">
      <c r="A13" s="224" t="s">
        <v>899</v>
      </c>
      <c r="B13" s="234"/>
      <c r="C13" s="234"/>
      <c r="D13" s="232"/>
    </row>
    <row r="14" spans="1:5">
      <c r="A14" s="235" t="s">
        <v>77</v>
      </c>
      <c r="B14" s="234"/>
      <c r="C14" s="234"/>
      <c r="D14" s="232"/>
    </row>
    <row r="15" spans="1:5">
      <c r="A15" s="224"/>
      <c r="B15" s="234"/>
      <c r="C15" s="234"/>
      <c r="D15" s="232"/>
    </row>
    <row r="16" spans="1:5">
      <c r="A16" s="224" t="s">
        <v>78</v>
      </c>
      <c r="B16" s="234"/>
      <c r="C16" s="234"/>
      <c r="D16" s="232"/>
    </row>
    <row r="17" spans="1:5">
      <c r="A17" s="235" t="s">
        <v>79</v>
      </c>
      <c r="B17" s="234"/>
      <c r="C17" s="234"/>
      <c r="D17" s="232"/>
    </row>
  </sheetData>
  <mergeCells>
    <mergeCell ref="A3:D3"/>
    <mergeCell ref="A5:C5"/>
    <mergeCell ref="A6:C6"/>
    <mergeCell ref="A8:A9"/>
    <mergeCell ref="B8:B9"/>
    <mergeCell ref="C8:C9"/>
    <mergeCell ref="D8:D9"/>
  </mergeCells>
  <printOptions gridLines="false" gridLinesSet="true"/>
  <pageMargins left="0.7" right="0.7" top="0.75" bottom="0.75" header="0.3" footer="0.3"/>
  <pageSetup paperSize="9" orientation="portrait" scale="7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0"/>
  <sheetViews>
    <sheetView tabSelected="0" workbookViewId="0" zoomScale="85" zoomScaleNormal="85" showGridLines="true" showRowColHeaders="1">
      <selection activeCell="J16" sqref="J16"/>
    </sheetView>
  </sheetViews>
  <sheetFormatPr defaultRowHeight="14.4" defaultColWidth="9.125" outlineLevelRow="0" outlineLevelCol="0"/>
  <cols>
    <col min="2" max="2" width="40.75" customWidth="true" style="0"/>
    <col min="3" max="3" width="37" customWidth="true" style="0"/>
    <col min="4" max="4" width="32" customWidth="true" style="0"/>
  </cols>
  <sheetData>
    <row r="4" spans="1:5" customHeight="1" ht="15.8">
      <c r="B4" s="253" t="s">
        <v>900</v>
      </c>
      <c r="C4" s="253"/>
      <c r="D4" s="253"/>
    </row>
    <row r="5" spans="1:5" customHeight="1" ht="18.7">
      <c r="B5" s="124"/>
    </row>
    <row r="6" spans="1:5" customHeight="1" ht="15.8">
      <c r="B6" s="254" t="s">
        <v>901</v>
      </c>
      <c r="C6" s="254"/>
      <c r="D6" s="254"/>
    </row>
    <row r="7" spans="1:5">
      <c r="B7" s="309"/>
      <c r="C7" s="309"/>
      <c r="D7" s="309"/>
      <c r="E7" s="309"/>
    </row>
    <row r="8" spans="1:5">
      <c r="B8" s="139"/>
      <c r="C8" s="139"/>
      <c r="D8" s="139"/>
      <c r="E8" s="139"/>
    </row>
    <row r="9" spans="1:5" customHeight="1" ht="47.25">
      <c r="B9" s="116" t="s">
        <v>902</v>
      </c>
      <c r="C9" s="116" t="s">
        <v>903</v>
      </c>
      <c r="D9" s="116" t="s">
        <v>904</v>
      </c>
    </row>
    <row r="10" spans="1:5" customHeight="1" ht="15.8">
      <c r="B10" s="116">
        <v>1</v>
      </c>
      <c r="C10" s="116">
        <v>2</v>
      </c>
      <c r="D10" s="116">
        <v>3</v>
      </c>
    </row>
    <row r="11" spans="1:5" customHeight="1" ht="45">
      <c r="B11" s="116" t="s">
        <v>905</v>
      </c>
      <c r="C11" s="116" t="s">
        <v>906</v>
      </c>
      <c r="D11" s="116">
        <v>44.29</v>
      </c>
    </row>
    <row r="12" spans="1:5" customHeight="1" ht="29.25">
      <c r="B12" s="116" t="s">
        <v>907</v>
      </c>
      <c r="C12" s="116" t="s">
        <v>906</v>
      </c>
      <c r="D12" s="116">
        <v>13.47</v>
      </c>
    </row>
    <row r="13" spans="1:5" customHeight="1" ht="29.25">
      <c r="B13" s="116" t="s">
        <v>908</v>
      </c>
      <c r="C13" s="116" t="s">
        <v>906</v>
      </c>
      <c r="D13" s="116">
        <v>8.04</v>
      </c>
    </row>
    <row r="14" spans="1:5" customHeight="1" ht="30.75">
      <c r="B14" s="116" t="s">
        <v>909</v>
      </c>
      <c r="C14" s="110" t="s">
        <v>910</v>
      </c>
      <c r="D14" s="116">
        <v>6.26</v>
      </c>
    </row>
    <row r="15" spans="1:5" customHeight="1" ht="89.5">
      <c r="B15" s="116" t="s">
        <v>911</v>
      </c>
      <c r="C15" s="116" t="s">
        <v>912</v>
      </c>
      <c r="D15" s="126">
        <v>0.039</v>
      </c>
    </row>
    <row r="16" spans="1:5" customHeight="1" ht="78.8">
      <c r="B16" s="116" t="s">
        <v>913</v>
      </c>
      <c r="C16" s="116" t="s">
        <v>914</v>
      </c>
      <c r="D16" s="126">
        <v>0.021</v>
      </c>
    </row>
    <row r="17" spans="1:5" customHeight="1" ht="31.75">
      <c r="B17" s="116" t="s">
        <v>915</v>
      </c>
      <c r="C17" s="116" t="s">
        <v>916</v>
      </c>
      <c r="D17" s="126">
        <v>0.0214</v>
      </c>
    </row>
    <row r="18" spans="1:5" customHeight="1" ht="31.75">
      <c r="B18" s="116" t="s">
        <v>843</v>
      </c>
      <c r="C18" s="116" t="s">
        <v>917</v>
      </c>
      <c r="D18" s="126">
        <v>0.002</v>
      </c>
    </row>
    <row r="19" spans="1:5" customHeight="1" ht="23.95">
      <c r="B19" s="116" t="s">
        <v>845</v>
      </c>
      <c r="C19" s="116" t="s">
        <v>918</v>
      </c>
      <c r="D19" s="126">
        <v>0.03</v>
      </c>
    </row>
    <row r="20" spans="1:5" customHeight="1" ht="18.7">
      <c r="B20" s="125"/>
    </row>
    <row r="21" spans="1:5" customHeight="1" ht="18.7">
      <c r="B21" s="125"/>
    </row>
    <row r="22" spans="1:5" customHeight="1" ht="18.7">
      <c r="B22" s="125"/>
    </row>
    <row r="23" spans="1:5" customHeight="1" ht="18.7">
      <c r="B23" s="125"/>
    </row>
    <row r="26" spans="1:5">
      <c r="B26" s="4" t="s">
        <v>919</v>
      </c>
      <c r="C26" s="12"/>
    </row>
    <row r="27" spans="1:5">
      <c r="B27" s="28" t="s">
        <v>77</v>
      </c>
      <c r="C27" s="12"/>
    </row>
    <row r="28" spans="1:5">
      <c r="B28" s="4"/>
      <c r="C28" s="12"/>
    </row>
    <row r="29" spans="1:5">
      <c r="B29" s="4" t="s">
        <v>883</v>
      </c>
      <c r="C29" s="12"/>
    </row>
    <row r="30" spans="1:5">
      <c r="B30" s="28" t="s">
        <v>79</v>
      </c>
      <c r="C30" s="12"/>
    </row>
  </sheetData>
  <mergeCells>
    <mergeCell ref="B4:D4"/>
    <mergeCell ref="B6:D6"/>
    <mergeCell ref="B7:E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G13"/>
  <sheetViews>
    <sheetView tabSelected="0" workbookViewId="0" view="pageBreakPreview" showGridLines="true" showRowColHeaders="1">
      <selection activeCell="L7" sqref="L7"/>
    </sheetView>
  </sheetViews>
  <sheetFormatPr defaultRowHeight="14.4" defaultColWidth="9.125" outlineLevelRow="0" outlineLevelCol="0"/>
  <cols>
    <col min="2" max="2" width="44.875" customWidth="true" style="0"/>
    <col min="3" max="3" width="13" customWidth="true" style="0"/>
    <col min="4" max="4" width="22.875" customWidth="true" style="0"/>
    <col min="5" max="5" width="21.625" customWidth="true" style="0"/>
    <col min="6" max="6" width="43.875" customWidth="true" style="0"/>
  </cols>
  <sheetData>
    <row r="2" spans="1:7" customHeight="1" ht="17.5">
      <c r="A2" s="254" t="s">
        <v>920</v>
      </c>
      <c r="B2" s="254"/>
      <c r="C2" s="254"/>
      <c r="D2" s="254"/>
      <c r="E2" s="254"/>
      <c r="F2" s="254"/>
    </row>
    <row r="4" spans="1:7" customHeight="1" ht="18">
      <c r="A4" s="111" t="s">
        <v>921</v>
      </c>
      <c r="B4" s="112"/>
      <c r="C4" s="112"/>
      <c r="D4" s="112"/>
      <c r="E4" s="112"/>
      <c r="F4" s="112"/>
      <c r="G4" s="112"/>
    </row>
    <row r="5" spans="1:7" customHeight="1" ht="15.8">
      <c r="A5" s="113" t="s">
        <v>13</v>
      </c>
      <c r="B5" s="113" t="s">
        <v>922</v>
      </c>
      <c r="C5" s="113" t="s">
        <v>923</v>
      </c>
      <c r="D5" s="113" t="s">
        <v>924</v>
      </c>
      <c r="E5" s="113" t="s">
        <v>925</v>
      </c>
      <c r="F5" s="113" t="s">
        <v>926</v>
      </c>
      <c r="G5" s="112"/>
    </row>
    <row r="6" spans="1:7" customHeight="1" ht="15.8">
      <c r="A6" s="113">
        <v>1</v>
      </c>
      <c r="B6" s="113">
        <v>2</v>
      </c>
      <c r="C6" s="113">
        <v>3</v>
      </c>
      <c r="D6" s="113">
        <v>4</v>
      </c>
      <c r="E6" s="113">
        <v>5</v>
      </c>
      <c r="F6" s="113">
        <v>6</v>
      </c>
      <c r="G6" s="112"/>
    </row>
    <row r="7" spans="1:7" customHeight="1" ht="110.25">
      <c r="A7" s="114" t="s">
        <v>927</v>
      </c>
      <c r="B7" s="115" t="s">
        <v>928</v>
      </c>
      <c r="C7" s="116" t="s">
        <v>929</v>
      </c>
      <c r="D7" s="116" t="s">
        <v>930</v>
      </c>
      <c r="E7" s="117">
        <v>47872.94</v>
      </c>
      <c r="F7" s="115" t="s">
        <v>931</v>
      </c>
      <c r="G7" s="112"/>
    </row>
    <row r="8" spans="1:7" customHeight="1" ht="31.75">
      <c r="A8" s="114" t="s">
        <v>932</v>
      </c>
      <c r="B8" s="115" t="s">
        <v>933</v>
      </c>
      <c r="C8" s="116" t="s">
        <v>934</v>
      </c>
      <c r="D8" s="116" t="s">
        <v>935</v>
      </c>
      <c r="E8" s="117">
        <f>1973/12</f>
        <v>164.41666666667</v>
      </c>
      <c r="F8" s="115" t="s">
        <v>936</v>
      </c>
      <c r="G8" s="118"/>
    </row>
    <row r="9" spans="1:7" customHeight="1" ht="15.8">
      <c r="A9" s="114" t="s">
        <v>937</v>
      </c>
      <c r="B9" s="115" t="s">
        <v>938</v>
      </c>
      <c r="C9" s="116" t="s">
        <v>939</v>
      </c>
      <c r="D9" s="116" t="s">
        <v>930</v>
      </c>
      <c r="E9" s="117">
        <v>1</v>
      </c>
      <c r="F9" s="115"/>
      <c r="G9" s="118"/>
    </row>
    <row r="10" spans="1:7" customHeight="1" ht="15.8">
      <c r="A10" s="114" t="s">
        <v>940</v>
      </c>
      <c r="B10" s="115" t="s">
        <v>941</v>
      </c>
      <c r="C10" s="116"/>
      <c r="D10" s="116"/>
      <c r="E10" s="169">
        <v>3.6</v>
      </c>
      <c r="F10" s="115" t="s">
        <v>942</v>
      </c>
      <c r="G10" s="118"/>
    </row>
    <row r="11" spans="1:7" customHeight="1" ht="78.8">
      <c r="A11" s="114" t="s">
        <v>943</v>
      </c>
      <c r="B11" s="115" t="s">
        <v>944</v>
      </c>
      <c r="C11" s="116" t="s">
        <v>945</v>
      </c>
      <c r="D11" s="116" t="s">
        <v>930</v>
      </c>
      <c r="E11" s="170">
        <v>1.278</v>
      </c>
      <c r="F11" s="115" t="s">
        <v>946</v>
      </c>
      <c r="G11" s="112"/>
    </row>
    <row r="12" spans="1:7" customHeight="1" ht="78.8">
      <c r="A12" s="114" t="s">
        <v>947</v>
      </c>
      <c r="B12" s="119" t="s">
        <v>948</v>
      </c>
      <c r="C12" s="116" t="s">
        <v>949</v>
      </c>
      <c r="D12" s="116" t="s">
        <v>930</v>
      </c>
      <c r="E12" s="120">
        <v>1.139</v>
      </c>
      <c r="F12" s="121" t="s">
        <v>950</v>
      </c>
      <c r="G12" s="118" t="s">
        <v>951</v>
      </c>
    </row>
    <row r="13" spans="1:7" customHeight="1" ht="63">
      <c r="A13" s="114" t="s">
        <v>952</v>
      </c>
      <c r="B13" s="122" t="s">
        <v>953</v>
      </c>
      <c r="C13" s="116" t="s">
        <v>954</v>
      </c>
      <c r="D13" s="116" t="s">
        <v>955</v>
      </c>
      <c r="E13" s="123">
        <f>((E7*E9/E8)*E11)*E12</f>
        <v>423.83697188533</v>
      </c>
      <c r="F13" s="115" t="s">
        <v>956</v>
      </c>
      <c r="G13" s="112"/>
    </row>
  </sheetData>
  <mergeCells>
    <mergeCell ref="A2:F2"/>
  </mergeCells>
  <hyperlinks>
    <hyperlink ref="G12" r:id="rId_hyperlink_1"/>
  </hyperlinks>
  <printOptions gridLines="false" gridLinesSet="true"/>
  <pageMargins left="0.7" right="0.7" top="0.75" bottom="0.75" header="0.3" footer="0.3"/>
  <pageSetup paperSize="9" orientation="portrait" scale="56" fitToHeight="0" fitToWidth="1" pageOrder="downThenOver" r:id="rId2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40"/>
  <sheetViews>
    <sheetView tabSelected="0" workbookViewId="0" zoomScale="85" view="pageBreakPreview" showGridLines="true" showRowColHeaders="1" topLeftCell="A12">
      <selection activeCell="F8" sqref="F8"/>
    </sheetView>
  </sheetViews>
  <sheetFormatPr defaultRowHeight="14.4" defaultColWidth="9.125" outlineLevelRow="0" outlineLevelCol="0"/>
  <cols>
    <col min="1" max="1" width="5.75" customWidth="true" style="12"/>
    <col min="2" max="2" width="26.25" customWidth="true" style="12"/>
    <col min="3" max="3" width="36.125" customWidth="true" style="12"/>
    <col min="4" max="4" width="12.25" customWidth="true" style="12"/>
    <col min="5" max="5" width="15.125" customWidth="true" style="12"/>
    <col min="6" max="6" width="12.625" customWidth="true" style="12"/>
    <col min="7" max="7" width="16.625" customWidth="true" style="12"/>
    <col min="8" max="8" width="10.75" customWidth="true" style="12"/>
    <col min="9" max="9" width="10.75" customWidth="true" style="12"/>
    <col min="10" max="10" width="11.625" customWidth="true" style="12"/>
    <col min="11" max="11" width="9.125" style="12"/>
  </cols>
  <sheetData>
    <row r="1" spans="1:13" customHeight="1" ht="29.4" s="29" customFormat="1">
      <c r="A1" s="310" t="s">
        <v>957</v>
      </c>
      <c r="B1" s="310"/>
      <c r="C1" s="310"/>
      <c r="D1" s="310"/>
      <c r="E1" s="310"/>
      <c r="F1" s="310"/>
      <c r="G1" s="310"/>
      <c r="H1" s="310"/>
      <c r="I1" s="310"/>
    </row>
    <row r="2" spans="1:13" customHeight="1" ht="13.75" s="29" customFormat="1">
      <c r="A2" s="30"/>
      <c r="B2" s="30"/>
      <c r="C2" s="30"/>
      <c r="D2" s="30"/>
      <c r="E2" s="30"/>
      <c r="F2" s="30"/>
      <c r="G2" s="30"/>
      <c r="H2" s="30"/>
      <c r="I2" s="30"/>
    </row>
    <row r="3" spans="1:13" customHeight="1" ht="34.5" s="29" customFormat="1">
      <c r="A3" s="249" t="e">
        <f>#REF!</f>
        <v>#REF!</v>
      </c>
      <c r="B3" s="249"/>
      <c r="C3" s="249"/>
      <c r="D3" s="249"/>
      <c r="E3" s="249"/>
      <c r="F3" s="249"/>
      <c r="G3" s="249"/>
      <c r="H3" s="249"/>
      <c r="I3" s="249"/>
    </row>
    <row r="4" spans="1:13" customHeight="1" ht="15.8" s="4" customFormat="1">
      <c r="A4" s="311"/>
      <c r="B4" s="311"/>
      <c r="C4" s="311"/>
      <c r="D4" s="311"/>
      <c r="E4" s="311"/>
      <c r="F4" s="311"/>
      <c r="G4" s="311"/>
      <c r="H4" s="311"/>
      <c r="I4" s="311"/>
    </row>
    <row r="5" spans="1:13" customHeight="1" ht="36.7" s="31" customFormat="1">
      <c r="A5" s="312" t="s">
        <v>13</v>
      </c>
      <c r="B5" s="312" t="s">
        <v>958</v>
      </c>
      <c r="C5" s="312" t="s">
        <v>959</v>
      </c>
      <c r="D5" s="312" t="s">
        <v>960</v>
      </c>
      <c r="E5" s="306" t="s">
        <v>961</v>
      </c>
      <c r="F5" s="306"/>
      <c r="G5" s="306"/>
      <c r="H5" s="306"/>
      <c r="I5" s="306"/>
    </row>
    <row r="6" spans="1:13" customHeight="1" ht="31.75" s="25" customFormat="1">
      <c r="A6" s="312"/>
      <c r="B6" s="312"/>
      <c r="C6" s="312"/>
      <c r="D6" s="312"/>
      <c r="E6" s="32" t="s">
        <v>86</v>
      </c>
      <c r="F6" s="32" t="s">
        <v>87</v>
      </c>
      <c r="G6" s="32" t="s">
        <v>43</v>
      </c>
      <c r="H6" s="32" t="s">
        <v>962</v>
      </c>
      <c r="I6" s="32" t="s">
        <v>963</v>
      </c>
    </row>
    <row r="7" spans="1:13" customHeight="1" ht="13.1" s="25" customFormat="1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customHeight="1" ht="13.1" s="25" customFormat="1">
      <c r="A8" s="33">
        <v>1</v>
      </c>
      <c r="B8" s="34"/>
      <c r="C8" s="8" t="s">
        <v>833</v>
      </c>
      <c r="D8" s="35"/>
      <c r="E8" s="27">
        <f>'4.3 Отдел 2. Тех.характеристики'!H4/1000</f>
        <v>3.98509</v>
      </c>
      <c r="F8" s="27">
        <f>'4.3 Отдел 2. Тех.характеристики'!I4/1000</f>
        <v>3.15363</v>
      </c>
      <c r="G8" s="27">
        <f>'4.3 Отдел 2. Тех.характеристики'!J4/1000</f>
        <v>94.53214</v>
      </c>
      <c r="H8" s="27"/>
      <c r="I8" s="27">
        <f>E8+F8+G8</f>
        <v>101.67086</v>
      </c>
      <c r="K8" s="36"/>
      <c r="L8" s="36"/>
      <c r="M8" s="36"/>
    </row>
    <row r="9" spans="1:13" customHeight="1" ht="38.25" s="25" customFormat="1">
      <c r="A9" s="33">
        <v>2</v>
      </c>
      <c r="B9" s="8" t="s">
        <v>964</v>
      </c>
      <c r="C9" s="8" t="s">
        <v>965</v>
      </c>
      <c r="D9" s="109">
        <v>0.039</v>
      </c>
      <c r="E9" s="27">
        <f>E8*D9</f>
        <v>0.15541851</v>
      </c>
      <c r="F9" s="27">
        <f>F8*D9</f>
        <v>0.12299157</v>
      </c>
      <c r="G9" s="27"/>
      <c r="H9" s="27"/>
      <c r="I9" s="27">
        <f>E9+F9</f>
        <v>0.27841008</v>
      </c>
    </row>
    <row r="10" spans="1:13" customHeight="1" ht="13.1" s="25" customFormat="1">
      <c r="A10" s="33"/>
      <c r="B10" s="8"/>
      <c r="C10" s="8"/>
      <c r="D10" s="16"/>
      <c r="E10" s="27"/>
      <c r="F10" s="27"/>
      <c r="G10" s="27"/>
      <c r="H10" s="27"/>
      <c r="I10" s="27"/>
    </row>
    <row r="11" spans="1:13" customHeight="1" ht="50.95" s="25" customFormat="1">
      <c r="A11" s="33">
        <v>3</v>
      </c>
      <c r="B11" s="8" t="s">
        <v>966</v>
      </c>
      <c r="C11" s="8" t="s">
        <v>913</v>
      </c>
      <c r="D11" s="109">
        <v>0.021</v>
      </c>
      <c r="E11" s="27">
        <f>(E8+E9)*D11</f>
        <v>0.08695067871</v>
      </c>
      <c r="F11" s="27"/>
      <c r="G11" s="27"/>
      <c r="H11" s="27" t="s">
        <v>967</v>
      </c>
      <c r="I11" s="27">
        <f>E11</f>
        <v>0.08695067871</v>
      </c>
    </row>
    <row r="12" spans="1:13" customHeight="1" ht="45" s="25" customFormat="1">
      <c r="A12" s="33">
        <v>4</v>
      </c>
      <c r="B12" s="8" t="s">
        <v>968</v>
      </c>
      <c r="C12" s="8" t="s">
        <v>969</v>
      </c>
      <c r="D12" s="16">
        <v>0.056</v>
      </c>
      <c r="E12" s="27"/>
      <c r="F12" s="27"/>
      <c r="G12" s="27"/>
      <c r="H12" s="27">
        <f>(G8+F8)*D12</f>
        <v>5.47040312</v>
      </c>
      <c r="I12" s="27">
        <f>H12</f>
        <v>5.47040312</v>
      </c>
      <c r="J12" s="37" t="s">
        <v>970</v>
      </c>
    </row>
    <row r="13" spans="1:13" customHeight="1" ht="13.1" s="25" customFormat="1">
      <c r="A13" s="33"/>
      <c r="B13" s="8"/>
      <c r="C13" s="8"/>
      <c r="D13" s="16"/>
      <c r="E13" s="27"/>
      <c r="F13" s="27"/>
      <c r="G13" s="27"/>
      <c r="H13" s="27"/>
      <c r="I13" s="27"/>
    </row>
    <row r="14" spans="1:13" customHeight="1" ht="39.6" s="25" customFormat="1">
      <c r="A14" s="33">
        <v>5</v>
      </c>
      <c r="B14" s="8" t="s">
        <v>916</v>
      </c>
      <c r="C14" s="8" t="s">
        <v>971</v>
      </c>
      <c r="D14" s="109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0.0214</v>
      </c>
      <c r="E14" s="27"/>
      <c r="F14" s="27"/>
      <c r="G14" s="27"/>
      <c r="H14" s="27">
        <f>(I8+I9+I11+I12)*D14*1</f>
        <v>2.3006417510044</v>
      </c>
      <c r="I14" s="27">
        <f>H14</f>
        <v>2.3006417510044</v>
      </c>
      <c r="J14" s="38">
        <f>(I8+I9+I11+I12)/1000</f>
        <v>0.10750662387871</v>
      </c>
    </row>
    <row r="15" spans="1:13" customHeight="1" ht="13.1" s="25" customFormat="1">
      <c r="A15" s="33"/>
      <c r="B15" s="8"/>
      <c r="C15" s="8"/>
      <c r="D15" s="16"/>
      <c r="E15" s="27"/>
      <c r="F15" s="27"/>
      <c r="G15" s="27"/>
      <c r="H15" s="27"/>
      <c r="I15" s="27"/>
    </row>
    <row r="16" spans="1:13" customHeight="1" ht="39.6" s="25" customFormat="1">
      <c r="A16" s="33">
        <v>6</v>
      </c>
      <c r="B16" s="8" t="s">
        <v>972</v>
      </c>
      <c r="C16" s="8" t="s">
        <v>973</v>
      </c>
      <c r="D16" s="16">
        <v>0</v>
      </c>
      <c r="E16" s="27"/>
      <c r="F16" s="27"/>
      <c r="G16" s="27"/>
      <c r="H16" s="27">
        <f>(E8+F8)*D16</f>
        <v>0</v>
      </c>
      <c r="I16" s="27">
        <f>H16</f>
        <v>0</v>
      </c>
      <c r="J16" s="37" t="s">
        <v>974</v>
      </c>
    </row>
    <row r="17" spans="1:13" customHeight="1" ht="81.7" s="25" customFormat="1">
      <c r="A17" s="33">
        <v>7</v>
      </c>
      <c r="B17" s="8" t="s">
        <v>972</v>
      </c>
      <c r="C17" s="8" t="s">
        <v>975</v>
      </c>
      <c r="D17" s="16">
        <v>0</v>
      </c>
      <c r="E17" s="27"/>
      <c r="F17" s="27"/>
      <c r="G17" s="27"/>
      <c r="H17" s="27">
        <f>(E9+F9)*D17</f>
        <v>0</v>
      </c>
      <c r="I17" s="27">
        <f>H17</f>
        <v>0</v>
      </c>
      <c r="J17" s="37"/>
    </row>
    <row r="18" spans="1:13" customHeight="1" ht="13.1" s="25" customFormat="1">
      <c r="A18" s="33"/>
      <c r="B18" s="8"/>
      <c r="C18" s="8"/>
      <c r="D18" s="16"/>
      <c r="E18" s="27"/>
      <c r="F18" s="27"/>
      <c r="G18" s="27"/>
      <c r="H18" s="27"/>
      <c r="I18" s="27"/>
    </row>
    <row r="19" spans="1:13" customHeight="1" ht="13.1" s="40" customFormat="1">
      <c r="A19" s="33">
        <v>8</v>
      </c>
      <c r="B19" s="8"/>
      <c r="C19" s="8" t="s">
        <v>976</v>
      </c>
      <c r="D19" s="39"/>
      <c r="E19" s="27">
        <f>SUM(E8:E18)</f>
        <v>4.22745918871</v>
      </c>
      <c r="F19" s="27"/>
      <c r="G19" s="27">
        <f>SUM(G8:G18)</f>
        <v>94.53214</v>
      </c>
      <c r="H19" s="27">
        <f>SUM(H8:H18)</f>
        <v>7.7710448710044</v>
      </c>
      <c r="I19" s="27">
        <f>SUM(I8:I18)</f>
        <v>109.80726562971</v>
      </c>
    </row>
    <row r="20" spans="1:13" customHeight="1" ht="50.95" s="25" customFormat="1">
      <c r="A20" s="33">
        <v>9</v>
      </c>
      <c r="B20" s="8" t="s">
        <v>977</v>
      </c>
      <c r="C20" s="8" t="s">
        <v>845</v>
      </c>
      <c r="D20" s="41">
        <v>0.03</v>
      </c>
      <c r="E20" s="27">
        <f>E19*3%</f>
        <v>0.1268237756613</v>
      </c>
      <c r="F20" s="27"/>
      <c r="G20" s="27">
        <f>G19*3%</f>
        <v>2.8359642</v>
      </c>
      <c r="H20" s="27">
        <f>H19*3%</f>
        <v>0.23313134613013</v>
      </c>
      <c r="I20" s="27">
        <f>I19*3%</f>
        <v>3.2942179688914</v>
      </c>
    </row>
    <row r="21" spans="1:13" customHeight="1" ht="13.1" s="29" customFormat="1">
      <c r="A21" s="33">
        <v>10</v>
      </c>
      <c r="B21" s="8"/>
      <c r="C21" s="8" t="s">
        <v>978</v>
      </c>
      <c r="D21" s="42"/>
      <c r="E21" s="27"/>
      <c r="F21" s="27"/>
      <c r="G21" s="27"/>
      <c r="H21" s="27"/>
      <c r="I21" s="27">
        <f>I19+I20</f>
        <v>113.10148359861</v>
      </c>
    </row>
    <row r="22" spans="1:13" customHeight="1" ht="13.1" s="29" customFormat="1">
      <c r="A22" s="43"/>
      <c r="B22" s="44"/>
      <c r="C22" s="44"/>
      <c r="D22" s="45"/>
      <c r="E22" s="46"/>
      <c r="F22" s="46"/>
      <c r="G22" s="46"/>
      <c r="H22" s="46"/>
      <c r="I22" s="46"/>
    </row>
    <row r="23" spans="1:13">
      <c r="A23" s="4" t="s">
        <v>979</v>
      </c>
      <c r="B23" s="47"/>
      <c r="C23" s="4"/>
      <c r="D23" s="25"/>
      <c r="E23" s="25"/>
      <c r="F23" s="25"/>
      <c r="G23" s="25"/>
      <c r="H23" s="25"/>
      <c r="I23" s="25"/>
    </row>
    <row r="24" spans="1:13">
      <c r="A24" s="26" t="s">
        <v>980</v>
      </c>
      <c r="B24" s="47"/>
      <c r="C24" s="4"/>
      <c r="D24" s="25"/>
      <c r="E24" s="25"/>
      <c r="F24" s="25"/>
      <c r="G24" s="25"/>
      <c r="H24" s="25"/>
      <c r="I24" s="25"/>
    </row>
    <row r="25" spans="1:13">
      <c r="A25" s="4"/>
      <c r="B25" s="47"/>
      <c r="C25" s="4"/>
      <c r="D25" s="25"/>
      <c r="E25" s="25"/>
      <c r="F25" s="25"/>
      <c r="G25" s="25"/>
      <c r="H25" s="25"/>
      <c r="I25" s="25"/>
    </row>
    <row r="26" spans="1:13">
      <c r="A26" s="4" t="s">
        <v>981</v>
      </c>
      <c r="B26" s="47"/>
      <c r="C26" s="4"/>
      <c r="D26" s="25"/>
      <c r="E26" s="25"/>
      <c r="F26" s="25"/>
      <c r="G26" s="25"/>
      <c r="H26" s="25"/>
      <c r="I26" s="25"/>
    </row>
    <row r="27" spans="1:13">
      <c r="A27" s="26" t="s">
        <v>982</v>
      </c>
      <c r="B27" s="47"/>
      <c r="C27" s="4"/>
      <c r="D27" s="25"/>
      <c r="E27" s="25"/>
      <c r="F27" s="25"/>
      <c r="G27" s="25"/>
      <c r="H27" s="25"/>
      <c r="I27" s="25"/>
    </row>
    <row r="28" spans="1:13">
      <c r="B28" s="48"/>
    </row>
    <row r="29" spans="1:13">
      <c r="B29" s="48"/>
    </row>
    <row r="30" spans="1:13">
      <c r="B30" s="48"/>
    </row>
    <row r="31" spans="1:13">
      <c r="B31" s="48"/>
    </row>
    <row r="32" spans="1:13">
      <c r="B32" s="48"/>
    </row>
    <row r="33" spans="1:13">
      <c r="B33" s="48"/>
    </row>
    <row r="34" spans="1:13">
      <c r="B34" s="48"/>
    </row>
    <row r="35" spans="1:13">
      <c r="B35" s="48"/>
    </row>
    <row r="36" spans="1:13">
      <c r="B36" s="48"/>
    </row>
    <row r="37" spans="1:13">
      <c r="B37" s="48"/>
    </row>
    <row r="38" spans="1:13">
      <c r="B38" s="48"/>
    </row>
    <row r="39" spans="1:13">
      <c r="B39" s="48"/>
    </row>
    <row r="40" spans="1:13">
      <c r="B40" s="48"/>
    </row>
  </sheetData>
  <sheetProtection formatCells="0" formatColumns="0" formatRows="0" insertColumns="0" insertRows="0" insertHyperlinks="0" deleteColumns="0" deleteRows="0" sort="0" autoFilter="0" pivotTables="0"/>
  <mergeCells>
    <mergeCell ref="A1:I1"/>
    <mergeCell ref="A4:I4"/>
    <mergeCell ref="A5:A6"/>
    <mergeCell ref="B5:B6"/>
    <mergeCell ref="C5:C6"/>
    <mergeCell ref="D5:D6"/>
    <mergeCell ref="E5:I5"/>
    <mergeCell ref="A3:I3"/>
  </mergeCells>
  <printOptions gridLines="false" gridLinesSet="true"/>
  <pageMargins left="0.7" right="0.7" top="0.75" bottom="0.75" header="0.3" footer="0.3"/>
  <pageSetup paperSize="9" orientation="portrait" scale="55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P28"/>
  <sheetViews>
    <sheetView tabSelected="0" workbookViewId="0" zoomScale="70" zoomScaleNormal="70" view="pageBreakPreview" showGridLines="true" showRowColHeaders="1" topLeftCell="B1">
      <selection activeCell="E9" sqref="E9"/>
    </sheetView>
  </sheetViews>
  <sheetFormatPr defaultRowHeight="14.4" defaultColWidth="9.25" outlineLevelRow="1" outlineLevelCol="1"/>
  <cols>
    <col min="1" max="1" width="6.75" customWidth="true" style="0"/>
    <col min="2" max="2" width="6.75" customWidth="true" style="0"/>
    <col min="3" max="3" width="66.375" customWidth="true" style="0"/>
    <col min="4" max="4" width="12.75" customWidth="true" outlineLevel="1" style="0"/>
    <col min="5" max="5" width="13.75" customWidth="true" outlineLevel="1" style="0"/>
    <col min="6" max="6" width="12.25" customWidth="true" outlineLevel="1" style="0"/>
    <col min="7" max="7" width="14.375" customWidth="true" outlineLevel="1" style="0"/>
    <col min="8" max="8" width="12.75" customWidth="true" outlineLevel="1" style="0"/>
    <col min="9" max="9" width="17.375" customWidth="true" style="0"/>
    <col min="10" max="10" width="12.75" customWidth="true" style="0"/>
    <col min="11" max="11" width="14.25" customWidth="true" style="0"/>
    <col min="12" max="12" width="14.625" customWidth="true" style="0"/>
    <col min="13" max="13" width="14.25" customWidth="true" style="0"/>
    <col min="14" max="14" width="12.75" customWidth="true" style="0"/>
    <col min="15" max="15" width="26.125" customWidth="true" style="0"/>
    <col min="16" max="16" width="15.75" customWidth="true" style="0"/>
  </cols>
  <sheetData>
    <row r="2" spans="1:16">
      <c r="N2" s="314" t="s">
        <v>983</v>
      </c>
      <c r="O2" s="314"/>
    </row>
    <row r="3" spans="1:16">
      <c r="A3" s="315" t="s">
        <v>984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</row>
    <row r="5" spans="1:16" customHeight="1" ht="37.55">
      <c r="A5" s="316" t="s">
        <v>985</v>
      </c>
      <c r="B5" s="319" t="s">
        <v>986</v>
      </c>
      <c r="C5" s="322" t="s">
        <v>987</v>
      </c>
      <c r="D5" s="325" t="s">
        <v>988</v>
      </c>
      <c r="E5" s="326"/>
      <c r="F5" s="326"/>
      <c r="G5" s="326"/>
      <c r="H5" s="326"/>
      <c r="I5" s="325" t="s">
        <v>989</v>
      </c>
      <c r="J5" s="326"/>
      <c r="K5" s="326"/>
      <c r="L5" s="326"/>
      <c r="M5" s="326"/>
      <c r="N5" s="326"/>
      <c r="O5" s="49" t="s">
        <v>990</v>
      </c>
    </row>
    <row r="6" spans="1:16" customHeight="1" ht="149.95" s="52" customFormat="1">
      <c r="A6" s="317"/>
      <c r="B6" s="320"/>
      <c r="C6" s="323"/>
      <c r="D6" s="322" t="s">
        <v>991</v>
      </c>
      <c r="E6" s="327" t="s">
        <v>992</v>
      </c>
      <c r="F6" s="328"/>
      <c r="G6" s="329"/>
      <c r="H6" s="50" t="s">
        <v>993</v>
      </c>
      <c r="I6" s="330" t="s">
        <v>994</v>
      </c>
      <c r="J6" s="330" t="s">
        <v>991</v>
      </c>
      <c r="K6" s="331" t="s">
        <v>992</v>
      </c>
      <c r="L6" s="331"/>
      <c r="M6" s="331"/>
      <c r="N6" s="50" t="s">
        <v>993</v>
      </c>
      <c r="O6" s="51" t="s">
        <v>995</v>
      </c>
    </row>
    <row r="7" spans="1:16" customHeight="1" ht="30.75" s="52" customFormat="1">
      <c r="A7" s="318"/>
      <c r="B7" s="321"/>
      <c r="C7" s="324"/>
      <c r="D7" s="324"/>
      <c r="E7" s="49" t="s">
        <v>86</v>
      </c>
      <c r="F7" s="49" t="s">
        <v>87</v>
      </c>
      <c r="G7" s="49" t="s">
        <v>43</v>
      </c>
      <c r="H7" s="53" t="s">
        <v>996</v>
      </c>
      <c r="I7" s="330"/>
      <c r="J7" s="330"/>
      <c r="K7" s="49" t="s">
        <v>86</v>
      </c>
      <c r="L7" s="49" t="s">
        <v>87</v>
      </c>
      <c r="M7" s="49" t="s">
        <v>43</v>
      </c>
      <c r="N7" s="53" t="s">
        <v>996</v>
      </c>
      <c r="O7" s="49" t="s">
        <v>997</v>
      </c>
    </row>
    <row r="8" spans="1:16" s="52" customFormat="1">
      <c r="A8" s="54">
        <v>1</v>
      </c>
      <c r="B8" s="54">
        <v>2</v>
      </c>
      <c r="C8" s="54">
        <v>3</v>
      </c>
      <c r="D8" s="54">
        <v>4</v>
      </c>
      <c r="E8" s="54">
        <v>5</v>
      </c>
      <c r="F8" s="54">
        <v>6</v>
      </c>
      <c r="G8" s="54">
        <v>7</v>
      </c>
      <c r="H8" s="54">
        <v>8</v>
      </c>
      <c r="I8" s="54">
        <v>9</v>
      </c>
      <c r="J8" s="54">
        <v>10</v>
      </c>
      <c r="K8" s="54">
        <v>11</v>
      </c>
      <c r="L8" s="54">
        <v>12</v>
      </c>
      <c r="M8" s="54">
        <v>13</v>
      </c>
      <c r="N8" s="54">
        <v>14</v>
      </c>
      <c r="O8" s="54">
        <v>15</v>
      </c>
    </row>
    <row r="9" spans="1:16" customHeight="1" ht="102.75" s="52" customFormat="1">
      <c r="A9" s="54">
        <v>1</v>
      </c>
      <c r="B9" s="316" t="s">
        <v>998</v>
      </c>
      <c r="C9" s="55" t="s">
        <v>999</v>
      </c>
      <c r="D9" s="56">
        <f>SUM(E9:G9)</f>
        <v>583.41863</v>
      </c>
      <c r="E9" s="56">
        <f>340656.93/1000</f>
        <v>340.65693</v>
      </c>
      <c r="F9" s="56">
        <f>242761.7/1000</f>
        <v>242.7617</v>
      </c>
      <c r="G9" s="56">
        <v>0</v>
      </c>
      <c r="H9" s="56">
        <f>(713.49*0.8)/1000</f>
        <v>0.570792</v>
      </c>
      <c r="I9" s="56">
        <v>11656.26625</v>
      </c>
      <c r="J9" s="56">
        <f>K9+L9+M9</f>
        <v>3553.0194567</v>
      </c>
      <c r="K9" s="56">
        <f>E9*H22</f>
        <v>2074.6007037</v>
      </c>
      <c r="L9" s="56">
        <f>F9*H22</f>
        <v>1478.418753</v>
      </c>
      <c r="M9" s="56">
        <f>G9*H24</f>
        <v>0</v>
      </c>
      <c r="N9" s="56">
        <f>H9*H25</f>
        <v>6.48990504</v>
      </c>
      <c r="O9" s="57">
        <f>N9/(L9+M9)</f>
        <v>0.004389761038157</v>
      </c>
    </row>
    <row r="10" spans="1:16" customHeight="1" ht="54.7" s="52" customFormat="1">
      <c r="A10" s="53">
        <v>2</v>
      </c>
      <c r="B10" s="318"/>
      <c r="C10" s="58" t="s">
        <v>1000</v>
      </c>
      <c r="D10" s="56">
        <f>SUM(E10:G10)</f>
        <v>2228.558</v>
      </c>
      <c r="E10" s="56">
        <f>430700/1000</f>
        <v>430.7</v>
      </c>
      <c r="F10" s="56">
        <f>1797858/1000</f>
        <v>1797.858</v>
      </c>
      <c r="G10" s="56">
        <v>0</v>
      </c>
      <c r="H10" s="56">
        <f>1685/1000</f>
        <v>1.685</v>
      </c>
      <c r="I10" s="56">
        <f>15834377.63/1000</f>
        <v>15834.37763</v>
      </c>
      <c r="J10" s="56">
        <f>K10+L10+M10</f>
        <v>14351.91352</v>
      </c>
      <c r="K10" s="56">
        <f>E10*I22</f>
        <v>2773.708</v>
      </c>
      <c r="L10" s="56">
        <f>F10*I22</f>
        <v>11578.20552</v>
      </c>
      <c r="M10" s="56">
        <f>G10*I24</f>
        <v>0</v>
      </c>
      <c r="N10" s="56">
        <f>H10*I25</f>
        <v>14.1877</v>
      </c>
      <c r="O10" s="57">
        <f>N10/(L10+M10)</f>
        <v>0.0012253798721652</v>
      </c>
      <c r="P10" s="59"/>
    </row>
    <row r="11" spans="1:16" customHeight="1" ht="24.65" s="52" customFormat="1">
      <c r="A11" s="54">
        <v>3</v>
      </c>
      <c r="B11" s="316" t="s">
        <v>1001</v>
      </c>
      <c r="C11" s="58" t="s">
        <v>1002</v>
      </c>
      <c r="D11" s="56">
        <f>SUM(E11:G11)</f>
        <v>22378.08</v>
      </c>
      <c r="E11" s="56">
        <v>15858.44</v>
      </c>
      <c r="F11" s="56">
        <v>6519.64</v>
      </c>
      <c r="G11" s="56">
        <v>0</v>
      </c>
      <c r="H11" s="56">
        <v>9.71</v>
      </c>
      <c r="I11" s="56">
        <v>170961.79</v>
      </c>
      <c r="J11" s="56">
        <f>K11+L11+M11</f>
        <v>129121.5216</v>
      </c>
      <c r="K11" s="56">
        <f>E11*J22</f>
        <v>91503.1988</v>
      </c>
      <c r="L11" s="56">
        <f>F11*J22</f>
        <v>37618.3228</v>
      </c>
      <c r="M11" s="56">
        <f>G11*J24</f>
        <v>0</v>
      </c>
      <c r="N11" s="56">
        <f>H11*J25</f>
        <v>154.4861</v>
      </c>
      <c r="O11" s="57">
        <f>N11/(L11+M11)</f>
        <v>0.0041066716562919</v>
      </c>
    </row>
    <row r="12" spans="1:16" customHeight="1" ht="31.95" s="52" customFormat="1">
      <c r="A12" s="53">
        <v>4</v>
      </c>
      <c r="B12" s="318"/>
      <c r="C12" s="58" t="s">
        <v>1003</v>
      </c>
      <c r="D12" s="56">
        <f>SUM(E12:G12)</f>
        <v>93405.18</v>
      </c>
      <c r="E12" s="56">
        <v>53163.12</v>
      </c>
      <c r="F12" s="56">
        <v>40153.81</v>
      </c>
      <c r="G12" s="56">
        <v>88.25</v>
      </c>
      <c r="H12" s="56">
        <v>33.76</v>
      </c>
      <c r="I12" s="56">
        <v>725870.83</v>
      </c>
      <c r="J12" s="56">
        <f>K12+L12+M12</f>
        <v>538845.47</v>
      </c>
      <c r="K12" s="56">
        <v>306751.18</v>
      </c>
      <c r="L12" s="56">
        <v>231687.44</v>
      </c>
      <c r="M12" s="56">
        <v>406.85</v>
      </c>
      <c r="N12" s="56">
        <v>537.07</v>
      </c>
      <c r="O12" s="57">
        <f>N12/(L12+M12)</f>
        <v>0.0023140164284093</v>
      </c>
    </row>
    <row r="13" spans="1:16" customHeight="1" ht="59.95" s="52" customFormat="1">
      <c r="A13" s="54">
        <v>5</v>
      </c>
      <c r="B13" s="316" t="s">
        <v>1004</v>
      </c>
      <c r="C13" s="55" t="s">
        <v>1005</v>
      </c>
      <c r="D13" s="56">
        <f>SUM(E13:G13)</f>
        <v>52119.83</v>
      </c>
      <c r="E13" s="56">
        <v>15198.48</v>
      </c>
      <c r="F13" s="56">
        <v>31977.3</v>
      </c>
      <c r="G13" s="56">
        <v>4944.05</v>
      </c>
      <c r="H13" s="56">
        <v>16.13</v>
      </c>
      <c r="I13" s="56">
        <v>2024759.04</v>
      </c>
      <c r="J13" s="56">
        <f>K13+L13+M13</f>
        <v>267889.8634</v>
      </c>
      <c r="K13" s="56">
        <f>E13*L22</f>
        <v>79488.0504</v>
      </c>
      <c r="L13" s="56">
        <f>F13*L22</f>
        <v>167241.279</v>
      </c>
      <c r="M13" s="56">
        <f>G13*L24</f>
        <v>21160.534</v>
      </c>
      <c r="N13" s="56">
        <f>H13*L25</f>
        <v>231.4655</v>
      </c>
      <c r="O13" s="57">
        <f>N13/(L13+M13)</f>
        <v>0.0012285736337367</v>
      </c>
    </row>
    <row r="14" spans="1:16" customHeight="1" ht="39.6" s="52" customFormat="1">
      <c r="A14" s="53">
        <v>6</v>
      </c>
      <c r="B14" s="318"/>
      <c r="C14" s="58" t="s">
        <v>1006</v>
      </c>
      <c r="D14" s="56">
        <f>SUM(E14:G14)</f>
        <v>89613.6</v>
      </c>
      <c r="E14" s="56">
        <v>44598.73</v>
      </c>
      <c r="F14" s="56">
        <v>40017</v>
      </c>
      <c r="G14" s="56">
        <v>4997.87</v>
      </c>
      <c r="H14" s="56">
        <f>7.69+81.8</f>
        <v>89.49</v>
      </c>
      <c r="I14" s="56">
        <v>738823.57</v>
      </c>
      <c r="J14" s="56">
        <f>K14+L14+M14</f>
        <v>511472.8576</v>
      </c>
      <c r="K14" s="56">
        <f>E14*M22</f>
        <v>257334.6721</v>
      </c>
      <c r="L14" s="56">
        <f>F14*M22</f>
        <v>230898.09</v>
      </c>
      <c r="M14" s="56">
        <f>G14*M24</f>
        <v>23240.0955</v>
      </c>
      <c r="N14" s="56">
        <f>H14*M25</f>
        <v>1423.7859</v>
      </c>
      <c r="O14" s="57">
        <f>N14/(L14+M14)</f>
        <v>0.0056024083795152</v>
      </c>
    </row>
    <row r="15" spans="1:16" customHeight="1" ht="46.2" s="52" customFormat="1">
      <c r="A15" s="54">
        <v>7</v>
      </c>
      <c r="B15" s="60" t="s">
        <v>1007</v>
      </c>
      <c r="C15" s="58" t="s">
        <v>1008</v>
      </c>
      <c r="D15" s="56">
        <f>SUM(E15:G15)</f>
        <v>981651.63</v>
      </c>
      <c r="E15" s="56">
        <v>448398.51</v>
      </c>
      <c r="F15" s="56">
        <v>486091.33</v>
      </c>
      <c r="G15" s="56">
        <v>47161.79</v>
      </c>
      <c r="H15" s="56">
        <v>143.03</v>
      </c>
      <c r="I15" s="56">
        <v>16001185.93</v>
      </c>
      <c r="J15" s="56">
        <f>K15+L15+M15</f>
        <v>6269109.2307</v>
      </c>
      <c r="K15" s="56">
        <f>123094.59*N22+325303.92*N23</f>
        <v>2908258.6863</v>
      </c>
      <c r="L15" s="56">
        <f>110226.08*N22+375865.25*N23</f>
        <v>3158998.0832</v>
      </c>
      <c r="M15" s="56">
        <f>G15*N24</f>
        <v>201852.4612</v>
      </c>
      <c r="N15" s="56">
        <f>H15*N25</f>
        <v>1185.7187</v>
      </c>
      <c r="O15" s="57">
        <f>N15/(L15+M15)</f>
        <v>0.0003528031622756</v>
      </c>
    </row>
    <row r="16" spans="1:16" customHeight="1" ht="23.95" s="52" customFormat="1">
      <c r="A16" s="61"/>
      <c r="B16" s="61"/>
      <c r="C16" s="62" t="s">
        <v>1009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4">
        <f>(O9+O10+O11+O12+O13+O14+O15)/7</f>
        <v>0.0027456591672216</v>
      </c>
    </row>
    <row r="17" spans="1:16" customHeight="1" ht="18.7" s="52" customFormat="1">
      <c r="A17" s="65"/>
      <c r="B17" s="65"/>
      <c r="C17" s="66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8"/>
    </row>
    <row r="18" spans="1:16" customHeight="1" ht="21.25">
      <c r="C18" s="69" t="s">
        <v>1010</v>
      </c>
    </row>
    <row r="19" spans="1:16" customHeight="1" ht="30.75">
      <c r="L19" s="70"/>
    </row>
    <row r="20" spans="1:16" customHeight="1" ht="14.95" outlineLevel="1">
      <c r="G20" s="313" t="s">
        <v>1011</v>
      </c>
      <c r="H20" s="313"/>
      <c r="I20" s="313"/>
      <c r="J20" s="313"/>
      <c r="K20" s="313"/>
      <c r="L20" s="313"/>
      <c r="M20" s="313"/>
      <c r="N20" s="313"/>
    </row>
    <row r="21" spans="1:16" customHeight="1" ht="15.8" outlineLevel="1">
      <c r="G21" s="71"/>
      <c r="H21" s="71" t="s">
        <v>1012</v>
      </c>
      <c r="I21" s="71" t="s">
        <v>1013</v>
      </c>
      <c r="J21" s="71" t="s">
        <v>1014</v>
      </c>
      <c r="K21" s="72" t="s">
        <v>1015</v>
      </c>
      <c r="L21" s="71" t="s">
        <v>1016</v>
      </c>
      <c r="M21" s="71" t="s">
        <v>1017</v>
      </c>
      <c r="N21" s="71" t="s">
        <v>1018</v>
      </c>
      <c r="O21" s="65"/>
    </row>
    <row r="22" spans="1:16" customHeight="1" ht="15.8" outlineLevel="1">
      <c r="G22" s="333" t="s">
        <v>1019</v>
      </c>
      <c r="H22" s="332">
        <v>6.09</v>
      </c>
      <c r="I22" s="334">
        <v>6.44</v>
      </c>
      <c r="J22" s="332">
        <v>5.77</v>
      </c>
      <c r="K22" s="334">
        <v>5.77</v>
      </c>
      <c r="L22" s="332">
        <v>5.23</v>
      </c>
      <c r="M22" s="332">
        <v>5.77</v>
      </c>
      <c r="N22" s="73">
        <v>6.29</v>
      </c>
      <c r="O22" t="s">
        <v>1020</v>
      </c>
    </row>
    <row r="23" spans="1:16" customHeight="1" ht="15.8" outlineLevel="1">
      <c r="G23" s="333"/>
      <c r="H23" s="332"/>
      <c r="I23" s="334"/>
      <c r="J23" s="332"/>
      <c r="K23" s="334"/>
      <c r="L23" s="332"/>
      <c r="M23" s="332"/>
      <c r="N23" s="73">
        <v>6.56</v>
      </c>
      <c r="O23" t="s">
        <v>1021</v>
      </c>
    </row>
    <row r="24" spans="1:16" customHeight="1" ht="15.8" outlineLevel="1">
      <c r="G24" s="74" t="s">
        <v>1022</v>
      </c>
      <c r="H24" s="73">
        <v>4.46</v>
      </c>
      <c r="I24" s="72">
        <v>4.28</v>
      </c>
      <c r="J24" s="73">
        <v>4.65</v>
      </c>
      <c r="K24" s="72">
        <v>4.61</v>
      </c>
      <c r="L24" s="73">
        <v>4.28</v>
      </c>
      <c r="M24" s="73">
        <v>4.65</v>
      </c>
      <c r="N24" s="73">
        <v>4.28</v>
      </c>
      <c r="O24" s="65"/>
    </row>
    <row r="25" spans="1:16" customHeight="1" ht="15.8" outlineLevel="1">
      <c r="G25" s="74" t="s">
        <v>996</v>
      </c>
      <c r="H25" s="73">
        <v>11.37</v>
      </c>
      <c r="I25" s="73">
        <v>8.42</v>
      </c>
      <c r="J25" s="73">
        <v>15.91</v>
      </c>
      <c r="K25" s="72">
        <v>15.91</v>
      </c>
      <c r="L25" s="73">
        <v>14.35</v>
      </c>
      <c r="M25" s="73">
        <v>15.91</v>
      </c>
      <c r="N25" s="73">
        <v>8.29</v>
      </c>
      <c r="O25" s="65"/>
    </row>
    <row r="26" spans="1:16" customHeight="1" ht="31.75" outlineLevel="1">
      <c r="G26" s="74" t="s">
        <v>1023</v>
      </c>
      <c r="H26" s="73">
        <v>3.83</v>
      </c>
      <c r="I26" s="72">
        <v>3.95</v>
      </c>
      <c r="J26" s="73">
        <v>4.15</v>
      </c>
      <c r="K26" s="72">
        <v>3.83</v>
      </c>
      <c r="L26" s="72">
        <v>3.95</v>
      </c>
      <c r="M26" s="73">
        <v>4.09</v>
      </c>
      <c r="N26" s="73">
        <v>3.95</v>
      </c>
      <c r="O26" s="65"/>
    </row>
    <row r="27" spans="1:16" customHeight="1" ht="31.75" outlineLevel="1">
      <c r="G27" s="74" t="s">
        <v>1024</v>
      </c>
      <c r="H27" s="73">
        <v>3.91</v>
      </c>
      <c r="I27" s="72">
        <v>3.99</v>
      </c>
      <c r="J27" s="73">
        <v>4.23</v>
      </c>
      <c r="K27" s="72">
        <v>3.91</v>
      </c>
      <c r="L27" s="72">
        <v>3.99</v>
      </c>
      <c r="M27" s="73">
        <v>4.17</v>
      </c>
      <c r="N27" s="73">
        <v>3.99</v>
      </c>
      <c r="O27" s="65"/>
    </row>
    <row r="28" spans="1:16" customHeight="1" ht="15.8" outlineLevel="1">
      <c r="G28" s="74" t="s">
        <v>962</v>
      </c>
      <c r="H28" s="73">
        <v>8.79</v>
      </c>
      <c r="I28" s="73">
        <v>8.79</v>
      </c>
      <c r="J28" s="73">
        <v>9.19</v>
      </c>
      <c r="K28" s="72">
        <v>9.1</v>
      </c>
      <c r="L28" s="73">
        <v>8.42</v>
      </c>
      <c r="M28" s="73">
        <v>9.19</v>
      </c>
      <c r="N28" s="73">
        <v>8.42</v>
      </c>
      <c r="O28" s="65"/>
    </row>
  </sheetData>
  <mergeCells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rintOptions gridLines="false" gridLinesSet="true"/>
  <pageMargins left="0.7" right="0.7" top="0.75" bottom="0.75" header="0.3" footer="0.3"/>
  <pageSetup paperSize="9" orientation="landscape" scale="50" fitToHeight="0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R35"/>
  <sheetViews>
    <sheetView tabSelected="0" workbookViewId="0" zoomScale="80" zoomScaleNormal="80" view="pageBreakPreview" showGridLines="true" showRowColHeaders="1">
      <pane xSplit="3" ySplit="8" topLeftCell="D21" activePane="bottomRight" state="frozen"/>
      <selection pane="topRight"/>
      <selection pane="bottomLeft"/>
      <selection pane="bottomRight" activeCell="A1" sqref="A1"/>
    </sheetView>
  </sheetViews>
  <sheetFormatPr defaultRowHeight="14.4" defaultColWidth="9.25" outlineLevelRow="1" outlineLevelCol="0"/>
  <cols>
    <col min="1" max="1" width="9" customWidth="true" style="0"/>
    <col min="2" max="2" width="9.875" customWidth="true" style="0"/>
    <col min="3" max="3" width="65.125" customWidth="true" style="0"/>
    <col min="4" max="4" width="18.75" customWidth="true" style="0"/>
    <col min="5" max="5" width="17.75" customWidth="true" style="0"/>
    <col min="6" max="6" width="12.75" customWidth="true" style="0"/>
    <col min="7" max="7" width="14.25" customWidth="true" style="0"/>
    <col min="8" max="8" width="13.875" customWidth="true" style="0"/>
    <col min="9" max="9" width="17.125" customWidth="true" style="0"/>
    <col min="10" max="10" width="14.375" customWidth="true" style="0"/>
    <col min="11" max="11" width="12.75" customWidth="true" style="0"/>
    <col min="12" max="12" width="12.75" customWidth="true" style="0"/>
    <col min="13" max="13" width="15.75" customWidth="true" style="0"/>
    <col min="14" max="14" width="18.375" customWidth="true" style="0"/>
    <col min="15" max="15" width="18.75" customWidth="true" style="0"/>
    <col min="16" max="16" width="18" customWidth="true" style="0"/>
    <col min="17" max="17" width="17" customWidth="true" style="0"/>
    <col min="18" max="18" width="16.625" customWidth="true" style="65"/>
  </cols>
  <sheetData>
    <row r="2" spans="1:18" customHeight="1" ht="18.7">
      <c r="A2" s="350" t="s">
        <v>1025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</row>
    <row r="4" spans="1:18" customHeight="1" ht="36.7">
      <c r="A4" s="316" t="s">
        <v>985</v>
      </c>
      <c r="B4" s="319" t="s">
        <v>986</v>
      </c>
      <c r="C4" s="322" t="s">
        <v>1026</v>
      </c>
      <c r="D4" s="322" t="s">
        <v>1027</v>
      </c>
      <c r="E4" s="325" t="s">
        <v>1028</v>
      </c>
      <c r="F4" s="326"/>
      <c r="G4" s="326"/>
      <c r="H4" s="326"/>
      <c r="I4" s="326"/>
      <c r="J4" s="326"/>
      <c r="K4" s="326"/>
      <c r="L4" s="326"/>
      <c r="M4" s="326"/>
      <c r="N4" s="351" t="s">
        <v>1029</v>
      </c>
      <c r="O4" s="352"/>
      <c r="P4" s="352"/>
      <c r="Q4" s="352"/>
      <c r="R4" s="353"/>
    </row>
    <row r="5" spans="1:18" customHeight="1" ht="59.95">
      <c r="A5" s="317"/>
      <c r="B5" s="320"/>
      <c r="C5" s="323"/>
      <c r="D5" s="323"/>
      <c r="E5" s="330" t="s">
        <v>1030</v>
      </c>
      <c r="F5" s="330" t="s">
        <v>1031</v>
      </c>
      <c r="G5" s="327" t="s">
        <v>992</v>
      </c>
      <c r="H5" s="328"/>
      <c r="I5" s="328"/>
      <c r="J5" s="329"/>
      <c r="K5" s="330" t="s">
        <v>1032</v>
      </c>
      <c r="L5" s="330"/>
      <c r="M5" s="330"/>
      <c r="N5" s="76" t="s">
        <v>1033</v>
      </c>
      <c r="O5" s="76" t="s">
        <v>1034</v>
      </c>
      <c r="P5" s="76" t="s">
        <v>1035</v>
      </c>
      <c r="Q5" s="77" t="s">
        <v>1036</v>
      </c>
      <c r="R5" s="76" t="s">
        <v>1037</v>
      </c>
    </row>
    <row r="6" spans="1:18" customHeight="1" ht="49.75">
      <c r="A6" s="318"/>
      <c r="B6" s="321"/>
      <c r="C6" s="324"/>
      <c r="D6" s="324"/>
      <c r="E6" s="330"/>
      <c r="F6" s="330"/>
      <c r="G6" s="49" t="s">
        <v>86</v>
      </c>
      <c r="H6" s="49" t="s">
        <v>87</v>
      </c>
      <c r="I6" s="49" t="s">
        <v>43</v>
      </c>
      <c r="J6" s="49" t="s">
        <v>962</v>
      </c>
      <c r="K6" s="49" t="s">
        <v>1033</v>
      </c>
      <c r="L6" s="49" t="s">
        <v>1034</v>
      </c>
      <c r="M6" s="49" t="s">
        <v>1035</v>
      </c>
      <c r="N6" s="49" t="s">
        <v>1038</v>
      </c>
      <c r="O6" s="49" t="s">
        <v>1039</v>
      </c>
      <c r="P6" s="49" t="s">
        <v>1040</v>
      </c>
      <c r="Q6" s="50" t="s">
        <v>1041</v>
      </c>
      <c r="R6" s="49" t="s">
        <v>1042</v>
      </c>
    </row>
    <row r="7" spans="1:18" customHeight="1" ht="16.5">
      <c r="A7" s="54"/>
      <c r="B7" s="78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50"/>
      <c r="R7" s="53"/>
    </row>
    <row r="8" spans="1:18">
      <c r="A8" s="54">
        <v>1</v>
      </c>
      <c r="B8" s="54"/>
      <c r="C8" s="54">
        <v>2</v>
      </c>
      <c r="D8" s="54">
        <v>3</v>
      </c>
      <c r="E8" s="54">
        <v>4</v>
      </c>
      <c r="F8" s="54">
        <v>5</v>
      </c>
      <c r="G8" s="54">
        <v>6</v>
      </c>
      <c r="H8" s="54">
        <v>7</v>
      </c>
      <c r="I8" s="54">
        <v>8</v>
      </c>
      <c r="J8" s="54">
        <v>9</v>
      </c>
      <c r="K8" s="54">
        <v>10</v>
      </c>
      <c r="L8" s="54">
        <v>11</v>
      </c>
      <c r="M8" s="54">
        <v>12</v>
      </c>
      <c r="N8" s="54">
        <v>13</v>
      </c>
      <c r="O8" s="54">
        <v>14</v>
      </c>
      <c r="P8" s="54">
        <v>15</v>
      </c>
      <c r="Q8" s="54">
        <v>16</v>
      </c>
      <c r="R8" s="54">
        <v>17</v>
      </c>
    </row>
    <row r="9" spans="1:18" customHeight="1" ht="102.6">
      <c r="A9" s="316">
        <v>1</v>
      </c>
      <c r="B9" s="316" t="s">
        <v>1043</v>
      </c>
      <c r="C9" s="343" t="s">
        <v>999</v>
      </c>
      <c r="D9" s="55" t="s">
        <v>1044</v>
      </c>
      <c r="E9" s="56">
        <v>11656.26625</v>
      </c>
      <c r="F9" s="56">
        <f>G9+H9+I9</f>
        <v>9442.6878705</v>
      </c>
      <c r="G9" s="56">
        <f>G10*E28</f>
        <v>2331.6699567</v>
      </c>
      <c r="H9" s="56">
        <f>H10*E28</f>
        <v>1695.3600216</v>
      </c>
      <c r="I9" s="56">
        <f>I10*E30</f>
        <v>5415.6578922</v>
      </c>
      <c r="J9" s="56"/>
      <c r="K9" s="56">
        <f>K10*1.19*E33</f>
        <v>136.370440353</v>
      </c>
      <c r="L9" s="56">
        <v>0</v>
      </c>
      <c r="M9" s="56">
        <f>M10*1.266*E34</f>
        <v>66.5393500278</v>
      </c>
      <c r="N9" s="57">
        <f>K9/(G9+H9)</f>
        <v>0.033863775806946</v>
      </c>
      <c r="O9" s="57">
        <f>L9/(G9+H9)</f>
        <v>0</v>
      </c>
      <c r="P9" s="57">
        <f>M9/(G9+H9)</f>
        <v>0.01652318219292</v>
      </c>
      <c r="Q9" s="79">
        <v>0</v>
      </c>
      <c r="R9" s="80">
        <f>N9+O9+P9+Q9</f>
        <v>0.050386957999865</v>
      </c>
    </row>
    <row r="10" spans="1:18" customHeight="1" ht="72.7" hidden="true">
      <c r="A10" s="318"/>
      <c r="B10" s="317"/>
      <c r="C10" s="344"/>
      <c r="D10" s="55" t="s">
        <v>1045</v>
      </c>
      <c r="E10" s="56">
        <v>2179.82482</v>
      </c>
      <c r="F10" s="56">
        <f>G10+H10+I10</f>
        <v>1875.52594</v>
      </c>
      <c r="G10" s="56">
        <f>382868.63/1000</f>
        <v>382.86863</v>
      </c>
      <c r="H10" s="56">
        <f>278384.24/1000</f>
        <v>278.38424</v>
      </c>
      <c r="I10" s="56">
        <f>1214273.07/1000</f>
        <v>1214.27307</v>
      </c>
      <c r="J10" s="56"/>
      <c r="K10" s="56">
        <f>29920.89/1000</f>
        <v>29.92089</v>
      </c>
      <c r="L10" s="56">
        <v>0</v>
      </c>
      <c r="M10" s="56">
        <f>13442.13/1000</f>
        <v>13.44213</v>
      </c>
      <c r="N10" s="57">
        <f>K10/(G10+H10)</f>
        <v>0.045248786595059</v>
      </c>
      <c r="O10" s="57">
        <f>L10/(G10+H10)</f>
        <v>0</v>
      </c>
      <c r="P10" s="57">
        <f>M10/(G10+H10)</f>
        <v>0.020328274718868</v>
      </c>
      <c r="Q10" s="79">
        <v>0</v>
      </c>
      <c r="R10" s="80"/>
    </row>
    <row r="11" spans="1:18" customHeight="1" ht="192.75">
      <c r="A11" s="316">
        <v>2</v>
      </c>
      <c r="B11" s="317"/>
      <c r="C11" s="343" t="s">
        <v>1046</v>
      </c>
      <c r="D11" s="55" t="s">
        <v>1044</v>
      </c>
      <c r="E11" s="56">
        <v>688044.21</v>
      </c>
      <c r="F11" s="56">
        <f>G11+H11+I11</f>
        <v>521424.0684</v>
      </c>
      <c r="G11" s="56">
        <f>G12*F28</f>
        <v>99804.705</v>
      </c>
      <c r="H11" s="56">
        <f>H12*F28</f>
        <v>246917.9076</v>
      </c>
      <c r="I11" s="56">
        <f>I12*F30</f>
        <v>174701.4558</v>
      </c>
      <c r="J11" s="56"/>
      <c r="K11" s="56">
        <f>K12*1.19*F33</f>
        <v>8486.482977</v>
      </c>
      <c r="L11" s="56">
        <f>L12*1.19*F33</f>
        <v>11572.501647</v>
      </c>
      <c r="M11" s="56">
        <f>M12*1.266*F34</f>
        <v>3883.6190736</v>
      </c>
      <c r="N11" s="57">
        <f>K11/(G11+H11)</f>
        <v>0.024476289311971</v>
      </c>
      <c r="O11" s="57">
        <f>L11/(G11+H11)</f>
        <v>0.033376829853179</v>
      </c>
      <c r="P11" s="57">
        <f>M11/(G11+H11)</f>
        <v>0.011200939692042</v>
      </c>
      <c r="Q11" s="79">
        <v>0</v>
      </c>
      <c r="R11" s="80">
        <f>N11+O11+P11+Q11</f>
        <v>0.069054058857193</v>
      </c>
    </row>
    <row r="12" spans="1:18" customHeight="1" ht="100.9" hidden="true">
      <c r="A12" s="318"/>
      <c r="B12" s="318"/>
      <c r="C12" s="344"/>
      <c r="D12" s="55" t="s">
        <v>1045</v>
      </c>
      <c r="E12" s="56">
        <v>116471.93</v>
      </c>
      <c r="F12" s="56">
        <f>G12+H12+I12</f>
        <v>91466.75</v>
      </c>
      <c r="G12" s="56">
        <v>15053.5</v>
      </c>
      <c r="H12" s="56">
        <v>37242.52</v>
      </c>
      <c r="I12" s="56">
        <v>39170.73</v>
      </c>
      <c r="J12" s="56"/>
      <c r="K12" s="56">
        <v>1862.01</v>
      </c>
      <c r="L12" s="56">
        <v>2539.11</v>
      </c>
      <c r="M12" s="56">
        <v>784.56</v>
      </c>
      <c r="N12" s="57">
        <f>K12/(G12+H12)</f>
        <v>0.035605195194587</v>
      </c>
      <c r="O12" s="57">
        <f>L12/(G12+H12)</f>
        <v>0.048552643203058</v>
      </c>
      <c r="P12" s="57">
        <f>M12/(G12+H12)</f>
        <v>0.015002288893113</v>
      </c>
      <c r="Q12" s="79">
        <v>0</v>
      </c>
      <c r="R12" s="80"/>
    </row>
    <row r="13" spans="1:18" customHeight="1" ht="49.1">
      <c r="A13" s="316">
        <v>3</v>
      </c>
      <c r="B13" s="316" t="s">
        <v>1001</v>
      </c>
      <c r="C13" s="346" t="s">
        <v>1002</v>
      </c>
      <c r="D13" s="55" t="s">
        <v>1047</v>
      </c>
      <c r="E13" s="56">
        <v>170961.79</v>
      </c>
      <c r="F13" s="56">
        <f>G13+H13+I13</f>
        <v>129121.5216</v>
      </c>
      <c r="G13" s="56">
        <f>G14*G28</f>
        <v>91503.1988</v>
      </c>
      <c r="H13" s="56">
        <f>H14*G28</f>
        <v>37618.3228</v>
      </c>
      <c r="I13" s="56">
        <f>I14*G30</f>
        <v>0</v>
      </c>
      <c r="J13" s="56"/>
      <c r="K13" s="56">
        <f>K14*1.19*G33</f>
        <v>1996.481088</v>
      </c>
      <c r="L13" s="56">
        <f>L14*1.19*G33</f>
        <v>2500.729308</v>
      </c>
      <c r="M13" s="56">
        <f>M14*1.266*G34</f>
        <v>200.538198</v>
      </c>
      <c r="N13" s="57">
        <f>K13/(G13+H13)</f>
        <v>0.015462031915832</v>
      </c>
      <c r="O13" s="57">
        <f>L13/(G13+H13)</f>
        <v>0.019367254017862</v>
      </c>
      <c r="P13" s="57">
        <f>M13/(G13+H13)</f>
        <v>0.0015530966140659</v>
      </c>
      <c r="Q13" s="79">
        <v>0.0045614105389632</v>
      </c>
      <c r="R13" s="80">
        <f>N13+O13+P13+Q13</f>
        <v>0.040943793086723</v>
      </c>
    </row>
    <row r="14" spans="1:18" customHeight="1" ht="57.25" hidden="true">
      <c r="A14" s="318"/>
      <c r="B14" s="317"/>
      <c r="C14" s="347"/>
      <c r="D14" s="55" t="s">
        <v>1045</v>
      </c>
      <c r="E14" s="56">
        <v>29033.31</v>
      </c>
      <c r="F14" s="56">
        <f>G14+H14+I14</f>
        <v>22378.08</v>
      </c>
      <c r="G14" s="56">
        <v>15858.44</v>
      </c>
      <c r="H14" s="56">
        <v>6519.64</v>
      </c>
      <c r="I14" s="56">
        <v>0</v>
      </c>
      <c r="J14" s="56"/>
      <c r="K14" s="56">
        <v>420.48</v>
      </c>
      <c r="L14" s="56">
        <v>526.68</v>
      </c>
      <c r="M14" s="56">
        <v>39.7</v>
      </c>
      <c r="N14" s="57">
        <f>K14/(G14+H14)</f>
        <v>0.018789815748268</v>
      </c>
      <c r="O14" s="57">
        <f>L14/(G14+H14)</f>
        <v>0.023535531198387</v>
      </c>
      <c r="P14" s="57">
        <f>M14/(G14+H14)</f>
        <v>0.0017740574705247</v>
      </c>
      <c r="Q14" s="79">
        <v>0.0049753003421205</v>
      </c>
      <c r="R14" s="80"/>
    </row>
    <row r="15" spans="1:18" customHeight="1" ht="67.95">
      <c r="A15" s="316">
        <v>4</v>
      </c>
      <c r="B15" s="317"/>
      <c r="C15" s="348" t="s">
        <v>1003</v>
      </c>
      <c r="D15" s="58" t="s">
        <v>1047</v>
      </c>
      <c r="E15" s="56">
        <v>725870.83</v>
      </c>
      <c r="F15" s="56">
        <v>551588.679</v>
      </c>
      <c r="G15" s="56">
        <v>319494.33</v>
      </c>
      <c r="H15" s="56">
        <v>231687.44</v>
      </c>
      <c r="I15" s="56">
        <v>406.85</v>
      </c>
      <c r="J15" s="56"/>
      <c r="K15" s="56">
        <v>12415.71</v>
      </c>
      <c r="L15" s="56">
        <v>14808.286339</v>
      </c>
      <c r="M15" s="56">
        <v>3822.96</v>
      </c>
      <c r="N15" s="57">
        <f>K15/(G15+H15)</f>
        <v>0.022525618000755</v>
      </c>
      <c r="O15" s="57">
        <f>L15/(G15+H15)</f>
        <v>0.026866429814977</v>
      </c>
      <c r="P15" s="57">
        <f>M15/(G15+H15)</f>
        <v>0.0069359333128888</v>
      </c>
      <c r="Q15" s="79">
        <v>0.0035515340532282</v>
      </c>
      <c r="R15" s="80">
        <f>N15+O15+P15+Q15</f>
        <v>0.059879515181849</v>
      </c>
    </row>
    <row r="16" spans="1:18" customHeight="1" ht="67.95" hidden="true">
      <c r="A16" s="318"/>
      <c r="B16" s="318"/>
      <c r="C16" s="349"/>
      <c r="D16" s="58" t="s">
        <v>1045</v>
      </c>
      <c r="E16" s="56">
        <v>125177.97</v>
      </c>
      <c r="F16" s="56">
        <v>95613.7</v>
      </c>
      <c r="G16" s="56">
        <v>55371.64</v>
      </c>
      <c r="H16" s="56">
        <v>40153.81</v>
      </c>
      <c r="I16" s="56">
        <v>88.25</v>
      </c>
      <c r="J16" s="56"/>
      <c r="K16" s="56">
        <v>2724.12</v>
      </c>
      <c r="L16" s="56">
        <v>3249.07</v>
      </c>
      <c r="M16" s="56">
        <v>772.31</v>
      </c>
      <c r="N16" s="57">
        <f>K16/(G16+H16)</f>
        <v>0.028517217139516</v>
      </c>
      <c r="O16" s="57">
        <f>L16/(G16+H16)</f>
        <v>0.034012611298874</v>
      </c>
      <c r="P16" s="57">
        <f>M16/(G16+H16)</f>
        <v>0.0080848611548022</v>
      </c>
      <c r="Q16" s="79">
        <v>0.0038737899135989</v>
      </c>
      <c r="R16" s="80"/>
    </row>
    <row r="17" spans="1:18" customHeight="1" ht="67.95">
      <c r="A17" s="316">
        <v>5</v>
      </c>
      <c r="B17" s="331" t="s">
        <v>1004</v>
      </c>
      <c r="C17" s="343" t="s">
        <v>1048</v>
      </c>
      <c r="D17" s="55" t="s">
        <v>1049</v>
      </c>
      <c r="E17" s="56">
        <v>561932.85</v>
      </c>
      <c r="F17" s="56">
        <f>G17+H17+I17</f>
        <v>399667.2162</v>
      </c>
      <c r="G17" s="56">
        <f>G18*I28</f>
        <v>163785.296</v>
      </c>
      <c r="H17" s="56">
        <f>H18*I28</f>
        <v>147763.611</v>
      </c>
      <c r="I17" s="56">
        <f>I18*I30</f>
        <v>88118.3092</v>
      </c>
      <c r="J17" s="56"/>
      <c r="K17" s="56">
        <f>K18*1.19*I33</f>
        <v>19215.596995</v>
      </c>
      <c r="L17" s="56">
        <f>L18*1.19*I33</f>
        <v>0</v>
      </c>
      <c r="M17" s="56">
        <f>M18*1.266*I34</f>
        <v>1734.8322096</v>
      </c>
      <c r="N17" s="57">
        <f>K17/(G17+H17)</f>
        <v>0.061677626090982</v>
      </c>
      <c r="O17" s="57">
        <f>L17/(G17+H17)</f>
        <v>0</v>
      </c>
      <c r="P17" s="57">
        <f>M17/(G17+H17)</f>
        <v>0.0055684105147575</v>
      </c>
      <c r="Q17" s="79">
        <v>0.0055643872525604</v>
      </c>
      <c r="R17" s="80">
        <f>N17+O17+P17+Q17</f>
        <v>0.072810423858299</v>
      </c>
    </row>
    <row r="18" spans="1:18" customHeight="1" ht="67.95" hidden="true">
      <c r="A18" s="318"/>
      <c r="B18" s="331"/>
      <c r="C18" s="344"/>
      <c r="D18" s="55" t="s">
        <v>1045</v>
      </c>
      <c r="E18" s="56">
        <v>94393.09</v>
      </c>
      <c r="F18" s="56">
        <f>G18+H18+I18</f>
        <v>69651.21</v>
      </c>
      <c r="G18" s="56">
        <v>25792.96</v>
      </c>
      <c r="H18" s="56">
        <v>23269.86</v>
      </c>
      <c r="I18" s="56">
        <v>20588.39</v>
      </c>
      <c r="J18" s="56"/>
      <c r="K18" s="56">
        <v>4087.99</v>
      </c>
      <c r="L18" s="56">
        <v>0</v>
      </c>
      <c r="M18" s="56">
        <v>343.44</v>
      </c>
      <c r="N18" s="57">
        <f>K18/(G18+H18)</f>
        <v>0.083321545724441</v>
      </c>
      <c r="O18" s="57">
        <f>L18/(G18+H18)</f>
        <v>0</v>
      </c>
      <c r="P18" s="57">
        <f>M18/(G18+H18)</f>
        <v>0.0070000052993285</v>
      </c>
      <c r="Q18" s="79">
        <v>0.0094728844648147</v>
      </c>
      <c r="R18" s="80"/>
    </row>
    <row r="19" spans="1:18" customHeight="1" ht="67.95">
      <c r="A19" s="316">
        <v>6</v>
      </c>
      <c r="B19" s="331"/>
      <c r="C19" s="343" t="s">
        <v>1006</v>
      </c>
      <c r="D19" s="58" t="s">
        <v>1047</v>
      </c>
      <c r="E19" s="56">
        <v>738823.57</v>
      </c>
      <c r="F19" s="56">
        <v>511472.86</v>
      </c>
      <c r="G19" s="56">
        <v>257334.67</v>
      </c>
      <c r="H19" s="56">
        <v>230898.09</v>
      </c>
      <c r="I19" s="56">
        <v>23240.1</v>
      </c>
      <c r="J19" s="56"/>
      <c r="K19" s="56">
        <v>19584.188309</v>
      </c>
      <c r="L19" s="56">
        <v>0</v>
      </c>
      <c r="M19" s="56">
        <v>2539.568781</v>
      </c>
      <c r="N19" s="57">
        <f>K19/(G19+H19)</f>
        <v>0.040112401119908</v>
      </c>
      <c r="O19" s="57">
        <f>L19/(G19+H19)</f>
        <v>0</v>
      </c>
      <c r="P19" s="57">
        <f>M19/(G19+H19)</f>
        <v>0.005201553416858</v>
      </c>
      <c r="Q19" s="79">
        <v>0.0051286902198046</v>
      </c>
      <c r="R19" s="80">
        <f>N19+O19+P19+Q19</f>
        <v>0.050442644756571</v>
      </c>
    </row>
    <row r="20" spans="1:18" customHeight="1" ht="67.95" hidden="true">
      <c r="A20" s="318"/>
      <c r="B20" s="331"/>
      <c r="C20" s="344"/>
      <c r="D20" s="58" t="s">
        <v>1045</v>
      </c>
      <c r="E20" s="56">
        <v>128717.35</v>
      </c>
      <c r="F20" s="56">
        <v>89613.6</v>
      </c>
      <c r="G20" s="56">
        <v>44598.73</v>
      </c>
      <c r="H20" s="56">
        <v>40017</v>
      </c>
      <c r="I20" s="56">
        <v>4997.87</v>
      </c>
      <c r="J20" s="56"/>
      <c r="K20" s="56">
        <v>4023.79</v>
      </c>
      <c r="L20" s="56">
        <v>0</v>
      </c>
      <c r="M20" s="56">
        <v>481.05</v>
      </c>
      <c r="N20" s="57">
        <f>K20/(G20+H20)</f>
        <v>0.047553687712675</v>
      </c>
      <c r="O20" s="57">
        <f>L20/(G20+H20)</f>
        <v>0</v>
      </c>
      <c r="P20" s="57">
        <f>M20/(G20+H20)</f>
        <v>0.0056851131580381</v>
      </c>
      <c r="Q20" s="79">
        <v>0.0055940533914912</v>
      </c>
      <c r="R20" s="80"/>
    </row>
    <row r="21" spans="1:18" customHeight="1" ht="67.95">
      <c r="A21" s="316">
        <v>7</v>
      </c>
      <c r="B21" s="316" t="s">
        <v>1007</v>
      </c>
      <c r="C21" s="343" t="s">
        <v>1008</v>
      </c>
      <c r="D21" s="58" t="s">
        <v>1050</v>
      </c>
      <c r="E21" s="56">
        <v>16001185.93</v>
      </c>
      <c r="F21" s="56">
        <f>G21+H21+I21+J21</f>
        <v>6269109.2307</v>
      </c>
      <c r="G21" s="56">
        <f>123094.59*K28+325303.92*K29</f>
        <v>2908258.6863</v>
      </c>
      <c r="H21" s="56">
        <f>110226.08*K28+375865.25*K29</f>
        <v>3158998.0832</v>
      </c>
      <c r="I21" s="56">
        <f>I22*K30</f>
        <v>201852.4612</v>
      </c>
      <c r="J21" s="56">
        <f>J22*K35</f>
        <v>0</v>
      </c>
      <c r="K21" s="56">
        <f>K22*K33*1.19</f>
        <v>48825.362635</v>
      </c>
      <c r="L21" s="56">
        <f>L22*1.19*K33</f>
        <v>73238.02045</v>
      </c>
      <c r="M21" s="56">
        <f>M22*K34*1.266</f>
        <v>11514.8831238</v>
      </c>
      <c r="N21" s="57">
        <f>K21/(G21+H21)</f>
        <v>0.0080473539343916</v>
      </c>
      <c r="O21" s="57">
        <f>L21/(G21+H21)</f>
        <v>0.012071027027926</v>
      </c>
      <c r="P21" s="57">
        <f>M21/(G21+H21)</f>
        <v>0.001897873052231</v>
      </c>
      <c r="Q21" s="79">
        <v>0.00059210415358545</v>
      </c>
      <c r="R21" s="80">
        <f>N21+O21+P21+Q21</f>
        <v>0.022608358168134</v>
      </c>
    </row>
    <row r="22" spans="1:18" customHeight="1" ht="67.95" hidden="true">
      <c r="A22" s="318"/>
      <c r="B22" s="318"/>
      <c r="C22" s="344"/>
      <c r="D22" s="81" t="s">
        <v>1045</v>
      </c>
      <c r="E22" s="82">
        <v>2195184.47</v>
      </c>
      <c r="F22" s="82">
        <f>G22+H22+I22+J22</f>
        <v>981651.63</v>
      </c>
      <c r="G22" s="82">
        <f>123094.59+325303.92</f>
        <v>448398.51</v>
      </c>
      <c r="H22" s="82">
        <f>110226.08+375865.25</f>
        <v>486091.33</v>
      </c>
      <c r="I22" s="82">
        <v>47161.79</v>
      </c>
      <c r="J22" s="82">
        <v>0</v>
      </c>
      <c r="K22" s="82">
        <v>10387.27</v>
      </c>
      <c r="L22" s="82">
        <v>15580.9</v>
      </c>
      <c r="M22" s="82">
        <v>2279.57</v>
      </c>
      <c r="N22" s="83">
        <f>K22/(G22+H22)</f>
        <v>0.011115444551008</v>
      </c>
      <c r="O22" s="83">
        <f>L22/(G22+H22)</f>
        <v>0.016673161475998</v>
      </c>
      <c r="P22" s="83">
        <f>M22/(G22+H22)</f>
        <v>0.0024393737656902</v>
      </c>
      <c r="Q22" s="84">
        <v>0.00077662380726579</v>
      </c>
      <c r="R22" s="85"/>
    </row>
    <row r="23" spans="1:18" customHeight="1" ht="67.95">
      <c r="A23" s="61"/>
      <c r="B23" s="61"/>
      <c r="C23" s="86" t="s">
        <v>1051</v>
      </c>
      <c r="D23" s="62"/>
      <c r="E23" s="87"/>
      <c r="F23" s="87"/>
      <c r="G23" s="87"/>
      <c r="H23" s="87"/>
      <c r="I23" s="87"/>
      <c r="J23" s="87"/>
      <c r="K23" s="87"/>
      <c r="L23" s="87"/>
      <c r="M23" s="87"/>
      <c r="N23" s="64">
        <f>(N9+N11+N13+N15+N17+N19+N21)/7</f>
        <v>0.029452156597255</v>
      </c>
      <c r="O23" s="64">
        <f>(O9+O11+O13+O15+O17+O19+O21)/7</f>
        <v>0.013097362959135</v>
      </c>
      <c r="P23" s="64">
        <f>(P9+P11+P13+P15+P17+P19+P21)/7</f>
        <v>0.0069829983993947</v>
      </c>
      <c r="Q23" s="64">
        <f>(Q9+Q11+Q13+Q15+Q17+Q19+Q21)/7</f>
        <v>0.002771160888306</v>
      </c>
      <c r="R23" s="64">
        <f>N23+O23+P23+Q23</f>
        <v>0.052303678844091</v>
      </c>
    </row>
    <row r="24" spans="1:18" customHeight="1" ht="67.95">
      <c r="A24" s="65"/>
      <c r="B24" s="65"/>
      <c r="C24" s="70"/>
      <c r="D24" s="66"/>
      <c r="E24" s="67"/>
      <c r="F24" s="67"/>
      <c r="G24" s="67"/>
      <c r="H24" s="67"/>
      <c r="I24" s="67"/>
      <c r="J24" s="67"/>
      <c r="K24" s="67"/>
      <c r="L24" s="67"/>
      <c r="M24" s="67"/>
      <c r="N24" s="68"/>
      <c r="O24" s="68"/>
      <c r="P24" s="68"/>
      <c r="Q24" s="67"/>
    </row>
    <row r="26" spans="1:18" customHeight="1" ht="14.45" outlineLevel="1">
      <c r="D26" s="345" t="s">
        <v>1052</v>
      </c>
      <c r="E26" s="345"/>
      <c r="F26" s="345"/>
      <c r="G26" s="345"/>
      <c r="H26" s="345"/>
      <c r="I26" s="345"/>
      <c r="J26" s="345"/>
      <c r="K26" s="345"/>
      <c r="L26" s="70"/>
      <c r="R26" s="88"/>
    </row>
    <row r="27" spans="1:18" outlineLevel="1">
      <c r="D27" s="89"/>
      <c r="E27" s="89" t="s">
        <v>1012</v>
      </c>
      <c r="F27" s="89" t="s">
        <v>1013</v>
      </c>
      <c r="G27" s="89" t="s">
        <v>1014</v>
      </c>
      <c r="H27" s="90" t="s">
        <v>1015</v>
      </c>
      <c r="I27" s="90" t="s">
        <v>1016</v>
      </c>
      <c r="J27" s="90" t="s">
        <v>1017</v>
      </c>
      <c r="K27" s="61" t="s">
        <v>1018</v>
      </c>
    </row>
    <row r="28" spans="1:18" outlineLevel="1">
      <c r="D28" s="339" t="s">
        <v>1019</v>
      </c>
      <c r="E28" s="337">
        <v>6.09</v>
      </c>
      <c r="F28" s="341">
        <v>6.63</v>
      </c>
      <c r="G28" s="337">
        <v>5.77</v>
      </c>
      <c r="H28" s="335">
        <v>5.77</v>
      </c>
      <c r="I28" s="335">
        <v>6.35</v>
      </c>
      <c r="J28" s="337">
        <v>5.77</v>
      </c>
      <c r="K28" s="91">
        <v>6.29</v>
      </c>
      <c r="L28" t="s">
        <v>1020</v>
      </c>
    </row>
    <row r="29" spans="1:18" outlineLevel="1">
      <c r="D29" s="340"/>
      <c r="E29" s="338"/>
      <c r="F29" s="342"/>
      <c r="G29" s="338"/>
      <c r="H29" s="336"/>
      <c r="I29" s="336"/>
      <c r="J29" s="338"/>
      <c r="K29" s="91">
        <v>6.56</v>
      </c>
      <c r="L29" t="s">
        <v>1021</v>
      </c>
    </row>
    <row r="30" spans="1:18" outlineLevel="1">
      <c r="D30" s="92" t="s">
        <v>1022</v>
      </c>
      <c r="E30" s="91">
        <v>4.46</v>
      </c>
      <c r="F30" s="89">
        <v>4.46</v>
      </c>
      <c r="G30" s="91">
        <v>4.65</v>
      </c>
      <c r="H30" s="90">
        <v>4.61</v>
      </c>
      <c r="I30" s="90">
        <v>4.28</v>
      </c>
      <c r="J30" s="91">
        <v>4.65</v>
      </c>
      <c r="K30" s="91">
        <v>4.28</v>
      </c>
    </row>
    <row r="31" spans="1:18" outlineLevel="1">
      <c r="D31" s="339" t="s">
        <v>996</v>
      </c>
      <c r="E31" s="337">
        <v>11.37</v>
      </c>
      <c r="F31" s="341">
        <v>13.56</v>
      </c>
      <c r="G31" s="337">
        <v>15.91</v>
      </c>
      <c r="H31" s="335">
        <v>15.91</v>
      </c>
      <c r="I31" s="335">
        <v>14.03</v>
      </c>
      <c r="J31" s="337">
        <v>15.91</v>
      </c>
      <c r="K31" s="91">
        <v>8.29</v>
      </c>
      <c r="L31" t="s">
        <v>1020</v>
      </c>
    </row>
    <row r="32" spans="1:18" outlineLevel="1">
      <c r="D32" s="340"/>
      <c r="E32" s="338"/>
      <c r="F32" s="342"/>
      <c r="G32" s="338"/>
      <c r="H32" s="336"/>
      <c r="I32" s="336"/>
      <c r="J32" s="338"/>
      <c r="K32" s="91">
        <v>11.84</v>
      </c>
      <c r="L32" t="s">
        <v>1021</v>
      </c>
    </row>
    <row r="33" spans="1:18" customHeight="1" ht="14.95" outlineLevel="1">
      <c r="D33" s="93" t="s">
        <v>1023</v>
      </c>
      <c r="E33" s="94">
        <v>3.83</v>
      </c>
      <c r="F33" s="95">
        <v>3.83</v>
      </c>
      <c r="G33" s="94">
        <v>3.99</v>
      </c>
      <c r="H33" s="96">
        <v>3.83</v>
      </c>
      <c r="I33" s="96">
        <v>3.95</v>
      </c>
      <c r="J33" s="94">
        <v>4.09</v>
      </c>
      <c r="K33" s="91">
        <v>3.95</v>
      </c>
      <c r="L33" t="s">
        <v>1053</v>
      </c>
    </row>
    <row r="34" spans="1:18" outlineLevel="1">
      <c r="D34" s="93" t="s">
        <v>1024</v>
      </c>
      <c r="E34" s="94">
        <v>3.91</v>
      </c>
      <c r="F34" s="95">
        <v>3.91</v>
      </c>
      <c r="G34" s="94">
        <v>3.99</v>
      </c>
      <c r="H34" s="96">
        <v>3.91</v>
      </c>
      <c r="I34" s="96">
        <v>3.99</v>
      </c>
      <c r="J34" s="94">
        <v>4.17</v>
      </c>
      <c r="K34" s="91">
        <v>3.99</v>
      </c>
      <c r="L34" t="s">
        <v>1053</v>
      </c>
    </row>
    <row r="35" spans="1:18" outlineLevel="1">
      <c r="D35" s="92" t="s">
        <v>962</v>
      </c>
      <c r="E35" s="91">
        <v>8.79</v>
      </c>
      <c r="F35" s="89">
        <v>8.79</v>
      </c>
      <c r="G35" s="91">
        <v>9.19</v>
      </c>
      <c r="H35" s="90">
        <v>9.1</v>
      </c>
      <c r="I35" s="90">
        <v>8.42</v>
      </c>
      <c r="J35" s="91">
        <v>9.19</v>
      </c>
      <c r="K35" s="91">
        <v>8.42</v>
      </c>
    </row>
  </sheetData>
  <mergeCells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rintOptions gridLines="false" gridLinesSet="true"/>
  <pageMargins left="0.7" right="0.7" top="0.75" bottom="0.75" header="0.3" footer="0.3"/>
  <pageSetup paperSize="9" orientation="landscape" scale="41" fitToHeight="0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8"/>
  <sheetViews>
    <sheetView tabSelected="0" workbookViewId="0" view="pageBreakPreview" showGridLines="true" showRowColHeaders="1">
      <selection activeCell="C23" sqref="C23"/>
    </sheetView>
  </sheetViews>
  <sheetFormatPr defaultRowHeight="14.4" defaultColWidth="9.125" outlineLevelRow="1" outlineLevelCol="0"/>
  <cols>
    <col min="1" max="1" width="15.75" customWidth="true" style="4"/>
    <col min="2" max="2" width="32.625" customWidth="true" style="4"/>
    <col min="3" max="3" width="37.375" customWidth="true" style="4"/>
    <col min="4" max="4" width="25.75" customWidth="true" style="4"/>
    <col min="5" max="5" width="9.125" style="4"/>
  </cols>
  <sheetData>
    <row r="2" spans="1:5">
      <c r="A2" s="246" t="s">
        <v>10</v>
      </c>
      <c r="B2" s="246"/>
      <c r="C2" s="246"/>
      <c r="D2" s="246"/>
    </row>
    <row r="3" spans="1:5">
      <c r="A3" s="1"/>
      <c r="B3" s="1"/>
      <c r="C3" s="1"/>
    </row>
    <row r="4" spans="1:5" customHeight="1" ht="63.7">
      <c r="A4" s="5" t="s">
        <v>11</v>
      </c>
      <c r="B4" s="1" t="str">
        <f>'4.1 Отдел 1'!A10</f>
        <v>И5-05-02</v>
      </c>
      <c r="C4" s="249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49"/>
    </row>
    <row r="5" spans="1:5">
      <c r="A5" s="5"/>
      <c r="B5" s="1"/>
      <c r="C5" s="1"/>
    </row>
    <row r="6" spans="1:5">
      <c r="A6" s="246" t="s">
        <v>12</v>
      </c>
      <c r="B6" s="246"/>
      <c r="C6" s="246"/>
      <c r="D6" s="246"/>
    </row>
    <row r="8" spans="1:5" hidden="true" outlineLevel="1">
      <c r="A8" s="6" t="s">
        <v>13</v>
      </c>
      <c r="B8" s="6" t="s">
        <v>14</v>
      </c>
      <c r="C8" s="6" t="s">
        <v>15</v>
      </c>
    </row>
    <row r="9" spans="1:5" hidden="true" outlineLevel="1">
      <c r="A9" s="7" t="s">
        <v>16</v>
      </c>
      <c r="B9" s="8" t="s">
        <v>17</v>
      </c>
      <c r="C9" s="3" t="e">
        <f>#REF!/1000</f>
        <v>#REF!</v>
      </c>
    </row>
    <row r="10" spans="1:5" hidden="true" outlineLevel="1">
      <c r="A10" s="7" t="s">
        <v>18</v>
      </c>
      <c r="B10" s="8" t="s">
        <v>19</v>
      </c>
      <c r="C10" s="3"/>
    </row>
    <row r="11" spans="1:5" customHeight="1" ht="39.25" hidden="true" outlineLevel="1">
      <c r="A11" s="7" t="s">
        <v>20</v>
      </c>
      <c r="B11" s="8" t="s">
        <v>21</v>
      </c>
      <c r="C11" s="3" t="e">
        <f>#REF!/1000</f>
        <v>#REF!</v>
      </c>
    </row>
    <row r="12" spans="1:5" customHeight="1" ht="25.5" hidden="true" outlineLevel="1">
      <c r="A12" s="7" t="s">
        <v>22</v>
      </c>
      <c r="B12" s="8" t="s">
        <v>23</v>
      </c>
      <c r="C12" s="3" t="e">
        <f>#REF!/1000</f>
        <v>#REF!</v>
      </c>
    </row>
    <row r="13" spans="1:5" customHeight="1" ht="26.5" hidden="true" outlineLevel="1">
      <c r="A13" s="7" t="s">
        <v>24</v>
      </c>
      <c r="B13" s="8" t="s">
        <v>25</v>
      </c>
      <c r="C13" s="3" t="e">
        <f>#REF!/1000</f>
        <v>#REF!</v>
      </c>
    </row>
    <row r="14" spans="1:5" customHeight="1" ht="25.5" hidden="true" outlineLevel="1">
      <c r="A14" s="7" t="s">
        <v>26</v>
      </c>
      <c r="B14" s="8" t="s">
        <v>27</v>
      </c>
      <c r="C14" s="3">
        <v>0</v>
      </c>
    </row>
    <row r="15" spans="1:5" collapsed="true">
      <c r="A15" s="250" t="s">
        <v>5</v>
      </c>
      <c r="B15" s="251" t="s">
        <v>15</v>
      </c>
      <c r="C15" s="251"/>
      <c r="D15" s="251"/>
    </row>
    <row r="16" spans="1:5">
      <c r="A16" s="250"/>
      <c r="B16" s="250" t="s">
        <v>17</v>
      </c>
      <c r="C16" s="251" t="s">
        <v>28</v>
      </c>
      <c r="D16" s="251"/>
    </row>
    <row r="17" spans="1:5" customHeight="1" ht="39.25">
      <c r="A17" s="250"/>
      <c r="B17" s="250"/>
      <c r="C17" s="9" t="s">
        <v>21</v>
      </c>
      <c r="D17" s="10" t="s">
        <v>23</v>
      </c>
    </row>
    <row r="18" spans="1: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>
    <mergeCell ref="A2:D2"/>
    <mergeCell ref="C4:D4"/>
    <mergeCell ref="A6:D6"/>
    <mergeCell ref="A15:A17"/>
    <mergeCell ref="B15:D15"/>
    <mergeCell ref="B16:B17"/>
    <mergeCell ref="C16:D16"/>
  </mergeCells>
  <printOptions gridLines="false" gridLinesSet="true"/>
  <pageMargins left="0.7" right="0.7" top="0.75" bottom="0.75" header="0.3" footer="0.3"/>
  <pageSetup paperSize="9" orientation="portrait" scale="77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13"/>
  <sheetViews>
    <sheetView tabSelected="0" workbookViewId="0" zoomScale="85" zoomScaleNormal="85" view="pageBreakPreview" showGridLines="true" showRowColHeaders="1">
      <selection activeCell="H3" sqref="H3:J4"/>
    </sheetView>
  </sheetViews>
  <sheetFormatPr defaultRowHeight="14.4" defaultColWidth="9.125" outlineLevelRow="0" outlineLevelCol="0"/>
  <cols>
    <col min="1" max="1" width="6.625" customWidth="true" style="4"/>
    <col min="2" max="2" width="40.75" customWidth="true" style="4"/>
    <col min="3" max="3" width="47" customWidth="true" style="4"/>
    <col min="4" max="4" width="20.75" customWidth="true" style="4"/>
    <col min="5" max="5" width="9.125" style="4"/>
    <col min="6" max="6" width="12.875" customWidth="true" style="11"/>
    <col min="7" max="7" width="11.125" customWidth="true" style="11"/>
    <col min="8" max="8" width="9.625" customWidth="true" style="11"/>
    <col min="9" max="9" width="13.125" customWidth="true" style="12"/>
    <col min="10" max="10" width="9.125" style="12"/>
  </cols>
  <sheetData>
    <row r="2" spans="1:10">
      <c r="A2" s="252" t="s">
        <v>29</v>
      </c>
      <c r="B2" s="252"/>
      <c r="C2" s="252"/>
      <c r="D2" s="252"/>
    </row>
    <row r="3" spans="1:10">
      <c r="H3" s="103" t="s">
        <v>30</v>
      </c>
      <c r="I3" s="103" t="s">
        <v>31</v>
      </c>
      <c r="J3" s="103" t="s">
        <v>32</v>
      </c>
    </row>
    <row r="4" spans="1:10" customHeight="1" ht="26.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7">
        <v>3985.09</v>
      </c>
      <c r="I4" s="97">
        <v>3153.63</v>
      </c>
      <c r="J4" s="97">
        <v>94532.14</v>
      </c>
    </row>
    <row r="5" spans="1:10" customHeight="1" ht="102.25">
      <c r="A5" s="2">
        <v>1</v>
      </c>
      <c r="B5" s="8" t="s">
        <v>37</v>
      </c>
      <c r="C5" s="8" t="s">
        <v>38</v>
      </c>
      <c r="D5" s="16">
        <f>G5</f>
        <v>0.021285154861481</v>
      </c>
      <c r="F5" s="14">
        <v>2164.08</v>
      </c>
      <c r="G5" s="17">
        <f>F5/$G$4</f>
        <v>0.021285154861481</v>
      </c>
      <c r="H5" s="15"/>
      <c r="I5" s="15"/>
    </row>
    <row r="6" spans="1:10" customHeight="1" ht="38.25">
      <c r="A6" s="2">
        <v>2</v>
      </c>
      <c r="B6" s="8" t="s">
        <v>39</v>
      </c>
      <c r="C6" s="8" t="s">
        <v>40</v>
      </c>
      <c r="D6" s="16">
        <f>G6</f>
        <v>0.017910835021952</v>
      </c>
      <c r="F6" s="14">
        <v>1821.01</v>
      </c>
      <c r="G6" s="17">
        <f>F6/$G$4</f>
        <v>0.017910835021952</v>
      </c>
      <c r="H6" s="15"/>
      <c r="I6" s="15"/>
    </row>
    <row r="7" spans="1:10" customHeight="1" ht="25.5">
      <c r="A7" s="101">
        <v>3</v>
      </c>
      <c r="B7" s="108" t="s">
        <v>41</v>
      </c>
      <c r="C7" s="108" t="s">
        <v>42</v>
      </c>
      <c r="D7" s="16">
        <f>G7</f>
        <v>0.031018032108708</v>
      </c>
      <c r="F7" s="18">
        <v>3153.63</v>
      </c>
      <c r="G7" s="17">
        <f>F7/$G$4</f>
        <v>0.031018032108708</v>
      </c>
      <c r="H7" s="15"/>
      <c r="I7" s="19"/>
    </row>
    <row r="8" spans="1:10" customHeight="1" ht="70.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customHeight="1" ht="14.45">
      <c r="F9" s="102">
        <f>SUM(F5:F8)</f>
        <v>101670.86</v>
      </c>
      <c r="G9" s="17">
        <f>SUM(G5:G8)</f>
        <v>1</v>
      </c>
      <c r="H9" s="15"/>
      <c r="I9" s="19"/>
    </row>
    <row r="10" spans="1:10" customHeight="1" ht="14.45">
      <c r="F10" s="20"/>
      <c r="G10" s="21"/>
      <c r="H10" s="20"/>
      <c r="I10" s="19"/>
    </row>
    <row r="11" spans="1:10" customHeight="1" ht="14.45">
      <c r="F11" s="22"/>
      <c r="G11" s="21"/>
      <c r="H11" s="21"/>
      <c r="I11" s="19"/>
    </row>
    <row r="12" spans="1:10">
      <c r="F12" s="23"/>
    </row>
    <row r="13" spans="1:10">
      <c r="F13" s="23"/>
    </row>
  </sheetData>
  <sheetProtection formatCells="0" formatColumns="0" formatRows="0" insertColumns="0" insertRows="0" insertHyperlinks="0" deleteColumns="0" deleteRows="0" sort="0" autoFilter="0" pivotTables="0"/>
  <mergeCells>
    <mergeCell ref="A2:D2"/>
  </mergeCells>
  <printOptions gridLines="false" gridLinesSet="true"/>
  <pageMargins left="0.7" right="0.7" top="0.75" bottom="0.75" header="0.3" footer="0.3"/>
  <pageSetup paperSize="9" orientation="portrait" scale="76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32"/>
  <sheetViews>
    <sheetView tabSelected="0" workbookViewId="0" zoomScale="70" zoomScaleNormal="70" showGridLines="true" showRowColHeaders="1" topLeftCell="A4">
      <selection activeCell="D17" sqref="D17"/>
    </sheetView>
  </sheetViews>
  <sheetFormatPr defaultRowHeight="14.4" defaultColWidth="9.125" outlineLevelRow="0" outlineLevelCol="0"/>
  <cols>
    <col min="1" max="1" width="9.125" style="112"/>
    <col min="2" max="2" width="9.125" style="112"/>
    <col min="3" max="3" width="51.75" customWidth="true" style="112"/>
    <col min="4" max="4" width="47" customWidth="true" style="112"/>
    <col min="5" max="5" width="37.375" customWidth="true" style="112"/>
    <col min="6" max="6" width="9.125" style="112"/>
  </cols>
  <sheetData>
    <row r="3" spans="1:6">
      <c r="B3" s="253" t="s">
        <v>45</v>
      </c>
      <c r="C3" s="253"/>
      <c r="D3" s="253"/>
    </row>
    <row r="4" spans="1:6">
      <c r="B4" s="254" t="s">
        <v>46</v>
      </c>
      <c r="C4" s="254"/>
      <c r="D4" s="254"/>
    </row>
    <row r="5" spans="1:6" customHeight="1" ht="84.25">
      <c r="B5" s="256" t="s">
        <v>47</v>
      </c>
      <c r="C5" s="256"/>
      <c r="D5" s="256"/>
    </row>
    <row r="6" spans="1:6" customHeight="1" ht="18.7">
      <c r="B6" s="166"/>
      <c r="C6" s="166"/>
      <c r="D6" s="166"/>
    </row>
    <row r="7" spans="1:6" customHeight="1" ht="64.55">
      <c r="B7" s="255" t="s">
        <v>48</v>
      </c>
      <c r="C7" s="255"/>
      <c r="D7" s="255"/>
    </row>
    <row r="8" spans="1:6" customHeight="1" ht="31.75">
      <c r="B8" s="257" t="s">
        <v>49</v>
      </c>
      <c r="C8" s="257"/>
      <c r="D8" s="257"/>
      <c r="E8" s="257"/>
      <c r="F8" s="257"/>
    </row>
    <row r="9" spans="1:6" customHeight="1" ht="15.8">
      <c r="B9" s="255" t="s">
        <v>50</v>
      </c>
      <c r="C9" s="255"/>
      <c r="D9" s="255"/>
    </row>
    <row r="10" spans="1:6">
      <c r="B10" s="143"/>
    </row>
    <row r="11" spans="1:6">
      <c r="B11" s="116" t="s">
        <v>33</v>
      </c>
      <c r="C11" s="116" t="s">
        <v>51</v>
      </c>
      <c r="D11" s="116" t="s">
        <v>52</v>
      </c>
      <c r="E11" s="151"/>
    </row>
    <row r="12" spans="1:6" customHeight="1" ht="96.8">
      <c r="B12" s="116">
        <v>1</v>
      </c>
      <c r="C12" s="119" t="s">
        <v>53</v>
      </c>
      <c r="D12" s="181" t="s">
        <v>54</v>
      </c>
    </row>
    <row r="13" spans="1:6">
      <c r="B13" s="116">
        <v>2</v>
      </c>
      <c r="C13" s="119" t="s">
        <v>55</v>
      </c>
      <c r="D13" s="181" t="s">
        <v>56</v>
      </c>
    </row>
    <row r="14" spans="1:6">
      <c r="B14" s="116">
        <v>3</v>
      </c>
      <c r="C14" s="119" t="s">
        <v>57</v>
      </c>
      <c r="D14" s="181" t="s">
        <v>58</v>
      </c>
    </row>
    <row r="15" spans="1:6">
      <c r="B15" s="116">
        <v>4</v>
      </c>
      <c r="C15" s="119" t="s">
        <v>59</v>
      </c>
      <c r="D15" s="181">
        <v>1</v>
      </c>
    </row>
    <row r="16" spans="1:6" customHeight="1" ht="116.5">
      <c r="B16" s="116">
        <v>5</v>
      </c>
      <c r="C16" s="110" t="s">
        <v>60</v>
      </c>
      <c r="D16" s="181" t="s">
        <v>61</v>
      </c>
    </row>
    <row r="17" spans="1:6" customHeight="1" ht="79.5">
      <c r="B17" s="116">
        <v>6</v>
      </c>
      <c r="C17" s="110" t="s">
        <v>62</v>
      </c>
      <c r="D17" s="245">
        <v>12870.2248532</v>
      </c>
      <c r="E17" s="165"/>
    </row>
    <row r="18" spans="1:6">
      <c r="B18" s="150" t="s">
        <v>63</v>
      </c>
      <c r="C18" s="119" t="s">
        <v>64</v>
      </c>
      <c r="D18" s="245">
        <v>6978.8161408</v>
      </c>
    </row>
    <row r="19" spans="1:6" customHeight="1" ht="15.8">
      <c r="B19" s="150" t="s">
        <v>65</v>
      </c>
      <c r="C19" s="119" t="s">
        <v>66</v>
      </c>
      <c r="D19" s="245">
        <v>5891.4087124</v>
      </c>
    </row>
    <row r="20" spans="1:6" customHeight="1" ht="16.5">
      <c r="B20" s="150" t="s">
        <v>67</v>
      </c>
      <c r="C20" s="119" t="s">
        <v>68</v>
      </c>
      <c r="D20" s="245"/>
    </row>
    <row r="21" spans="1:6" customHeight="1" ht="35.5">
      <c r="B21" s="150" t="s">
        <v>69</v>
      </c>
      <c r="C21" s="149" t="s">
        <v>70</v>
      </c>
      <c r="D21" s="245"/>
    </row>
    <row r="22" spans="1:6">
      <c r="B22" s="116">
        <v>7</v>
      </c>
      <c r="C22" s="149" t="s">
        <v>71</v>
      </c>
      <c r="D22" s="237" t="s">
        <v>72</v>
      </c>
      <c r="E22" s="147"/>
    </row>
    <row r="23" spans="1:6" customHeight="1" ht="122.95">
      <c r="B23" s="116">
        <v>8</v>
      </c>
      <c r="C23" s="148" t="s">
        <v>73</v>
      </c>
      <c r="D23" s="245">
        <v>12870.2248532</v>
      </c>
      <c r="E23" s="165"/>
    </row>
    <row r="24" spans="1:6" customHeight="1" ht="60.8">
      <c r="B24" s="116">
        <v>9</v>
      </c>
      <c r="C24" s="110" t="s">
        <v>74</v>
      </c>
      <c r="D24" s="245">
        <v>12870.2248532</v>
      </c>
      <c r="E24" s="147"/>
    </row>
    <row r="25" spans="1:6" customHeight="1" ht="48.25">
      <c r="B25" s="116">
        <v>10</v>
      </c>
      <c r="C25" s="119" t="s">
        <v>75</v>
      </c>
      <c r="D25" s="241"/>
    </row>
    <row r="26" spans="1:6">
      <c r="B26" s="146"/>
      <c r="C26" s="145"/>
      <c r="D26" s="145"/>
    </row>
    <row r="27" spans="1:6" customHeight="1" ht="37.55">
      <c r="B27" s="144"/>
    </row>
    <row r="28" spans="1:6">
      <c r="B28" s="112" t="s">
        <v>76</v>
      </c>
    </row>
    <row r="29" spans="1:6">
      <c r="B29" s="144" t="s">
        <v>77</v>
      </c>
    </row>
    <row r="31" spans="1:6">
      <c r="B31" s="112" t="s">
        <v>78</v>
      </c>
    </row>
    <row r="32" spans="1:6">
      <c r="B32" s="144" t="s">
        <v>79</v>
      </c>
    </row>
  </sheetData>
  <mergeCells>
    <mergeCell ref="B3:D3"/>
    <mergeCell ref="B4:D4"/>
    <mergeCell ref="B7:D7"/>
    <mergeCell ref="B9:D9"/>
    <mergeCell ref="B5:D5"/>
    <mergeCell ref="B8:F8"/>
  </mergeCells>
  <printOptions gridLines="false" gridLinesSet="true"/>
  <pageMargins left="0.7" right="0.7" top="0.75" bottom="0.75" header="0.3" footer="0.3"/>
  <pageSetup paperSize="9" orientation="portrait" scale="43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8"/>
  <sheetViews>
    <sheetView tabSelected="0" workbookViewId="0" zoomScale="70" zoomScaleNormal="70" view="pageBreakPreview" showGridLines="true" showRowColHeaders="1">
      <selection activeCell="F12" sqref="F12:J14"/>
    </sheetView>
  </sheetViews>
  <sheetFormatPr defaultRowHeight="14.4" defaultColWidth="9.125" outlineLevelRow="0" outlineLevelCol="0"/>
  <cols>
    <col min="1" max="1" width="5.625" customWidth="true" style="112"/>
    <col min="2" max="2" width="9.125" style="112"/>
    <col min="3" max="3" width="35.25" customWidth="true" style="112"/>
    <col min="4" max="4" width="13.875" customWidth="true" style="112"/>
    <col min="5" max="5" width="24.875" customWidth="true" style="112"/>
    <col min="6" max="6" width="15.625" customWidth="true" style="112"/>
    <col min="7" max="7" width="14.875" customWidth="true" style="112"/>
    <col min="8" max="8" width="16.75" customWidth="true" style="112"/>
    <col min="9" max="9" width="13" customWidth="true" style="112"/>
    <col min="10" max="10" width="21.375" customWidth="true" style="112"/>
    <col min="11" max="11" width="18" customWidth="true" style="112"/>
    <col min="12" max="12" width="9.125" style="112"/>
  </cols>
  <sheetData>
    <row r="3" spans="1:12">
      <c r="B3" s="253" t="s">
        <v>80</v>
      </c>
      <c r="C3" s="253"/>
      <c r="D3" s="253"/>
      <c r="E3" s="253"/>
      <c r="F3" s="253"/>
      <c r="G3" s="253"/>
      <c r="H3" s="253"/>
      <c r="I3" s="253"/>
      <c r="J3" s="253"/>
      <c r="K3" s="144"/>
    </row>
    <row r="4" spans="1:12">
      <c r="B4" s="254" t="s">
        <v>81</v>
      </c>
      <c r="C4" s="254"/>
      <c r="D4" s="254"/>
      <c r="E4" s="254"/>
      <c r="F4" s="254"/>
      <c r="G4" s="254"/>
      <c r="H4" s="254"/>
      <c r="I4" s="254"/>
      <c r="J4" s="254"/>
      <c r="K4" s="254"/>
    </row>
    <row r="5" spans="1:12">
      <c r="B5" s="152"/>
      <c r="C5" s="152"/>
      <c r="D5" s="152"/>
      <c r="E5" s="152"/>
      <c r="F5" s="152"/>
      <c r="G5" s="152"/>
      <c r="H5" s="152"/>
      <c r="I5" s="152"/>
      <c r="J5" s="152"/>
      <c r="K5" s="152"/>
    </row>
    <row r="6" spans="1:12" customHeight="1" ht="29.25">
      <c r="B6" s="255" t="str">
        <f>'Прил.1 Сравнит табл'!B7:D7</f>
        <v>Наименование разрабатываемого показателя УНЦ - ПЧЗ Насосная ПС 500 кВ</v>
      </c>
      <c r="C6" s="255"/>
      <c r="D6" s="255"/>
      <c r="E6" s="255"/>
      <c r="F6" s="255"/>
      <c r="G6" s="255"/>
      <c r="H6" s="255"/>
      <c r="I6" s="255"/>
      <c r="J6" s="255"/>
      <c r="K6" s="255"/>
    </row>
    <row r="7" spans="1:12">
      <c r="B7" s="255" t="str">
        <f>'Прил.1 Сравнит табл'!B9:D9</f>
        <v>Единица измерения  — 1 ПС</v>
      </c>
      <c r="C7" s="255"/>
      <c r="D7" s="255"/>
      <c r="E7" s="255"/>
      <c r="F7" s="255"/>
      <c r="G7" s="255"/>
      <c r="H7" s="255"/>
      <c r="I7" s="255"/>
      <c r="J7" s="255"/>
      <c r="K7" s="255"/>
    </row>
    <row r="8" spans="1:12" customHeight="1" ht="18.7">
      <c r="B8" s="125"/>
    </row>
    <row r="9" spans="1:12" customHeight="1" ht="15.8">
      <c r="A9" s="236"/>
      <c r="B9" s="261" t="s">
        <v>33</v>
      </c>
      <c r="C9" s="261" t="s">
        <v>82</v>
      </c>
      <c r="D9" s="261" t="s">
        <v>52</v>
      </c>
      <c r="E9" s="261"/>
      <c r="F9" s="261"/>
      <c r="G9" s="261"/>
      <c r="H9" s="261"/>
      <c r="I9" s="261"/>
      <c r="J9" s="261"/>
      <c r="K9" s="236"/>
      <c r="L9" s="236"/>
    </row>
    <row r="10" spans="1:12" customHeight="1" ht="15.8">
      <c r="A10" s="236"/>
      <c r="B10" s="261"/>
      <c r="C10" s="261"/>
      <c r="D10" s="261" t="s">
        <v>83</v>
      </c>
      <c r="E10" s="261" t="s">
        <v>84</v>
      </c>
      <c r="F10" s="261" t="s">
        <v>85</v>
      </c>
      <c r="G10" s="261"/>
      <c r="H10" s="261"/>
      <c r="I10" s="261"/>
      <c r="J10" s="261"/>
      <c r="K10" s="236"/>
      <c r="L10" s="236"/>
    </row>
    <row r="11" spans="1:12" customHeight="1" ht="83.25">
      <c r="A11" s="236"/>
      <c r="B11" s="261"/>
      <c r="C11" s="261"/>
      <c r="D11" s="261"/>
      <c r="E11" s="261"/>
      <c r="F11" s="237" t="s">
        <v>86</v>
      </c>
      <c r="G11" s="237" t="s">
        <v>87</v>
      </c>
      <c r="H11" s="237" t="s">
        <v>43</v>
      </c>
      <c r="I11" s="237" t="s">
        <v>88</v>
      </c>
      <c r="J11" s="237" t="s">
        <v>89</v>
      </c>
      <c r="K11" s="236"/>
      <c r="L11" s="236"/>
    </row>
    <row r="12" spans="1:12" customHeight="1" ht="49.6">
      <c r="A12" s="236"/>
      <c r="B12" s="238">
        <v>1</v>
      </c>
      <c r="C12" s="239" t="s">
        <v>90</v>
      </c>
      <c r="D12" s="240"/>
      <c r="E12" s="241"/>
      <c r="F12" s="262">
        <v>6978.8161408</v>
      </c>
      <c r="G12" s="263"/>
      <c r="H12" s="243">
        <v>5891.4087124</v>
      </c>
      <c r="I12" s="243"/>
      <c r="J12" s="244">
        <v>12870.2248532</v>
      </c>
      <c r="K12" s="236"/>
      <c r="L12" s="236"/>
    </row>
    <row r="13" spans="1:12" customHeight="1" ht="15.8">
      <c r="A13" s="236"/>
      <c r="B13" s="258" t="s">
        <v>91</v>
      </c>
      <c r="C13" s="258"/>
      <c r="D13" s="258"/>
      <c r="E13" s="258"/>
      <c r="F13" s="259">
        <v>6978.8161408</v>
      </c>
      <c r="G13" s="260"/>
      <c r="H13" s="242">
        <v>5891.4087124</v>
      </c>
      <c r="I13" s="242"/>
      <c r="J13" s="242">
        <v>12870.2248532</v>
      </c>
      <c r="K13" s="236"/>
      <c r="L13" s="236"/>
    </row>
    <row r="14" spans="1:12" customHeight="1" ht="28.55">
      <c r="A14" s="236"/>
      <c r="B14" s="258" t="s">
        <v>92</v>
      </c>
      <c r="C14" s="258"/>
      <c r="D14" s="258"/>
      <c r="E14" s="258"/>
      <c r="F14" s="259">
        <v>6978.8161408</v>
      </c>
      <c r="G14" s="260"/>
      <c r="H14" s="242">
        <v>5891.4087124</v>
      </c>
      <c r="I14" s="242"/>
      <c r="J14" s="242">
        <v>12870.2248532</v>
      </c>
      <c r="K14" s="236"/>
      <c r="L14" s="236"/>
    </row>
    <row r="15" spans="1:12" customHeight="1" ht="14.95"/>
    <row r="16" spans="1:12" customHeight="1" ht="14.95"/>
    <row r="17" spans="1:12" customHeight="1" ht="14.95"/>
    <row r="18" spans="1:12" customHeight="1" ht="14.95">
      <c r="C18" s="4" t="s">
        <v>93</v>
      </c>
      <c r="D18" s="12"/>
      <c r="E18" s="12"/>
    </row>
    <row r="19" spans="1:12" customHeight="1" ht="14.95">
      <c r="C19" s="28" t="s">
        <v>77</v>
      </c>
      <c r="D19" s="12"/>
      <c r="E19" s="12"/>
    </row>
    <row r="20" spans="1:12" customHeight="1" ht="14.95">
      <c r="C20" s="4"/>
      <c r="D20" s="12"/>
      <c r="E20" s="12"/>
    </row>
    <row r="21" spans="1:12" customHeight="1" ht="14.95">
      <c r="C21" s="4" t="s">
        <v>78</v>
      </c>
      <c r="D21" s="12"/>
      <c r="E21" s="12"/>
    </row>
    <row r="22" spans="1:12" customHeight="1" ht="14.95">
      <c r="C22" s="28" t="s">
        <v>79</v>
      </c>
      <c r="D22" s="12"/>
      <c r="E22" s="12"/>
    </row>
    <row r="23" spans="1:12" customHeight="1" ht="14.95"/>
    <row r="24" spans="1:12" customHeight="1" ht="14.95"/>
    <row r="25" spans="1:12" customHeight="1" ht="14.95"/>
    <row r="26" spans="1:12" customHeight="1" ht="14.95"/>
    <row r="27" spans="1:12" customHeight="1" ht="14.95"/>
    <row r="28" spans="1:12" customHeight="1" ht="14.95"/>
  </sheetData>
  <mergeCells>
    <mergeCell ref="B14:E14"/>
    <mergeCell ref="F14:G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B13:E13"/>
    <mergeCell ref="F13:G13"/>
  </mergeCells>
  <printOptions gridLines="false" gridLinesSet="true"/>
  <pageMargins left="0.7" right="0.7" top="0.75" bottom="0.75" header="0.3" footer="0.3"/>
  <pageSetup paperSize="9" orientation="portrait" scale="51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368"/>
  <sheetViews>
    <sheetView tabSelected="0" workbookViewId="0" zoomScale="85" view="pageBreakPreview" showGridLines="true" showRowColHeaders="1" topLeftCell="A55">
      <selection activeCell="G88" sqref="G88"/>
    </sheetView>
  </sheetViews>
  <sheetFormatPr defaultRowHeight="14.4" defaultColWidth="9.125" outlineLevelRow="0" outlineLevelCol="0"/>
  <cols>
    <col min="1" max="1" width="9.125" style="112"/>
    <col min="2" max="2" width="12.625" customWidth="true" style="112"/>
    <col min="3" max="3" width="22.375" customWidth="true" style="112"/>
    <col min="4" max="4" width="49.75" customWidth="true" style="112"/>
    <col min="5" max="5" width="10.125" customWidth="true" style="112"/>
    <col min="6" max="6" width="20.75" customWidth="true" style="112"/>
    <col min="7" max="7" width="20" customWidth="true" style="112"/>
    <col min="8" max="8" width="20" customWidth="true" style="112"/>
    <col min="9" max="9" width="9.125" hidden="true" style="112"/>
    <col min="10" max="10" width="11.25" hidden="true" customWidth="true" style="112"/>
    <col min="11" max="11" width="15" hidden="true" customWidth="true" style="112"/>
    <col min="12" max="12" width="9.125" style="112"/>
  </cols>
  <sheetData>
    <row r="2" spans="1:12">
      <c r="A2" s="253" t="s">
        <v>94</v>
      </c>
      <c r="B2" s="253"/>
      <c r="C2" s="253"/>
      <c r="D2" s="253"/>
      <c r="E2" s="253"/>
      <c r="F2" s="253"/>
      <c r="G2" s="253"/>
      <c r="H2" s="253"/>
    </row>
    <row r="3" spans="1:12">
      <c r="A3" s="254" t="s">
        <v>95</v>
      </c>
      <c r="B3" s="254"/>
      <c r="C3" s="254"/>
      <c r="D3" s="254"/>
      <c r="E3" s="254"/>
      <c r="F3" s="254"/>
      <c r="G3" s="254"/>
      <c r="H3" s="254"/>
    </row>
    <row r="4" spans="1:12" customHeight="1" ht="18.7">
      <c r="A4" s="168"/>
      <c r="B4" s="168"/>
      <c r="C4" s="276" t="s">
        <v>96</v>
      </c>
      <c r="D4" s="276"/>
      <c r="E4" s="276"/>
      <c r="F4" s="276"/>
      <c r="G4" s="276"/>
      <c r="H4" s="276"/>
    </row>
    <row r="5" spans="1:12">
      <c r="A5" s="143"/>
    </row>
    <row r="6" spans="1:12">
      <c r="A6" s="273" t="s">
        <v>97</v>
      </c>
      <c r="B6" s="273"/>
      <c r="C6" s="273"/>
      <c r="D6" s="273"/>
      <c r="E6" s="273"/>
      <c r="F6" s="273"/>
      <c r="G6" s="273"/>
      <c r="H6" s="273"/>
    </row>
    <row r="7" spans="1:12">
      <c r="A7" s="153"/>
      <c r="B7" s="153"/>
      <c r="C7" s="153"/>
      <c r="D7" s="153"/>
      <c r="E7" s="153"/>
      <c r="F7" s="153"/>
      <c r="G7" s="153"/>
      <c r="H7" s="153"/>
    </row>
    <row r="8" spans="1:12" customHeight="1" ht="38.25">
      <c r="A8" s="274" t="s">
        <v>98</v>
      </c>
      <c r="B8" s="274" t="s">
        <v>99</v>
      </c>
      <c r="C8" s="274" t="s">
        <v>100</v>
      </c>
      <c r="D8" s="274" t="s">
        <v>101</v>
      </c>
      <c r="E8" s="274" t="s">
        <v>102</v>
      </c>
      <c r="F8" s="274" t="s">
        <v>103</v>
      </c>
      <c r="G8" s="274" t="s">
        <v>104</v>
      </c>
      <c r="H8" s="274"/>
    </row>
    <row r="9" spans="1:12" customHeight="1" ht="40.75">
      <c r="A9" s="274"/>
      <c r="B9" s="274"/>
      <c r="C9" s="274"/>
      <c r="D9" s="274"/>
      <c r="E9" s="274"/>
      <c r="F9" s="274"/>
      <c r="G9" s="116" t="s">
        <v>105</v>
      </c>
      <c r="H9" s="116" t="s">
        <v>106</v>
      </c>
    </row>
    <row r="10" spans="1:12" customHeight="1" ht="16.5">
      <c r="A10" s="157">
        <v>1</v>
      </c>
      <c r="B10" s="157"/>
      <c r="C10" s="157">
        <v>2</v>
      </c>
      <c r="D10" s="157" t="s">
        <v>107</v>
      </c>
      <c r="E10" s="157">
        <v>4</v>
      </c>
      <c r="F10" s="157">
        <v>5</v>
      </c>
      <c r="G10" s="157">
        <v>6</v>
      </c>
      <c r="H10" s="157">
        <v>7</v>
      </c>
      <c r="J10" s="4"/>
      <c r="K10" s="214">
        <f>SUM(K12:K35)</f>
        <v>19213.22</v>
      </c>
    </row>
    <row r="11" spans="1:12" customHeight="1" ht="16.5" s="154" customFormat="1">
      <c r="A11" s="267" t="s">
        <v>108</v>
      </c>
      <c r="B11" s="268"/>
      <c r="C11" s="269"/>
      <c r="D11" s="269"/>
      <c r="E11" s="268"/>
      <c r="F11" s="167">
        <f>SUM(F12:F35)</f>
        <v>5384.55</v>
      </c>
      <c r="G11" s="10"/>
      <c r="H11" s="167">
        <f>SUM(H12:H35)</f>
        <v>49568.18</v>
      </c>
      <c r="J11" s="215">
        <f>K10/F11</f>
        <v>3.5682127568692</v>
      </c>
      <c r="K11" s="4"/>
    </row>
    <row r="12" spans="1:12" s="154" customFormat="1">
      <c r="A12" s="7">
        <v>1</v>
      </c>
      <c r="B12" s="172"/>
      <c r="C12" s="171" t="s">
        <v>109</v>
      </c>
      <c r="D12" s="8" t="s">
        <v>110</v>
      </c>
      <c r="E12" s="2" t="s">
        <v>111</v>
      </c>
      <c r="F12" s="171">
        <v>1271.51</v>
      </c>
      <c r="G12" s="42">
        <v>9.4</v>
      </c>
      <c r="H12" s="27">
        <f>ROUND(F12*G12,2)</f>
        <v>11952.19</v>
      </c>
      <c r="J12" s="4">
        <v>3.8</v>
      </c>
      <c r="K12" s="214">
        <f>F12*J12</f>
        <v>4831.738</v>
      </c>
    </row>
    <row r="13" spans="1:12" s="154" customFormat="1">
      <c r="A13" s="7">
        <v>2</v>
      </c>
      <c r="B13" s="172"/>
      <c r="C13" s="171" t="s">
        <v>112</v>
      </c>
      <c r="D13" s="8" t="s">
        <v>113</v>
      </c>
      <c r="E13" s="2" t="s">
        <v>111</v>
      </c>
      <c r="F13" s="171">
        <v>856.48</v>
      </c>
      <c r="G13" s="42">
        <v>8.74</v>
      </c>
      <c r="H13" s="27">
        <f>ROUND(F13*G13,2)</f>
        <v>7485.64</v>
      </c>
      <c r="J13" s="4">
        <v>3.2</v>
      </c>
      <c r="K13" s="214">
        <f>F13*J13</f>
        <v>2740.736</v>
      </c>
    </row>
    <row r="14" spans="1:12" s="154" customFormat="1">
      <c r="A14" s="7">
        <v>3</v>
      </c>
      <c r="B14" s="172"/>
      <c r="C14" s="171" t="s">
        <v>114</v>
      </c>
      <c r="D14" s="8" t="s">
        <v>115</v>
      </c>
      <c r="E14" s="2" t="s">
        <v>111</v>
      </c>
      <c r="F14" s="171">
        <v>586.94</v>
      </c>
      <c r="G14" s="42">
        <v>8.97</v>
      </c>
      <c r="H14" s="27">
        <f>ROUND(F14*G14,2)</f>
        <v>5264.85</v>
      </c>
      <c r="J14" s="4">
        <v>3.4</v>
      </c>
      <c r="K14" s="214">
        <f>F14*J14</f>
        <v>1995.596</v>
      </c>
    </row>
    <row r="15" spans="1:12" s="154" customFormat="1">
      <c r="A15" s="7">
        <v>4</v>
      </c>
      <c r="B15" s="172"/>
      <c r="C15" s="171" t="s">
        <v>116</v>
      </c>
      <c r="D15" s="8" t="s">
        <v>117</v>
      </c>
      <c r="E15" s="2" t="s">
        <v>111</v>
      </c>
      <c r="F15" s="171">
        <v>520.15</v>
      </c>
      <c r="G15" s="42">
        <v>9.29</v>
      </c>
      <c r="H15" s="27">
        <f>ROUND(F15*G15,2)</f>
        <v>4832.19</v>
      </c>
      <c r="J15" s="4">
        <v>3.7</v>
      </c>
      <c r="K15" s="214">
        <f>F15*J15</f>
        <v>1924.555</v>
      </c>
    </row>
    <row r="16" spans="1:12" s="154" customFormat="1">
      <c r="A16" s="7">
        <v>5</v>
      </c>
      <c r="B16" s="172"/>
      <c r="C16" s="171" t="s">
        <v>118</v>
      </c>
      <c r="D16" s="8" t="s">
        <v>119</v>
      </c>
      <c r="E16" s="2" t="s">
        <v>111</v>
      </c>
      <c r="F16" s="171">
        <v>436.74</v>
      </c>
      <c r="G16" s="42">
        <v>9.07</v>
      </c>
      <c r="H16" s="27">
        <f>ROUND(F16*G16,2)</f>
        <v>3961.23</v>
      </c>
      <c r="J16" s="4">
        <v>3.5</v>
      </c>
      <c r="K16" s="214">
        <f>F16*J16</f>
        <v>1528.59</v>
      </c>
    </row>
    <row r="17" spans="1:12" s="154" customFormat="1">
      <c r="A17" s="7">
        <v>6</v>
      </c>
      <c r="B17" s="172"/>
      <c r="C17" s="171" t="s">
        <v>120</v>
      </c>
      <c r="D17" s="8" t="s">
        <v>121</v>
      </c>
      <c r="E17" s="2" t="s">
        <v>111</v>
      </c>
      <c r="F17" s="171">
        <v>350.07</v>
      </c>
      <c r="G17" s="42">
        <v>9.62</v>
      </c>
      <c r="H17" s="27">
        <f>ROUND(F17*G17,2)</f>
        <v>3367.67</v>
      </c>
      <c r="J17" s="4">
        <v>4</v>
      </c>
      <c r="K17" s="214">
        <f>F17*J17</f>
        <v>1400.28</v>
      </c>
    </row>
    <row r="18" spans="1:12" s="154" customFormat="1">
      <c r="A18" s="7">
        <v>7</v>
      </c>
      <c r="B18" s="172"/>
      <c r="C18" s="171" t="s">
        <v>122</v>
      </c>
      <c r="D18" s="8" t="s">
        <v>123</v>
      </c>
      <c r="E18" s="2" t="s">
        <v>111</v>
      </c>
      <c r="F18" s="171">
        <v>247.13</v>
      </c>
      <c r="G18" s="42">
        <v>9.92</v>
      </c>
      <c r="H18" s="27">
        <f>ROUND(F18*G18,2)</f>
        <v>2451.53</v>
      </c>
      <c r="J18" s="4">
        <v>4.2</v>
      </c>
      <c r="K18" s="214">
        <f>F18*J18</f>
        <v>1037.946</v>
      </c>
    </row>
    <row r="19" spans="1:12" s="154" customFormat="1">
      <c r="A19" s="7">
        <v>8</v>
      </c>
      <c r="B19" s="172"/>
      <c r="C19" s="171" t="s">
        <v>124</v>
      </c>
      <c r="D19" s="8" t="s">
        <v>125</v>
      </c>
      <c r="E19" s="2" t="s">
        <v>111</v>
      </c>
      <c r="F19" s="171">
        <v>134.4</v>
      </c>
      <c r="G19" s="42">
        <v>11.82</v>
      </c>
      <c r="H19" s="27">
        <f>ROUND(F19*G19,2)</f>
        <v>1588.61</v>
      </c>
      <c r="J19" s="4">
        <v>5.4</v>
      </c>
      <c r="K19" s="214">
        <f>F19*J19</f>
        <v>725.76</v>
      </c>
    </row>
    <row r="20" spans="1:12" s="154" customFormat="1">
      <c r="A20" s="7">
        <v>9</v>
      </c>
      <c r="B20" s="172"/>
      <c r="C20" s="171" t="s">
        <v>126</v>
      </c>
      <c r="D20" s="8" t="s">
        <v>127</v>
      </c>
      <c r="E20" s="2" t="s">
        <v>111</v>
      </c>
      <c r="F20" s="171">
        <v>131.89</v>
      </c>
      <c r="G20" s="42">
        <v>9.76</v>
      </c>
      <c r="H20" s="27">
        <f>ROUND(F20*G20,2)</f>
        <v>1287.25</v>
      </c>
      <c r="J20" s="4">
        <v>4.1</v>
      </c>
      <c r="K20" s="214">
        <f>F20*J20</f>
        <v>540.749</v>
      </c>
    </row>
    <row r="21" spans="1:12" s="154" customFormat="1">
      <c r="A21" s="7">
        <v>10</v>
      </c>
      <c r="B21" s="172"/>
      <c r="C21" s="171" t="s">
        <v>128</v>
      </c>
      <c r="D21" s="8" t="s">
        <v>129</v>
      </c>
      <c r="E21" s="2" t="s">
        <v>111</v>
      </c>
      <c r="F21" s="171">
        <v>151.69</v>
      </c>
      <c r="G21" s="42">
        <v>7.94</v>
      </c>
      <c r="H21" s="27">
        <f>ROUND(F21*G21,2)</f>
        <v>1204.42</v>
      </c>
      <c r="J21" s="4">
        <v>2.2</v>
      </c>
      <c r="K21" s="214">
        <f>F21*J21</f>
        <v>333.718</v>
      </c>
    </row>
    <row r="22" spans="1:12" s="154" customFormat="1">
      <c r="A22" s="7">
        <v>11</v>
      </c>
      <c r="B22" s="172"/>
      <c r="C22" s="171" t="s">
        <v>130</v>
      </c>
      <c r="D22" s="8" t="s">
        <v>131</v>
      </c>
      <c r="E22" s="2" t="s">
        <v>111</v>
      </c>
      <c r="F22" s="171">
        <v>115.2</v>
      </c>
      <c r="G22" s="42">
        <v>10.06</v>
      </c>
      <c r="H22" s="27">
        <f>ROUND(F22*G22,2)</f>
        <v>1158.91</v>
      </c>
      <c r="J22" s="4">
        <v>4.3</v>
      </c>
      <c r="K22" s="214">
        <f>F22*J22</f>
        <v>495.36</v>
      </c>
    </row>
    <row r="23" spans="1:12" s="154" customFormat="1">
      <c r="A23" s="7">
        <v>12</v>
      </c>
      <c r="B23" s="172"/>
      <c r="C23" s="171" t="s">
        <v>132</v>
      </c>
      <c r="D23" s="8" t="s">
        <v>133</v>
      </c>
      <c r="E23" s="2" t="s">
        <v>111</v>
      </c>
      <c r="F23" s="171">
        <v>142.92</v>
      </c>
      <c r="G23" s="42">
        <v>7.5</v>
      </c>
      <c r="H23" s="27">
        <f>ROUND(F23*G23,2)</f>
        <v>1071.9</v>
      </c>
      <c r="J23" s="4">
        <v>1.5</v>
      </c>
      <c r="K23" s="214">
        <f>F23*J23</f>
        <v>214.38</v>
      </c>
    </row>
    <row r="24" spans="1:12" s="154" customFormat="1">
      <c r="A24" s="7">
        <v>13</v>
      </c>
      <c r="B24" s="172"/>
      <c r="C24" s="171" t="s">
        <v>134</v>
      </c>
      <c r="D24" s="8" t="s">
        <v>135</v>
      </c>
      <c r="E24" s="2" t="s">
        <v>111</v>
      </c>
      <c r="F24" s="171">
        <v>95.06</v>
      </c>
      <c r="G24" s="42">
        <v>8.53</v>
      </c>
      <c r="H24" s="27">
        <f>ROUND(F24*G24,2)</f>
        <v>810.86</v>
      </c>
      <c r="J24" s="4">
        <v>3</v>
      </c>
      <c r="K24" s="214">
        <f>F24*J24</f>
        <v>285.18</v>
      </c>
    </row>
    <row r="25" spans="1:12" s="154" customFormat="1">
      <c r="A25" s="7">
        <v>14</v>
      </c>
      <c r="B25" s="172"/>
      <c r="C25" s="171" t="s">
        <v>136</v>
      </c>
      <c r="D25" s="8" t="s">
        <v>137</v>
      </c>
      <c r="E25" s="2" t="s">
        <v>111</v>
      </c>
      <c r="F25" s="171">
        <v>70.43</v>
      </c>
      <c r="G25" s="42">
        <v>9.51</v>
      </c>
      <c r="H25" s="27">
        <f>ROUND(F25*G25,2)</f>
        <v>669.79</v>
      </c>
      <c r="J25" s="4">
        <v>3.9</v>
      </c>
      <c r="K25" s="214">
        <f>F25*J25</f>
        <v>274.677</v>
      </c>
    </row>
    <row r="26" spans="1:12" s="154" customFormat="1">
      <c r="A26" s="7">
        <v>15</v>
      </c>
      <c r="B26" s="172"/>
      <c r="C26" s="171" t="s">
        <v>138</v>
      </c>
      <c r="D26" s="8" t="s">
        <v>139</v>
      </c>
      <c r="E26" s="2" t="s">
        <v>111</v>
      </c>
      <c r="F26" s="171">
        <v>74.22</v>
      </c>
      <c r="G26" s="42">
        <v>7.8</v>
      </c>
      <c r="H26" s="27">
        <f>ROUND(F26*G26,2)</f>
        <v>578.92</v>
      </c>
      <c r="J26" s="4">
        <v>2</v>
      </c>
      <c r="K26" s="214">
        <f>F26*J26</f>
        <v>148.44</v>
      </c>
    </row>
    <row r="27" spans="1:12" s="154" customFormat="1">
      <c r="A27" s="7">
        <v>16</v>
      </c>
      <c r="B27" s="172"/>
      <c r="C27" s="171" t="s">
        <v>140</v>
      </c>
      <c r="D27" s="8" t="s">
        <v>141</v>
      </c>
      <c r="E27" s="2" t="s">
        <v>111</v>
      </c>
      <c r="F27" s="171">
        <v>60</v>
      </c>
      <c r="G27" s="42">
        <v>8.38</v>
      </c>
      <c r="H27" s="27">
        <f>ROUND(F27*G27,2)</f>
        <v>502.8</v>
      </c>
      <c r="J27" s="4">
        <v>2.8</v>
      </c>
      <c r="K27" s="214">
        <f>F27*J27</f>
        <v>168</v>
      </c>
    </row>
    <row r="28" spans="1:12" s="154" customFormat="1">
      <c r="A28" s="7">
        <v>17</v>
      </c>
      <c r="B28" s="172"/>
      <c r="C28" s="171" t="s">
        <v>142</v>
      </c>
      <c r="D28" s="8" t="s">
        <v>143</v>
      </c>
      <c r="E28" s="2" t="s">
        <v>111</v>
      </c>
      <c r="F28" s="171">
        <v>33.25</v>
      </c>
      <c r="G28" s="42">
        <v>11.27</v>
      </c>
      <c r="H28" s="27">
        <f>ROUND(F28*G28,2)</f>
        <v>374.73</v>
      </c>
      <c r="J28" s="4">
        <v>5.1</v>
      </c>
      <c r="K28" s="214">
        <f>F28*J28</f>
        <v>169.575</v>
      </c>
    </row>
    <row r="29" spans="1:12" s="154" customFormat="1">
      <c r="A29" s="7">
        <v>18</v>
      </c>
      <c r="B29" s="172"/>
      <c r="C29" s="171" t="s">
        <v>144</v>
      </c>
      <c r="D29" s="8" t="s">
        <v>145</v>
      </c>
      <c r="E29" s="2" t="s">
        <v>111</v>
      </c>
      <c r="F29" s="171">
        <v>33</v>
      </c>
      <c r="G29" s="42">
        <v>10.35</v>
      </c>
      <c r="H29" s="27">
        <f>ROUND(F29*G29,2)</f>
        <v>341.55</v>
      </c>
      <c r="J29" s="4">
        <v>4.5</v>
      </c>
      <c r="K29" s="214">
        <f>F29*J29</f>
        <v>148.5</v>
      </c>
    </row>
    <row r="30" spans="1:12" s="154" customFormat="1">
      <c r="A30" s="7">
        <v>19</v>
      </c>
      <c r="B30" s="172"/>
      <c r="C30" s="171" t="s">
        <v>146</v>
      </c>
      <c r="D30" s="8" t="s">
        <v>147</v>
      </c>
      <c r="E30" s="2" t="s">
        <v>111</v>
      </c>
      <c r="F30" s="171">
        <v>32.57</v>
      </c>
      <c r="G30" s="42">
        <v>8.64</v>
      </c>
      <c r="H30" s="27">
        <f>ROUND(F30*G30,2)</f>
        <v>281.4</v>
      </c>
      <c r="J30" s="4">
        <v>3.1</v>
      </c>
      <c r="K30" s="214">
        <f>F30*J30</f>
        <v>100.967</v>
      </c>
    </row>
    <row r="31" spans="1:12" s="154" customFormat="1">
      <c r="A31" s="7">
        <v>20</v>
      </c>
      <c r="B31" s="172"/>
      <c r="C31" s="171" t="s">
        <v>148</v>
      </c>
      <c r="D31" s="8" t="s">
        <v>149</v>
      </c>
      <c r="E31" s="2" t="s">
        <v>111</v>
      </c>
      <c r="F31" s="171">
        <v>14.73</v>
      </c>
      <c r="G31" s="42">
        <v>10.21</v>
      </c>
      <c r="H31" s="27">
        <f>ROUND(F31*G31,2)</f>
        <v>150.39</v>
      </c>
      <c r="J31" s="4">
        <v>4.4</v>
      </c>
      <c r="K31" s="214">
        <f>F31*J31</f>
        <v>64.812</v>
      </c>
    </row>
    <row r="32" spans="1:12" s="154" customFormat="1">
      <c r="A32" s="7">
        <v>21</v>
      </c>
      <c r="B32" s="172"/>
      <c r="C32" s="171" t="s">
        <v>150</v>
      </c>
      <c r="D32" s="8" t="s">
        <v>151</v>
      </c>
      <c r="E32" s="2" t="s">
        <v>111</v>
      </c>
      <c r="F32" s="171">
        <v>11.16</v>
      </c>
      <c r="G32" s="42">
        <v>9.18</v>
      </c>
      <c r="H32" s="27">
        <f>ROUND(F32*G32,2)</f>
        <v>102.45</v>
      </c>
      <c r="J32" s="4">
        <v>3.6</v>
      </c>
      <c r="K32" s="214">
        <f>F32*J32</f>
        <v>40.176</v>
      </c>
    </row>
    <row r="33" spans="1:12" s="154" customFormat="1">
      <c r="A33" s="7">
        <v>22</v>
      </c>
      <c r="B33" s="172"/>
      <c r="C33" s="171" t="s">
        <v>152</v>
      </c>
      <c r="D33" s="8" t="s">
        <v>153</v>
      </c>
      <c r="E33" s="2" t="s">
        <v>111</v>
      </c>
      <c r="F33" s="171">
        <v>10.92</v>
      </c>
      <c r="G33" s="42">
        <v>8.17</v>
      </c>
      <c r="H33" s="27">
        <f>ROUND(F33*G33,2)</f>
        <v>89.22</v>
      </c>
      <c r="J33" s="4">
        <v>2.5</v>
      </c>
      <c r="K33" s="214">
        <f>F33*J33</f>
        <v>27.3</v>
      </c>
    </row>
    <row r="34" spans="1:12" s="154" customFormat="1">
      <c r="A34" s="7">
        <v>23</v>
      </c>
      <c r="B34" s="172"/>
      <c r="C34" s="171" t="s">
        <v>154</v>
      </c>
      <c r="D34" s="8" t="s">
        <v>155</v>
      </c>
      <c r="E34" s="2" t="s">
        <v>111</v>
      </c>
      <c r="F34" s="171">
        <v>1.92</v>
      </c>
      <c r="G34" s="42">
        <v>10.65</v>
      </c>
      <c r="H34" s="27">
        <f>ROUND(F34*G34,2)</f>
        <v>20.45</v>
      </c>
      <c r="J34" s="4">
        <v>4.7</v>
      </c>
      <c r="K34" s="214">
        <f>F34*J34</f>
        <v>9.024</v>
      </c>
    </row>
    <row r="35" spans="1:12" s="154" customFormat="1">
      <c r="A35" s="7">
        <v>24</v>
      </c>
      <c r="B35" s="172"/>
      <c r="C35" s="171" t="s">
        <v>156</v>
      </c>
      <c r="D35" s="8" t="s">
        <v>157</v>
      </c>
      <c r="E35" s="2" t="s">
        <v>111</v>
      </c>
      <c r="F35" s="171">
        <v>2.17</v>
      </c>
      <c r="G35" s="42">
        <v>8.86</v>
      </c>
      <c r="H35" s="27">
        <f>ROUND(F35*G35,2)</f>
        <v>19.23</v>
      </c>
      <c r="J35" s="4">
        <v>3.3</v>
      </c>
      <c r="K35" s="214">
        <f>F35*J35</f>
        <v>7.161</v>
      </c>
    </row>
    <row r="36" spans="1:12" customHeight="1" ht="15.8">
      <c r="A36" s="264" t="s">
        <v>158</v>
      </c>
      <c r="B36" s="265"/>
      <c r="C36" s="265"/>
      <c r="D36" s="265"/>
      <c r="E36" s="266"/>
      <c r="F36" s="156"/>
      <c r="G36" s="155"/>
      <c r="H36" s="167">
        <f>H37</f>
        <v>836.15</v>
      </c>
    </row>
    <row r="37" spans="1:12">
      <c r="A37" s="2">
        <v>25</v>
      </c>
      <c r="B37" s="172"/>
      <c r="C37" s="171">
        <v>2</v>
      </c>
      <c r="D37" s="8" t="s">
        <v>158</v>
      </c>
      <c r="E37" s="2" t="s">
        <v>159</v>
      </c>
      <c r="F37" s="2">
        <f>264.83+41.12</f>
        <v>305.95</v>
      </c>
      <c r="G37" s="27"/>
      <c r="H37" s="27">
        <v>836.15</v>
      </c>
    </row>
    <row r="38" spans="1:12" customHeight="1" ht="16.5" s="154" customFormat="1">
      <c r="A38" s="270" t="s">
        <v>160</v>
      </c>
      <c r="B38" s="271"/>
      <c r="C38" s="271"/>
      <c r="D38" s="271"/>
      <c r="E38" s="272"/>
      <c r="F38" s="156"/>
      <c r="G38" s="155"/>
      <c r="H38" s="167">
        <f>SUM(H39:H82)</f>
        <v>30423.03</v>
      </c>
    </row>
    <row r="39" spans="1:12" customHeight="1" ht="16.5" s="154" customFormat="1">
      <c r="A39" s="183">
        <f>A37+1</f>
        <v>26</v>
      </c>
      <c r="B39" s="182"/>
      <c r="C39" s="171" t="s">
        <v>161</v>
      </c>
      <c r="D39" s="8" t="s">
        <v>162</v>
      </c>
      <c r="E39" s="2" t="s">
        <v>163</v>
      </c>
      <c r="F39" s="2">
        <v>71.74</v>
      </c>
      <c r="G39" s="42">
        <v>96.89</v>
      </c>
      <c r="H39" s="98">
        <f>ROUND(F39*G39,2)</f>
        <v>6950.89</v>
      </c>
      <c r="J39" s="220">
        <f>H39/$H$38</f>
        <v>0.22847461281799</v>
      </c>
      <c r="K39" s="219">
        <f>SUM(J39:J47)</f>
        <v>0.85206601709297</v>
      </c>
    </row>
    <row r="40" spans="1:12" s="154" customFormat="1">
      <c r="A40" s="183">
        <f>A39+1</f>
        <v>27</v>
      </c>
      <c r="B40" s="182"/>
      <c r="C40" s="171" t="s">
        <v>164</v>
      </c>
      <c r="D40" s="8" t="s">
        <v>165</v>
      </c>
      <c r="E40" s="2" t="s">
        <v>163</v>
      </c>
      <c r="F40" s="2">
        <v>57.64</v>
      </c>
      <c r="G40" s="42">
        <v>86.4</v>
      </c>
      <c r="H40" s="98">
        <f>ROUND(F40*G40,2)</f>
        <v>4980.1</v>
      </c>
      <c r="J40" s="221">
        <f>H40/$H$38</f>
        <v>0.16369506916307</v>
      </c>
      <c r="K40" s="4"/>
    </row>
    <row r="41" spans="1:12" s="154" customFormat="1">
      <c r="A41" s="183">
        <f>A40+1</f>
        <v>28</v>
      </c>
      <c r="B41" s="182"/>
      <c r="C41" s="171" t="s">
        <v>166</v>
      </c>
      <c r="D41" s="8" t="s">
        <v>167</v>
      </c>
      <c r="E41" s="2" t="s">
        <v>163</v>
      </c>
      <c r="F41" s="171">
        <v>41.12</v>
      </c>
      <c r="G41" s="42">
        <v>87.49</v>
      </c>
      <c r="H41" s="98">
        <f>ROUND(F41*G41,2)</f>
        <v>3597.59</v>
      </c>
      <c r="J41" s="221">
        <f>H41/$H$38</f>
        <v>0.11825219250022</v>
      </c>
      <c r="K41" s="4"/>
    </row>
    <row r="42" spans="1:12" customHeight="1" ht="25.5" s="154" customFormat="1">
      <c r="A42" s="183">
        <f>A41+1</f>
        <v>29</v>
      </c>
      <c r="B42" s="182"/>
      <c r="C42" s="171" t="s">
        <v>168</v>
      </c>
      <c r="D42" s="8" t="s">
        <v>169</v>
      </c>
      <c r="E42" s="2" t="s">
        <v>163</v>
      </c>
      <c r="F42" s="2">
        <v>20.34</v>
      </c>
      <c r="G42" s="42">
        <v>131.44</v>
      </c>
      <c r="H42" s="98">
        <f>ROUND(F42*G42,2)</f>
        <v>2673.49</v>
      </c>
      <c r="J42" s="221">
        <f>H42/$H$38</f>
        <v>0.087877177256835</v>
      </c>
      <c r="K42" s="4"/>
    </row>
    <row r="43" spans="1:12" s="154" customFormat="1">
      <c r="A43" s="183">
        <f>A42+1</f>
        <v>30</v>
      </c>
      <c r="B43" s="182"/>
      <c r="C43" s="171" t="s">
        <v>170</v>
      </c>
      <c r="D43" s="8" t="s">
        <v>171</v>
      </c>
      <c r="E43" s="2" t="s">
        <v>163</v>
      </c>
      <c r="F43" s="2">
        <v>39.36</v>
      </c>
      <c r="G43" s="42">
        <v>65.71</v>
      </c>
      <c r="H43" s="98">
        <f>ROUND(F43*G43,2)</f>
        <v>2586.35</v>
      </c>
      <c r="J43" s="221">
        <f>H43/$H$38</f>
        <v>0.085012899767051</v>
      </c>
      <c r="K43" s="4"/>
    </row>
    <row r="44" spans="1:12" customHeight="1" ht="25.5" s="154" customFormat="1">
      <c r="A44" s="183">
        <f>A43+1</f>
        <v>31</v>
      </c>
      <c r="B44" s="182"/>
      <c r="C44" s="171" t="s">
        <v>172</v>
      </c>
      <c r="D44" s="8" t="s">
        <v>173</v>
      </c>
      <c r="E44" s="2" t="s">
        <v>163</v>
      </c>
      <c r="F44" s="2">
        <v>20.46</v>
      </c>
      <c r="G44" s="42">
        <v>111.99</v>
      </c>
      <c r="H44" s="98">
        <f>ROUND(F44*G44,2)</f>
        <v>2291.32</v>
      </c>
      <c r="J44" s="221">
        <f>H44/$H$38</f>
        <v>0.075315312117169</v>
      </c>
      <c r="K44" s="4"/>
    </row>
    <row r="45" spans="1:12" customHeight="1" ht="25.5" s="154" customFormat="1">
      <c r="A45" s="183">
        <f>A44+1</f>
        <v>32</v>
      </c>
      <c r="B45" s="182"/>
      <c r="C45" s="171" t="s">
        <v>174</v>
      </c>
      <c r="D45" s="8" t="s">
        <v>175</v>
      </c>
      <c r="E45" s="2" t="s">
        <v>163</v>
      </c>
      <c r="F45" s="2">
        <v>163.68</v>
      </c>
      <c r="G45" s="42">
        <v>8.1</v>
      </c>
      <c r="H45" s="98">
        <f>ROUND(F45*G45,2)</f>
        <v>1325.81</v>
      </c>
      <c r="J45" s="221">
        <f>H45/$H$38</f>
        <v>0.043579156974174</v>
      </c>
      <c r="K45" s="4"/>
    </row>
    <row r="46" spans="1:12" s="154" customFormat="1">
      <c r="A46" s="183">
        <f>A45+1</f>
        <v>33</v>
      </c>
      <c r="B46" s="182"/>
      <c r="C46" s="171" t="s">
        <v>176</v>
      </c>
      <c r="D46" s="8" t="s">
        <v>177</v>
      </c>
      <c r="E46" s="2" t="s">
        <v>163</v>
      </c>
      <c r="F46" s="2">
        <v>4.79</v>
      </c>
      <c r="G46" s="42">
        <v>175.56</v>
      </c>
      <c r="H46" s="98">
        <f>ROUND(F46*G46,2)</f>
        <v>840.93</v>
      </c>
      <c r="J46" s="221">
        <f>H46/$H$38</f>
        <v>0.027641231001646</v>
      </c>
      <c r="K46" s="4"/>
    </row>
    <row r="47" spans="1:12" customHeight="1" ht="26.5" s="154" customFormat="1">
      <c r="A47" s="183">
        <f>A46+1</f>
        <v>34</v>
      </c>
      <c r="B47" s="182"/>
      <c r="C47" s="171" t="s">
        <v>178</v>
      </c>
      <c r="D47" s="8" t="s">
        <v>179</v>
      </c>
      <c r="E47" s="2" t="s">
        <v>163</v>
      </c>
      <c r="F47" s="171">
        <v>5.5</v>
      </c>
      <c r="G47" s="42">
        <v>122.9</v>
      </c>
      <c r="H47" s="98">
        <f>ROUND(F47*G47,2)</f>
        <v>675.95</v>
      </c>
      <c r="J47" s="222">
        <f>H47/$H$38</f>
        <v>0.022218365494824</v>
      </c>
      <c r="K47" s="4"/>
    </row>
    <row r="48" spans="1:12" s="154" customFormat="1">
      <c r="A48" s="183">
        <f>A47+1</f>
        <v>35</v>
      </c>
      <c r="B48" s="182"/>
      <c r="C48" s="171" t="s">
        <v>180</v>
      </c>
      <c r="D48" s="8" t="s">
        <v>181</v>
      </c>
      <c r="E48" s="2" t="s">
        <v>163</v>
      </c>
      <c r="F48" s="171">
        <v>16.91</v>
      </c>
      <c r="G48" s="42">
        <v>30</v>
      </c>
      <c r="H48" s="98">
        <f>ROUND(F48*G48,2)</f>
        <v>507.3</v>
      </c>
      <c r="J48" s="217">
        <f>H48/$H$38</f>
        <v>0.016674867690694</v>
      </c>
      <c r="K48" s="4"/>
    </row>
    <row r="49" spans="1:12" customHeight="1" ht="38.25" s="154" customFormat="1">
      <c r="A49" s="183">
        <f>A48+1</f>
        <v>36</v>
      </c>
      <c r="B49" s="182"/>
      <c r="C49" s="171" t="s">
        <v>182</v>
      </c>
      <c r="D49" s="8" t="s">
        <v>183</v>
      </c>
      <c r="E49" s="2" t="s">
        <v>163</v>
      </c>
      <c r="F49" s="171">
        <v>5.04</v>
      </c>
      <c r="G49" s="42">
        <v>90</v>
      </c>
      <c r="H49" s="98">
        <f>ROUND(F49*G49,2)</f>
        <v>453.6</v>
      </c>
      <c r="J49" s="217">
        <f>H49/$H$38</f>
        <v>0.014909757509361</v>
      </c>
      <c r="K49" s="4"/>
    </row>
    <row r="50" spans="1:12" customHeight="1" ht="25.5" s="154" customFormat="1">
      <c r="A50" s="183">
        <f>A49+1</f>
        <v>37</v>
      </c>
      <c r="B50" s="182"/>
      <c r="C50" s="171" t="s">
        <v>184</v>
      </c>
      <c r="D50" s="8" t="s">
        <v>185</v>
      </c>
      <c r="E50" s="2" t="s">
        <v>163</v>
      </c>
      <c r="F50" s="171">
        <v>1.92</v>
      </c>
      <c r="G50" s="42">
        <v>197.01</v>
      </c>
      <c r="H50" s="98">
        <f>ROUND(F50*G50,2)</f>
        <v>378.26</v>
      </c>
      <c r="J50" s="217">
        <f>H50/$H$38</f>
        <v>0.01243334408177</v>
      </c>
      <c r="K50" s="4"/>
    </row>
    <row r="51" spans="1:12" s="154" customFormat="1">
      <c r="A51" s="183">
        <f>A50+1</f>
        <v>38</v>
      </c>
      <c r="B51" s="182"/>
      <c r="C51" s="171" t="s">
        <v>186</v>
      </c>
      <c r="D51" s="8" t="s">
        <v>187</v>
      </c>
      <c r="E51" s="2" t="s">
        <v>163</v>
      </c>
      <c r="F51" s="171">
        <v>3.1</v>
      </c>
      <c r="G51" s="42">
        <v>120.04</v>
      </c>
      <c r="H51" s="98">
        <f>ROUND(F51*G51,2)</f>
        <v>372.12</v>
      </c>
      <c r="J51" s="217">
        <f>H51/$H$38</f>
        <v>0.012231523290086</v>
      </c>
      <c r="K51" s="4"/>
    </row>
    <row r="52" spans="1:12" customHeight="1" ht="25.5" s="154" customFormat="1">
      <c r="A52" s="183">
        <f>A51+1</f>
        <v>39</v>
      </c>
      <c r="B52" s="182"/>
      <c r="C52" s="171" t="s">
        <v>188</v>
      </c>
      <c r="D52" s="8" t="s">
        <v>189</v>
      </c>
      <c r="E52" s="2" t="s">
        <v>163</v>
      </c>
      <c r="F52" s="171">
        <v>5.18</v>
      </c>
      <c r="G52" s="42">
        <v>65.25</v>
      </c>
      <c r="H52" s="98">
        <f>ROUND(F52*G52,2)</f>
        <v>338</v>
      </c>
      <c r="J52" s="217">
        <f>H52/$H$38</f>
        <v>0.011110004493307</v>
      </c>
      <c r="K52" s="4"/>
    </row>
    <row r="53" spans="1:12" customHeight="1" ht="25.5" s="154" customFormat="1">
      <c r="A53" s="183">
        <f>A52+1</f>
        <v>40</v>
      </c>
      <c r="B53" s="182"/>
      <c r="C53" s="171" t="s">
        <v>190</v>
      </c>
      <c r="D53" s="8" t="s">
        <v>191</v>
      </c>
      <c r="E53" s="2" t="s">
        <v>163</v>
      </c>
      <c r="F53" s="171">
        <v>23.29</v>
      </c>
      <c r="G53" s="42">
        <v>12.31</v>
      </c>
      <c r="H53" s="98">
        <f>ROUND(F53*G53,2)</f>
        <v>286.7</v>
      </c>
      <c r="J53" s="217">
        <f>H53/$H$38</f>
        <v>0.0094237819178432</v>
      </c>
      <c r="K53" s="4"/>
    </row>
    <row r="54" spans="1:12" customHeight="1" ht="25.5" s="154" customFormat="1">
      <c r="A54" s="183">
        <f>A53+1</f>
        <v>41</v>
      </c>
      <c r="B54" s="182"/>
      <c r="C54" s="171" t="s">
        <v>192</v>
      </c>
      <c r="D54" s="8" t="s">
        <v>193</v>
      </c>
      <c r="E54" s="2" t="s">
        <v>163</v>
      </c>
      <c r="F54" s="171">
        <v>7.02</v>
      </c>
      <c r="G54" s="42">
        <v>31.26</v>
      </c>
      <c r="H54" s="98">
        <f>ROUND(F54*G54,2)</f>
        <v>219.45</v>
      </c>
      <c r="J54" s="217">
        <f>H54/$H$38</f>
        <v>0.0072132854617045</v>
      </c>
      <c r="K54" s="4"/>
    </row>
    <row r="55" spans="1:12" s="154" customFormat="1">
      <c r="A55" s="183">
        <f>A54+1</f>
        <v>42</v>
      </c>
      <c r="B55" s="182"/>
      <c r="C55" s="171" t="s">
        <v>194</v>
      </c>
      <c r="D55" s="8" t="s">
        <v>195</v>
      </c>
      <c r="E55" s="2" t="s">
        <v>163</v>
      </c>
      <c r="F55" s="171">
        <v>1.75</v>
      </c>
      <c r="G55" s="42">
        <v>120.24</v>
      </c>
      <c r="H55" s="98">
        <f>ROUND(F55*G55,2)</f>
        <v>210.42</v>
      </c>
      <c r="J55" s="217">
        <f>H55/$H$38</f>
        <v>0.00691647084462</v>
      </c>
      <c r="K55" s="4"/>
    </row>
    <row r="56" spans="1:12" s="154" customFormat="1">
      <c r="A56" s="183">
        <f>A55+1</f>
        <v>43</v>
      </c>
      <c r="B56" s="182"/>
      <c r="C56" s="171">
        <v>134041</v>
      </c>
      <c r="D56" s="8" t="s">
        <v>196</v>
      </c>
      <c r="E56" s="2" t="s">
        <v>163</v>
      </c>
      <c r="F56" s="171">
        <v>69.58</v>
      </c>
      <c r="G56" s="42">
        <v>3</v>
      </c>
      <c r="H56" s="98">
        <f>ROUND(F56*G56,2)</f>
        <v>208.74</v>
      </c>
      <c r="J56" s="217">
        <f>H56/$H$38</f>
        <v>0.0068612495205113</v>
      </c>
      <c r="K56" s="4"/>
    </row>
    <row r="57" spans="1:12" s="154" customFormat="1">
      <c r="A57" s="183">
        <f>A56+1</f>
        <v>44</v>
      </c>
      <c r="B57" s="182"/>
      <c r="C57" s="171" t="s">
        <v>197</v>
      </c>
      <c r="D57" s="8" t="s">
        <v>198</v>
      </c>
      <c r="E57" s="2" t="s">
        <v>163</v>
      </c>
      <c r="F57" s="171">
        <v>2.25</v>
      </c>
      <c r="G57" s="42">
        <v>89.99</v>
      </c>
      <c r="H57" s="98">
        <f>ROUND(F57*G57,2)</f>
        <v>202.48</v>
      </c>
      <c r="J57" s="217">
        <f>H57/$H$38</f>
        <v>0.0066554843485346</v>
      </c>
      <c r="K57" s="4"/>
    </row>
    <row r="58" spans="1:12" s="154" customFormat="1">
      <c r="A58" s="183">
        <f>A57+1</f>
        <v>45</v>
      </c>
      <c r="B58" s="182"/>
      <c r="C58" s="171" t="s">
        <v>199</v>
      </c>
      <c r="D58" s="8" t="s">
        <v>200</v>
      </c>
      <c r="E58" s="2" t="s">
        <v>163</v>
      </c>
      <c r="F58" s="171">
        <v>13.73</v>
      </c>
      <c r="G58" s="42">
        <v>14.15</v>
      </c>
      <c r="H58" s="98">
        <f>ROUND(F58*G58,2)</f>
        <v>194.28</v>
      </c>
      <c r="J58" s="217">
        <f>H58/$H$38</f>
        <v>0.0063859516951467</v>
      </c>
      <c r="K58" s="4"/>
    </row>
    <row r="59" spans="1:12" s="154" customFormat="1">
      <c r="A59" s="183">
        <f>A58+1</f>
        <v>46</v>
      </c>
      <c r="B59" s="182"/>
      <c r="C59" s="171" t="s">
        <v>201</v>
      </c>
      <c r="D59" s="8" t="s">
        <v>202</v>
      </c>
      <c r="E59" s="2" t="s">
        <v>163</v>
      </c>
      <c r="F59" s="171">
        <v>2.25</v>
      </c>
      <c r="G59" s="42">
        <v>79.07</v>
      </c>
      <c r="H59" s="98">
        <f>ROUND(F59*G59,2)</f>
        <v>177.91</v>
      </c>
      <c r="J59" s="217">
        <f>H59/$H$38</f>
        <v>0.0058478724834443</v>
      </c>
      <c r="K59" s="4"/>
    </row>
    <row r="60" spans="1:12" s="154" customFormat="1">
      <c r="A60" s="183">
        <f>A59+1</f>
        <v>47</v>
      </c>
      <c r="B60" s="182"/>
      <c r="C60" s="171" t="s">
        <v>203</v>
      </c>
      <c r="D60" s="8" t="s">
        <v>204</v>
      </c>
      <c r="E60" s="2" t="s">
        <v>163</v>
      </c>
      <c r="F60" s="171">
        <v>5.81</v>
      </c>
      <c r="G60" s="42">
        <v>29.6</v>
      </c>
      <c r="H60" s="98">
        <f>ROUND(F60*G60,2)</f>
        <v>171.98</v>
      </c>
      <c r="J60" s="217">
        <f>H60/$H$38</f>
        <v>0.0056529543572747</v>
      </c>
      <c r="K60" s="4"/>
    </row>
    <row r="61" spans="1:12" s="154" customFormat="1">
      <c r="A61" s="183">
        <f>A60+1</f>
        <v>48</v>
      </c>
      <c r="B61" s="182"/>
      <c r="C61" s="171" t="s">
        <v>205</v>
      </c>
      <c r="D61" s="8" t="s">
        <v>206</v>
      </c>
      <c r="E61" s="2" t="s">
        <v>163</v>
      </c>
      <c r="F61" s="171">
        <v>0.55</v>
      </c>
      <c r="G61" s="42">
        <v>312.21</v>
      </c>
      <c r="H61" s="98">
        <f>ROUND(F61*G61,2)</f>
        <v>171.72</v>
      </c>
      <c r="J61" s="217">
        <f>H61/$H$38</f>
        <v>0.0056444081999722</v>
      </c>
      <c r="K61" s="4"/>
    </row>
    <row r="62" spans="1:12" customHeight="1" ht="25.5" s="154" customFormat="1">
      <c r="A62" s="183">
        <f>A61+1</f>
        <v>49</v>
      </c>
      <c r="B62" s="182"/>
      <c r="C62" s="171" t="s">
        <v>207</v>
      </c>
      <c r="D62" s="8" t="s">
        <v>208</v>
      </c>
      <c r="E62" s="2" t="s">
        <v>163</v>
      </c>
      <c r="F62" s="171">
        <v>1.45</v>
      </c>
      <c r="G62" s="42">
        <v>102.51</v>
      </c>
      <c r="H62" s="98">
        <f>ROUND(F62*G62,2)</f>
        <v>148.64</v>
      </c>
      <c r="J62" s="217">
        <f>H62/$H$38</f>
        <v>0.0048857723901926</v>
      </c>
      <c r="K62" s="4"/>
    </row>
    <row r="63" spans="1:12" s="154" customFormat="1">
      <c r="A63" s="183">
        <f>A62+1</f>
        <v>50</v>
      </c>
      <c r="B63" s="182"/>
      <c r="C63" s="171" t="s">
        <v>209</v>
      </c>
      <c r="D63" s="8" t="s">
        <v>210</v>
      </c>
      <c r="E63" s="2" t="s">
        <v>163</v>
      </c>
      <c r="F63" s="171">
        <v>36.19</v>
      </c>
      <c r="G63" s="42">
        <v>1.9</v>
      </c>
      <c r="H63" s="98">
        <f>ROUND(F63*G63,2)</f>
        <v>68.76</v>
      </c>
      <c r="J63" s="217">
        <f>H63/$H$38</f>
        <v>0.002260129908165</v>
      </c>
      <c r="K63" s="4"/>
    </row>
    <row r="64" spans="1:12" customHeight="1" ht="25.5" s="154" customFormat="1">
      <c r="A64" s="183">
        <f>A63+1</f>
        <v>51</v>
      </c>
      <c r="B64" s="182"/>
      <c r="C64" s="171" t="s">
        <v>211</v>
      </c>
      <c r="D64" s="8" t="s">
        <v>212</v>
      </c>
      <c r="E64" s="2" t="s">
        <v>163</v>
      </c>
      <c r="F64" s="171">
        <v>18.63</v>
      </c>
      <c r="G64" s="42">
        <v>3.28</v>
      </c>
      <c r="H64" s="98">
        <f>ROUND(F64*G64,2)</f>
        <v>61.11</v>
      </c>
      <c r="J64" s="217">
        <f>H64/$H$38</f>
        <v>0.0020086756644555</v>
      </c>
      <c r="K64" s="4"/>
    </row>
    <row r="65" spans="1:12" customHeight="1" ht="25.5" s="154" customFormat="1">
      <c r="A65" s="183">
        <f>A64+1</f>
        <v>52</v>
      </c>
      <c r="B65" s="182"/>
      <c r="C65" s="171" t="s">
        <v>213</v>
      </c>
      <c r="D65" s="8" t="s">
        <v>214</v>
      </c>
      <c r="E65" s="2" t="s">
        <v>163</v>
      </c>
      <c r="F65" s="171">
        <v>8.1</v>
      </c>
      <c r="G65" s="42">
        <v>6.66</v>
      </c>
      <c r="H65" s="98">
        <f>ROUND(F65*G65,2)</f>
        <v>53.95</v>
      </c>
      <c r="J65" s="217">
        <f>H65/$H$38</f>
        <v>0.0017733276402778</v>
      </c>
      <c r="K65" s="4"/>
    </row>
    <row r="66" spans="1:12" s="154" customFormat="1">
      <c r="A66" s="183">
        <f>A65+1</f>
        <v>53</v>
      </c>
      <c r="B66" s="182"/>
      <c r="C66" s="171">
        <v>330206</v>
      </c>
      <c r="D66" s="8" t="s">
        <v>215</v>
      </c>
      <c r="E66" s="2" t="s">
        <v>163</v>
      </c>
      <c r="F66" s="171">
        <v>20.01</v>
      </c>
      <c r="G66" s="42">
        <v>1.95</v>
      </c>
      <c r="H66" s="98">
        <f>ROUND(F66*G66,2)</f>
        <v>39.02</v>
      </c>
      <c r="J66" s="217">
        <f>H66/$H$38</f>
        <v>0.0012825809920971</v>
      </c>
      <c r="K66" s="4"/>
    </row>
    <row r="67" spans="1:12" customHeight="1" ht="25.5" s="154" customFormat="1">
      <c r="A67" s="183">
        <f>A66+1</f>
        <v>54</v>
      </c>
      <c r="B67" s="182"/>
      <c r="C67" s="171" t="s">
        <v>216</v>
      </c>
      <c r="D67" s="8" t="s">
        <v>217</v>
      </c>
      <c r="E67" s="2" t="s">
        <v>163</v>
      </c>
      <c r="F67" s="171">
        <v>5.07</v>
      </c>
      <c r="G67" s="42">
        <v>6.9</v>
      </c>
      <c r="H67" s="98">
        <f>ROUND(F67*G67,2)</f>
        <v>34.98</v>
      </c>
      <c r="J67" s="217">
        <f>H67/$H$38</f>
        <v>0.0011497868555499</v>
      </c>
      <c r="K67" s="4"/>
    </row>
    <row r="68" spans="1:12" s="154" customFormat="1">
      <c r="A68" s="183">
        <f>A67+1</f>
        <v>55</v>
      </c>
      <c r="B68" s="182"/>
      <c r="C68" s="171" t="s">
        <v>218</v>
      </c>
      <c r="D68" s="8" t="s">
        <v>219</v>
      </c>
      <c r="E68" s="2" t="s">
        <v>163</v>
      </c>
      <c r="F68" s="171">
        <v>29.05</v>
      </c>
      <c r="G68" s="42">
        <v>1.2</v>
      </c>
      <c r="H68" s="98">
        <f>ROUND(F68*G68,2)</f>
        <v>34.86</v>
      </c>
      <c r="J68" s="217">
        <f>H68/$H$38</f>
        <v>0.0011458424752564</v>
      </c>
      <c r="K68" s="4"/>
    </row>
    <row r="69" spans="1:12" customHeight="1" ht="25.5" s="154" customFormat="1">
      <c r="A69" s="183">
        <f>A68+1</f>
        <v>56</v>
      </c>
      <c r="B69" s="182"/>
      <c r="C69" s="171" t="s">
        <v>220</v>
      </c>
      <c r="D69" s="8" t="s">
        <v>221</v>
      </c>
      <c r="E69" s="2" t="s">
        <v>163</v>
      </c>
      <c r="F69" s="171">
        <v>0.36</v>
      </c>
      <c r="G69" s="42">
        <v>90.4</v>
      </c>
      <c r="H69" s="98">
        <f>ROUND(F69*G69,2)</f>
        <v>32.54</v>
      </c>
      <c r="J69" s="217">
        <f>H69/$H$38</f>
        <v>0.0010695844562491</v>
      </c>
      <c r="K69" s="4"/>
    </row>
    <row r="70" spans="1:12" customHeight="1" ht="25.5" s="154" customFormat="1">
      <c r="A70" s="183">
        <f>A69+1</f>
        <v>57</v>
      </c>
      <c r="B70" s="182"/>
      <c r="C70" s="171" t="s">
        <v>222</v>
      </c>
      <c r="D70" s="8" t="s">
        <v>223</v>
      </c>
      <c r="E70" s="2" t="s">
        <v>163</v>
      </c>
      <c r="F70" s="171">
        <v>0.4</v>
      </c>
      <c r="G70" s="42">
        <v>73.12</v>
      </c>
      <c r="H70" s="98">
        <f>ROUND(F70*G70,2)</f>
        <v>29.25</v>
      </c>
      <c r="J70" s="217">
        <f>H70/$H$38</f>
        <v>0.00096144269653614</v>
      </c>
      <c r="K70" s="4"/>
    </row>
    <row r="71" spans="1:12" s="154" customFormat="1">
      <c r="A71" s="183">
        <f>A70+1</f>
        <v>58</v>
      </c>
      <c r="B71" s="182"/>
      <c r="C71" s="171" t="s">
        <v>224</v>
      </c>
      <c r="D71" s="8" t="s">
        <v>225</v>
      </c>
      <c r="E71" s="2" t="s">
        <v>163</v>
      </c>
      <c r="F71" s="171">
        <v>45.39</v>
      </c>
      <c r="G71" s="42">
        <v>0.5</v>
      </c>
      <c r="H71" s="98">
        <f>ROUND(F71*G71,2)</f>
        <v>22.7</v>
      </c>
      <c r="J71" s="217">
        <f>H71/$H$38</f>
        <v>0.00074614527218361</v>
      </c>
      <c r="K71" s="4"/>
    </row>
    <row r="72" spans="1:12" s="154" customFormat="1">
      <c r="A72" s="183">
        <f>A71+1</f>
        <v>59</v>
      </c>
      <c r="B72" s="182"/>
      <c r="C72" s="171" t="s">
        <v>226</v>
      </c>
      <c r="D72" s="8" t="s">
        <v>227</v>
      </c>
      <c r="E72" s="2" t="s">
        <v>163</v>
      </c>
      <c r="F72" s="171">
        <v>21.82</v>
      </c>
      <c r="G72" s="42">
        <v>0.9</v>
      </c>
      <c r="H72" s="98">
        <f>ROUND(F72*G72,2)</f>
        <v>19.64</v>
      </c>
      <c r="J72" s="217">
        <f>H72/$H$38</f>
        <v>0.00064556357469982</v>
      </c>
      <c r="K72" s="4"/>
    </row>
    <row r="73" spans="1:12" customHeight="1" ht="38.25" s="154" customFormat="1">
      <c r="A73" s="183">
        <f>A72+1</f>
        <v>60</v>
      </c>
      <c r="B73" s="182"/>
      <c r="C73" s="171" t="s">
        <v>228</v>
      </c>
      <c r="D73" s="8" t="s">
        <v>229</v>
      </c>
      <c r="E73" s="2" t="s">
        <v>163</v>
      </c>
      <c r="F73" s="171">
        <v>2.15</v>
      </c>
      <c r="G73" s="42">
        <v>7.77</v>
      </c>
      <c r="H73" s="98">
        <f>ROUND(F73*G73,2)</f>
        <v>16.71</v>
      </c>
      <c r="J73" s="217">
        <f>H73/$H$38</f>
        <v>0.00054925495586732</v>
      </c>
      <c r="K73" s="4"/>
    </row>
    <row r="74" spans="1:12" s="154" customFormat="1">
      <c r="A74" s="183">
        <f>A73+1</f>
        <v>61</v>
      </c>
      <c r="B74" s="182"/>
      <c r="C74" s="171" t="s">
        <v>230</v>
      </c>
      <c r="D74" s="8" t="s">
        <v>231</v>
      </c>
      <c r="E74" s="2" t="s">
        <v>163</v>
      </c>
      <c r="F74" s="171">
        <v>4.32</v>
      </c>
      <c r="G74" s="42">
        <v>2.7</v>
      </c>
      <c r="H74" s="98">
        <f>ROUND(F74*G74,2)</f>
        <v>11.66</v>
      </c>
      <c r="J74" s="217">
        <f>H74/$H$38</f>
        <v>0.0003832622851833</v>
      </c>
      <c r="K74" s="4"/>
    </row>
    <row r="75" spans="1:12" customHeight="1" ht="25.5" s="154" customFormat="1">
      <c r="A75" s="183">
        <f>A74+1</f>
        <v>62</v>
      </c>
      <c r="B75" s="182"/>
      <c r="C75" s="171" t="s">
        <v>232</v>
      </c>
      <c r="D75" s="8" t="s">
        <v>233</v>
      </c>
      <c r="E75" s="2" t="s">
        <v>163</v>
      </c>
      <c r="F75" s="171">
        <v>0.61</v>
      </c>
      <c r="G75" s="42">
        <v>16.44</v>
      </c>
      <c r="H75" s="98">
        <f>ROUND(F75*G75,2)</f>
        <v>10.03</v>
      </c>
      <c r="J75" s="217">
        <f>H75/$H$38</f>
        <v>0.00032968445286351</v>
      </c>
      <c r="K75" s="4"/>
    </row>
    <row r="76" spans="1:12" s="154" customFormat="1">
      <c r="A76" s="183">
        <f>A75+1</f>
        <v>63</v>
      </c>
      <c r="B76" s="182"/>
      <c r="C76" s="171">
        <v>331531</v>
      </c>
      <c r="D76" s="8" t="s">
        <v>234</v>
      </c>
      <c r="E76" s="2" t="s">
        <v>163</v>
      </c>
      <c r="F76" s="171">
        <v>7.55</v>
      </c>
      <c r="G76" s="42">
        <v>0.95</v>
      </c>
      <c r="H76" s="98">
        <f>ROUND(F76*G76,2)</f>
        <v>7.17</v>
      </c>
      <c r="J76" s="217">
        <f>H76/$H$38</f>
        <v>0.00023567672253553</v>
      </c>
      <c r="K76" s="4"/>
    </row>
    <row r="77" spans="1:12" customHeight="1" ht="25.5" s="154" customFormat="1">
      <c r="A77" s="183">
        <f>A76+1</f>
        <v>64</v>
      </c>
      <c r="B77" s="182"/>
      <c r="C77" s="171" t="s">
        <v>235</v>
      </c>
      <c r="D77" s="8" t="s">
        <v>236</v>
      </c>
      <c r="E77" s="2" t="s">
        <v>163</v>
      </c>
      <c r="F77" s="171">
        <v>12.38</v>
      </c>
      <c r="G77" s="42">
        <v>0.55</v>
      </c>
      <c r="H77" s="98">
        <f>ROUND(F77*G77,2)</f>
        <v>6.81</v>
      </c>
      <c r="J77" s="217">
        <f>H77/$H$38</f>
        <v>0.00022384358165508</v>
      </c>
      <c r="K77" s="4"/>
    </row>
    <row r="78" spans="1:12" customHeight="1" ht="25.5" s="154" customFormat="1">
      <c r="A78" s="183">
        <f>A77+1</f>
        <v>65</v>
      </c>
      <c r="B78" s="182"/>
      <c r="C78" s="171" t="s">
        <v>237</v>
      </c>
      <c r="D78" s="8" t="s">
        <v>238</v>
      </c>
      <c r="E78" s="2" t="s">
        <v>163</v>
      </c>
      <c r="F78" s="171">
        <v>0.69</v>
      </c>
      <c r="G78" s="42">
        <v>6.82</v>
      </c>
      <c r="H78" s="98">
        <f>ROUND(F78*G78,2)</f>
        <v>4.71</v>
      </c>
      <c r="J78" s="217">
        <f>H78/$H$38</f>
        <v>0.00015481692651915</v>
      </c>
      <c r="K78" s="4"/>
    </row>
    <row r="79" spans="1:12" s="154" customFormat="1">
      <c r="A79" s="183">
        <f>A78+1</f>
        <v>66</v>
      </c>
      <c r="B79" s="182"/>
      <c r="C79" s="171" t="s">
        <v>239</v>
      </c>
      <c r="D79" s="8" t="s">
        <v>240</v>
      </c>
      <c r="E79" s="2" t="s">
        <v>163</v>
      </c>
      <c r="F79" s="171">
        <v>0.02</v>
      </c>
      <c r="G79" s="42">
        <v>89.54</v>
      </c>
      <c r="H79" s="98">
        <f>ROUND(F79*G79,2)</f>
        <v>1.79</v>
      </c>
      <c r="J79" s="217">
        <f>H79/$H$38</f>
        <v>5.8837006044434E-5</v>
      </c>
      <c r="K79" s="4"/>
    </row>
    <row r="80" spans="1:12" customHeight="1" ht="25.5" s="154" customFormat="1">
      <c r="A80" s="183">
        <f>A79+1</f>
        <v>67</v>
      </c>
      <c r="B80" s="182"/>
      <c r="C80" s="171" t="s">
        <v>241</v>
      </c>
      <c r="D80" s="8" t="s">
        <v>242</v>
      </c>
      <c r="E80" s="2" t="s">
        <v>163</v>
      </c>
      <c r="F80" s="171">
        <v>2.02</v>
      </c>
      <c r="G80" s="42">
        <v>0.7</v>
      </c>
      <c r="H80" s="98">
        <f>ROUND(F80*G80,2)</f>
        <v>1.41</v>
      </c>
      <c r="J80" s="217">
        <f>H80/$H$38</f>
        <v>4.6346468448409E-5</v>
      </c>
      <c r="K80" s="4"/>
    </row>
    <row r="81" spans="1:12" customHeight="1" ht="25.5" s="154" customFormat="1">
      <c r="A81" s="183">
        <f>A80+1</f>
        <v>68</v>
      </c>
      <c r="B81" s="182"/>
      <c r="C81" s="171" t="s">
        <v>243</v>
      </c>
      <c r="D81" s="8" t="s">
        <v>244</v>
      </c>
      <c r="E81" s="2" t="s">
        <v>163</v>
      </c>
      <c r="F81" s="171">
        <v>1.38</v>
      </c>
      <c r="G81" s="42">
        <v>0.9</v>
      </c>
      <c r="H81" s="98">
        <f>ROUND(F81*G81,2)</f>
        <v>1.24</v>
      </c>
      <c r="J81" s="217">
        <f>H81/$H$38</f>
        <v>4.0758596365977E-5</v>
      </c>
      <c r="K81" s="4"/>
    </row>
    <row r="82" spans="1:12" customHeight="1" ht="25.5" s="154" customFormat="1">
      <c r="A82" s="183">
        <f>A81+1</f>
        <v>69</v>
      </c>
      <c r="B82" s="182"/>
      <c r="C82" s="171" t="s">
        <v>245</v>
      </c>
      <c r="D82" s="8" t="s">
        <v>246</v>
      </c>
      <c r="E82" s="2" t="s">
        <v>163</v>
      </c>
      <c r="F82" s="171">
        <v>0.22</v>
      </c>
      <c r="G82" s="42">
        <v>2.99</v>
      </c>
      <c r="H82" s="98">
        <f>ROUND(F82*G82,2)</f>
        <v>0.66</v>
      </c>
      <c r="J82" s="217">
        <f>H82/$H$38</f>
        <v>2.1694091614149E-5</v>
      </c>
      <c r="K82" s="4"/>
    </row>
    <row r="83" spans="1:12" customHeight="1" ht="14.95">
      <c r="A83" s="275" t="s">
        <v>43</v>
      </c>
      <c r="B83" s="275"/>
      <c r="C83" s="275"/>
      <c r="D83" s="275"/>
      <c r="E83" s="275"/>
      <c r="F83" s="10"/>
      <c r="G83" s="10"/>
      <c r="H83" s="167">
        <f>SUM(H84:H93)</f>
        <v>1286333.78</v>
      </c>
      <c r="J83" s="4"/>
      <c r="K83" s="4"/>
    </row>
    <row r="84" spans="1:12" customHeight="1" ht="39.25">
      <c r="A84" s="2">
        <v>70</v>
      </c>
      <c r="B84" s="129"/>
      <c r="C84" s="171" t="s">
        <v>247</v>
      </c>
      <c r="D84" s="8" t="s">
        <v>248</v>
      </c>
      <c r="E84" s="2" t="s">
        <v>249</v>
      </c>
      <c r="F84" s="171">
        <v>135</v>
      </c>
      <c r="G84" s="42">
        <v>6243.65</v>
      </c>
      <c r="H84" s="27">
        <f>F84*G84</f>
        <v>842892.75</v>
      </c>
      <c r="J84" s="220">
        <f>H84/$H$83</f>
        <v>0.65526752317738</v>
      </c>
      <c r="K84" s="223">
        <f>SUM(J84:J86)</f>
        <v>0.90513061858641</v>
      </c>
    </row>
    <row r="85" spans="1:12" customHeight="1" ht="14.95">
      <c r="A85" s="2">
        <v>71</v>
      </c>
      <c r="B85" s="129"/>
      <c r="C85" s="171" t="s">
        <v>250</v>
      </c>
      <c r="D85" s="8" t="s">
        <v>251</v>
      </c>
      <c r="E85" s="2" t="s">
        <v>252</v>
      </c>
      <c r="F85" s="171">
        <v>3</v>
      </c>
      <c r="G85" s="42">
        <v>65947.2</v>
      </c>
      <c r="H85" s="27">
        <f>F85*G85</f>
        <v>197841.6</v>
      </c>
      <c r="J85" s="221">
        <f>H85/$H$83</f>
        <v>0.15380269341912</v>
      </c>
      <c r="K85" s="4"/>
    </row>
    <row r="86" spans="1:12" customHeight="1" ht="51.8">
      <c r="A86" s="2">
        <v>72</v>
      </c>
      <c r="B86" s="129"/>
      <c r="C86" s="171" t="s">
        <v>253</v>
      </c>
      <c r="D86" s="8" t="s">
        <v>254</v>
      </c>
      <c r="E86" s="2" t="s">
        <v>252</v>
      </c>
      <c r="F86" s="171">
        <v>1</v>
      </c>
      <c r="G86" s="42">
        <v>123565.74</v>
      </c>
      <c r="H86" s="27">
        <f>F86*G86</f>
        <v>123565.74</v>
      </c>
      <c r="J86" s="222">
        <f>H86/$H$83</f>
        <v>0.09606040198991</v>
      </c>
      <c r="K86" s="4"/>
    </row>
    <row r="87" spans="1:12" customHeight="1" ht="25.5">
      <c r="A87" s="2">
        <v>73</v>
      </c>
      <c r="B87" s="129"/>
      <c r="C87" s="171" t="s">
        <v>255</v>
      </c>
      <c r="D87" s="8" t="s">
        <v>256</v>
      </c>
      <c r="E87" s="2" t="s">
        <v>249</v>
      </c>
      <c r="F87" s="171">
        <v>6</v>
      </c>
      <c r="G87" s="98">
        <v>13334.64</v>
      </c>
      <c r="H87" s="27">
        <f>F87*G87</f>
        <v>80007.84</v>
      </c>
      <c r="J87" s="217">
        <f>H87/$H$83</f>
        <v>0.062198351037629</v>
      </c>
      <c r="K87" s="4"/>
    </row>
    <row r="88" spans="1:12" customHeight="1" ht="25.5">
      <c r="A88" s="2">
        <v>74</v>
      </c>
      <c r="B88" s="129"/>
      <c r="C88" s="171" t="s">
        <v>257</v>
      </c>
      <c r="D88" s="8" t="s">
        <v>258</v>
      </c>
      <c r="E88" s="7" t="s">
        <v>249</v>
      </c>
      <c r="F88" s="7">
        <v>6</v>
      </c>
      <c r="G88" s="180">
        <v>3365.95</v>
      </c>
      <c r="H88" s="27">
        <f>F88*G88</f>
        <v>20195.7</v>
      </c>
      <c r="J88" s="217">
        <f>H88/$H$83</f>
        <v>0.015700201855851</v>
      </c>
      <c r="K88" s="4"/>
    </row>
    <row r="89" spans="1:12" customHeight="1" ht="14.95">
      <c r="A89" s="2">
        <v>75</v>
      </c>
      <c r="B89" s="129"/>
      <c r="C89" s="171" t="s">
        <v>257</v>
      </c>
      <c r="D89" s="8" t="s">
        <v>259</v>
      </c>
      <c r="E89" s="2" t="s">
        <v>249</v>
      </c>
      <c r="F89" s="171">
        <v>1</v>
      </c>
      <c r="G89" s="42">
        <v>13671.52</v>
      </c>
      <c r="H89" s="27">
        <f>F89*G89</f>
        <v>13671.52</v>
      </c>
      <c r="J89" s="217">
        <f>H89/$H$83</f>
        <v>0.010628283430448</v>
      </c>
      <c r="K89" s="4"/>
    </row>
    <row r="90" spans="1:12" customHeight="1" ht="14.95">
      <c r="A90" s="2">
        <v>76</v>
      </c>
      <c r="B90" s="129"/>
      <c r="C90" s="171" t="s">
        <v>257</v>
      </c>
      <c r="D90" s="8" t="s">
        <v>260</v>
      </c>
      <c r="E90" s="2" t="s">
        <v>249</v>
      </c>
      <c r="F90" s="171">
        <v>1</v>
      </c>
      <c r="G90" s="42">
        <v>5609.93</v>
      </c>
      <c r="H90" s="27">
        <f>F90*G90</f>
        <v>5609.93</v>
      </c>
      <c r="J90" s="217">
        <f>H90/$H$83</f>
        <v>0.0043611775475569</v>
      </c>
      <c r="K90" s="4"/>
    </row>
    <row r="91" spans="1:12" customHeight="1" ht="14.95">
      <c r="A91" s="2">
        <v>77</v>
      </c>
      <c r="B91" s="129"/>
      <c r="C91" s="171" t="s">
        <v>257</v>
      </c>
      <c r="D91" s="8" t="s">
        <v>261</v>
      </c>
      <c r="E91" s="2" t="s">
        <v>249</v>
      </c>
      <c r="F91" s="171">
        <v>2</v>
      </c>
      <c r="G91" s="42">
        <v>822.3</v>
      </c>
      <c r="H91" s="27">
        <f>F91*G91</f>
        <v>1644.6</v>
      </c>
      <c r="J91" s="217">
        <f>H91/$H$83</f>
        <v>0.00127851730676</v>
      </c>
      <c r="K91" s="4"/>
    </row>
    <row r="92" spans="1:12" customHeight="1" ht="25.5">
      <c r="A92" s="2">
        <v>78</v>
      </c>
      <c r="B92" s="129"/>
      <c r="C92" s="171" t="s">
        <v>257</v>
      </c>
      <c r="D92" s="8" t="s">
        <v>262</v>
      </c>
      <c r="E92" s="7" t="s">
        <v>249</v>
      </c>
      <c r="F92" s="7">
        <v>1</v>
      </c>
      <c r="G92" s="180">
        <v>824.95</v>
      </c>
      <c r="H92" s="27">
        <f>F92*G92</f>
        <v>824.95</v>
      </c>
      <c r="J92" s="217">
        <f>H92/$H$83</f>
        <v>0.00064131877186651</v>
      </c>
      <c r="K92" s="4"/>
    </row>
    <row r="93" spans="1:12" customHeight="1" ht="14.95">
      <c r="A93" s="2">
        <v>79</v>
      </c>
      <c r="B93" s="129"/>
      <c r="C93" s="171" t="s">
        <v>257</v>
      </c>
      <c r="D93" s="8" t="s">
        <v>263</v>
      </c>
      <c r="E93" s="7" t="s">
        <v>249</v>
      </c>
      <c r="F93" s="7">
        <v>1</v>
      </c>
      <c r="G93" s="180">
        <v>79.15</v>
      </c>
      <c r="H93" s="27">
        <f>F93*G93</f>
        <v>79.15</v>
      </c>
      <c r="J93" s="217">
        <f>H93/$H$83</f>
        <v>6.1531463474434E-5</v>
      </c>
      <c r="K93" s="4"/>
    </row>
    <row r="94" spans="1:12" customHeight="1" ht="16.5">
      <c r="A94" s="267" t="s">
        <v>264</v>
      </c>
      <c r="B94" s="268"/>
      <c r="C94" s="269"/>
      <c r="D94" s="269"/>
      <c r="E94" s="268"/>
      <c r="F94" s="156"/>
      <c r="G94" s="155"/>
      <c r="H94" s="167">
        <f>SUM(H95:H361)</f>
        <v>810163.91</v>
      </c>
      <c r="J94" s="218"/>
      <c r="K94" s="4"/>
    </row>
    <row r="95" spans="1:12" customHeight="1" ht="26.5">
      <c r="A95" s="7">
        <v>80</v>
      </c>
      <c r="B95" s="210"/>
      <c r="C95" s="130" t="s">
        <v>265</v>
      </c>
      <c r="D95" s="8" t="s">
        <v>266</v>
      </c>
      <c r="E95" s="2" t="s">
        <v>267</v>
      </c>
      <c r="F95" s="178">
        <v>140.68</v>
      </c>
      <c r="G95" s="98">
        <v>700</v>
      </c>
      <c r="H95" s="98">
        <f>ROUND(F95*G95,2)</f>
        <v>98476</v>
      </c>
      <c r="J95" s="220">
        <f>H95/$H$94</f>
        <v>0.12155071188002</v>
      </c>
      <c r="K95" s="223">
        <f>SUM(I95:J139)</f>
        <v>0.85077261711152</v>
      </c>
    </row>
    <row r="96" spans="1:12" customHeight="1" ht="50.95">
      <c r="A96" s="7">
        <v>81</v>
      </c>
      <c r="B96" s="210"/>
      <c r="C96" s="130" t="s">
        <v>268</v>
      </c>
      <c r="D96" s="8" t="s">
        <v>269</v>
      </c>
      <c r="E96" s="2" t="s">
        <v>270</v>
      </c>
      <c r="F96" s="178">
        <v>11</v>
      </c>
      <c r="G96" s="98">
        <v>7081.2</v>
      </c>
      <c r="H96" s="98">
        <f>ROUND(F96*G96,2)</f>
        <v>77893.2</v>
      </c>
      <c r="J96" s="221">
        <f>H96/$H$94</f>
        <v>0.09614498873444</v>
      </c>
      <c r="K96" s="4"/>
    </row>
    <row r="97" spans="1:12" customHeight="1" ht="25.5">
      <c r="A97" s="7">
        <v>82</v>
      </c>
      <c r="B97" s="210"/>
      <c r="C97" s="130" t="s">
        <v>271</v>
      </c>
      <c r="D97" s="8" t="s">
        <v>272</v>
      </c>
      <c r="E97" s="2" t="s">
        <v>273</v>
      </c>
      <c r="F97" s="178">
        <v>30.55</v>
      </c>
      <c r="G97" s="98">
        <v>2027</v>
      </c>
      <c r="H97" s="98">
        <f>ROUND(F97*G97,2)</f>
        <v>61924.85</v>
      </c>
      <c r="J97" s="221">
        <f>H97/$H$94</f>
        <v>0.076434964870257</v>
      </c>
      <c r="K97" s="4"/>
    </row>
    <row r="98" spans="1:12" customHeight="1" ht="25.5">
      <c r="A98" s="7">
        <v>83</v>
      </c>
      <c r="B98" s="210"/>
      <c r="C98" s="130" t="s">
        <v>274</v>
      </c>
      <c r="D98" s="8" t="s">
        <v>275</v>
      </c>
      <c r="E98" s="2" t="s">
        <v>273</v>
      </c>
      <c r="F98" s="178">
        <v>15.45</v>
      </c>
      <c r="G98" s="98">
        <v>2420</v>
      </c>
      <c r="H98" s="98">
        <f>ROUND(F98*G98,2)</f>
        <v>37389</v>
      </c>
      <c r="J98" s="221">
        <f>H98/$H$94</f>
        <v>0.046149920452517</v>
      </c>
      <c r="K98" s="4"/>
    </row>
    <row r="99" spans="1:12" customHeight="1" ht="38.25">
      <c r="A99" s="7">
        <v>84</v>
      </c>
      <c r="B99" s="210"/>
      <c r="C99" s="130" t="s">
        <v>276</v>
      </c>
      <c r="D99" s="8" t="s">
        <v>277</v>
      </c>
      <c r="E99" s="2" t="s">
        <v>267</v>
      </c>
      <c r="F99" s="178">
        <v>10.009</v>
      </c>
      <c r="G99" s="98">
        <v>3580.59</v>
      </c>
      <c r="H99" s="98">
        <f>ROUND(F99*G99,2)</f>
        <v>35838.13</v>
      </c>
      <c r="J99" s="221">
        <f>H99/$H$94</f>
        <v>0.044235653498809</v>
      </c>
      <c r="K99" s="4"/>
    </row>
    <row r="100" spans="1:12" customHeight="1" ht="25.5">
      <c r="A100" s="7">
        <v>85</v>
      </c>
      <c r="B100" s="210"/>
      <c r="C100" s="130" t="s">
        <v>278</v>
      </c>
      <c r="D100" s="8" t="s">
        <v>279</v>
      </c>
      <c r="E100" s="2" t="s">
        <v>280</v>
      </c>
      <c r="F100" s="178">
        <v>3.82</v>
      </c>
      <c r="G100" s="98">
        <v>7956.21</v>
      </c>
      <c r="H100" s="98">
        <f>ROUND(F100*G100,2)</f>
        <v>30392.72</v>
      </c>
      <c r="J100" s="221">
        <f>H100/$H$94</f>
        <v>0.037514285226554</v>
      </c>
      <c r="K100" s="4"/>
    </row>
    <row r="101" spans="1:12" customHeight="1" ht="25.5">
      <c r="A101" s="7">
        <v>86</v>
      </c>
      <c r="B101" s="210"/>
      <c r="C101" s="130" t="s">
        <v>281</v>
      </c>
      <c r="D101" s="8" t="s">
        <v>282</v>
      </c>
      <c r="E101" s="2" t="s">
        <v>280</v>
      </c>
      <c r="F101" s="178">
        <v>3.23</v>
      </c>
      <c r="G101" s="98">
        <v>7997.23</v>
      </c>
      <c r="H101" s="98">
        <f>ROUND(F101*G101,2)</f>
        <v>25831.05</v>
      </c>
      <c r="J101" s="221">
        <f>H101/$H$94</f>
        <v>0.031883733255904</v>
      </c>
      <c r="K101" s="4"/>
    </row>
    <row r="102" spans="1:12" customHeight="1" ht="50.95">
      <c r="A102" s="7">
        <v>87</v>
      </c>
      <c r="B102" s="210"/>
      <c r="C102" s="130" t="s">
        <v>283</v>
      </c>
      <c r="D102" s="8" t="s">
        <v>284</v>
      </c>
      <c r="E102" s="2" t="s">
        <v>270</v>
      </c>
      <c r="F102" s="178">
        <v>8</v>
      </c>
      <c r="G102" s="98">
        <v>2836.68</v>
      </c>
      <c r="H102" s="98">
        <f>ROUND(F102*G102,2)</f>
        <v>22693.44</v>
      </c>
      <c r="J102" s="221">
        <f>H102/$H$94</f>
        <v>0.02801092435727</v>
      </c>
      <c r="K102" s="4"/>
    </row>
    <row r="103" spans="1:12">
      <c r="A103" s="7">
        <v>88</v>
      </c>
      <c r="B103" s="211"/>
      <c r="C103" s="209" t="s">
        <v>285</v>
      </c>
      <c r="D103" s="190" t="s">
        <v>286</v>
      </c>
      <c r="E103" s="179" t="s">
        <v>287</v>
      </c>
      <c r="F103" s="197">
        <v>0.24</v>
      </c>
      <c r="G103" s="191">
        <v>91691.59</v>
      </c>
      <c r="H103" s="98">
        <f>ROUND(F103*G103,2)</f>
        <v>22005.98</v>
      </c>
      <c r="J103" s="221">
        <f>H103/$H$94</f>
        <v>0.027162380017644</v>
      </c>
      <c r="K103" s="216"/>
    </row>
    <row r="104" spans="1:12" customHeight="1" ht="25.5">
      <c r="A104" s="7">
        <v>89</v>
      </c>
      <c r="B104" s="210"/>
      <c r="C104" s="130" t="s">
        <v>288</v>
      </c>
      <c r="D104" s="8" t="s">
        <v>289</v>
      </c>
      <c r="E104" s="2" t="s">
        <v>280</v>
      </c>
      <c r="F104" s="178">
        <v>2.88</v>
      </c>
      <c r="G104" s="98">
        <v>6508.75</v>
      </c>
      <c r="H104" s="98">
        <f>ROUND(F104*G104,2)</f>
        <v>18745.2</v>
      </c>
      <c r="J104" s="221">
        <f>H104/$H$94</f>
        <v>0.0231375401553</v>
      </c>
      <c r="K104" s="4"/>
    </row>
    <row r="105" spans="1:12" customHeight="1" ht="38.25">
      <c r="A105" s="7">
        <v>90</v>
      </c>
      <c r="B105" s="210"/>
      <c r="C105" s="130" t="s">
        <v>290</v>
      </c>
      <c r="D105" s="8" t="s">
        <v>291</v>
      </c>
      <c r="E105" s="2" t="s">
        <v>280</v>
      </c>
      <c r="F105" s="178">
        <v>1.303</v>
      </c>
      <c r="G105" s="98">
        <v>11255</v>
      </c>
      <c r="H105" s="98">
        <f>ROUND(F105*G105,2)</f>
        <v>14665.27</v>
      </c>
      <c r="J105" s="221">
        <f>H105/$H$94</f>
        <v>0.018101608599178</v>
      </c>
      <c r="K105" s="4"/>
    </row>
    <row r="106" spans="1:12">
      <c r="A106" s="7">
        <v>91</v>
      </c>
      <c r="B106" s="210"/>
      <c r="C106" s="130" t="s">
        <v>292</v>
      </c>
      <c r="D106" s="8" t="s">
        <v>293</v>
      </c>
      <c r="E106" s="2" t="s">
        <v>267</v>
      </c>
      <c r="F106" s="178">
        <v>27.9</v>
      </c>
      <c r="G106" s="98">
        <v>519.8</v>
      </c>
      <c r="H106" s="98">
        <f>ROUND(F106*G106,2)</f>
        <v>14502.42</v>
      </c>
      <c r="J106" s="221">
        <f>H106/$H$94</f>
        <v>0.017900599892187</v>
      </c>
      <c r="K106" s="4"/>
    </row>
    <row r="107" spans="1:12" customHeight="1" ht="25.5">
      <c r="A107" s="7">
        <v>92</v>
      </c>
      <c r="B107" s="210"/>
      <c r="C107" s="130" t="s">
        <v>294</v>
      </c>
      <c r="D107" s="8" t="s">
        <v>295</v>
      </c>
      <c r="E107" s="2" t="s">
        <v>287</v>
      </c>
      <c r="F107" s="178">
        <v>0.9</v>
      </c>
      <c r="G107" s="98">
        <v>14498.24</v>
      </c>
      <c r="H107" s="98">
        <f>ROUND(F107*G107,2)</f>
        <v>13048.42</v>
      </c>
      <c r="J107" s="221">
        <f>H107/$H$94</f>
        <v>0.016105901335447</v>
      </c>
      <c r="K107" s="4"/>
    </row>
    <row r="108" spans="1:12" customHeight="1" ht="25.5">
      <c r="A108" s="7">
        <v>93</v>
      </c>
      <c r="B108" s="210"/>
      <c r="C108" s="130" t="s">
        <v>296</v>
      </c>
      <c r="D108" s="8" t="s">
        <v>297</v>
      </c>
      <c r="E108" s="2" t="s">
        <v>298</v>
      </c>
      <c r="F108" s="178">
        <v>201.8</v>
      </c>
      <c r="G108" s="98">
        <v>63.29</v>
      </c>
      <c r="H108" s="98">
        <f>ROUND(F108*G108,2)</f>
        <v>12771.92</v>
      </c>
      <c r="J108" s="221">
        <f>H108/$H$94</f>
        <v>0.015764612373316</v>
      </c>
      <c r="K108" s="4"/>
    </row>
    <row r="109" spans="1:12" customHeight="1" ht="25.5">
      <c r="A109" s="7">
        <v>94</v>
      </c>
      <c r="B109" s="210"/>
      <c r="C109" s="130" t="s">
        <v>299</v>
      </c>
      <c r="D109" s="8" t="s">
        <v>300</v>
      </c>
      <c r="E109" s="2" t="s">
        <v>267</v>
      </c>
      <c r="F109" s="178">
        <v>2.966</v>
      </c>
      <c r="G109" s="98">
        <v>4183.5</v>
      </c>
      <c r="H109" s="98">
        <f>ROUND(F109*G109,2)</f>
        <v>12408.26</v>
      </c>
      <c r="J109" s="221">
        <f>H109/$H$94</f>
        <v>0.015315740243231</v>
      </c>
      <c r="K109" s="4"/>
    </row>
    <row r="110" spans="1:12" customHeight="1" ht="25.5">
      <c r="A110" s="7">
        <v>95</v>
      </c>
      <c r="B110" s="210"/>
      <c r="C110" s="130" t="s">
        <v>301</v>
      </c>
      <c r="D110" s="8" t="s">
        <v>302</v>
      </c>
      <c r="E110" s="2" t="s">
        <v>270</v>
      </c>
      <c r="F110" s="178">
        <v>696</v>
      </c>
      <c r="G110" s="98">
        <v>17.32</v>
      </c>
      <c r="H110" s="98">
        <f>ROUND(F110*G110,2)</f>
        <v>12054.72</v>
      </c>
      <c r="J110" s="221">
        <f>H110/$H$94</f>
        <v>0.014879359412591</v>
      </c>
      <c r="K110" s="4"/>
    </row>
    <row r="111" spans="1:12" customHeight="1" ht="25.5">
      <c r="A111" s="7">
        <v>96</v>
      </c>
      <c r="B111" s="210"/>
      <c r="C111" s="130" t="s">
        <v>303</v>
      </c>
      <c r="D111" s="8" t="s">
        <v>304</v>
      </c>
      <c r="E111" s="2" t="s">
        <v>305</v>
      </c>
      <c r="F111" s="178">
        <v>300</v>
      </c>
      <c r="G111" s="98">
        <v>39.8</v>
      </c>
      <c r="H111" s="98">
        <f>ROUND(F111*G111,2)</f>
        <v>11940</v>
      </c>
      <c r="J111" s="221">
        <f>H111/$H$94</f>
        <v>0.014737758437055</v>
      </c>
      <c r="K111" s="4"/>
    </row>
    <row r="112" spans="1:12" customHeight="1" ht="25.5">
      <c r="A112" s="7">
        <v>97</v>
      </c>
      <c r="B112" s="210"/>
      <c r="C112" s="130" t="s">
        <v>306</v>
      </c>
      <c r="D112" s="8" t="s">
        <v>307</v>
      </c>
      <c r="E112" s="2" t="s">
        <v>280</v>
      </c>
      <c r="F112" s="178">
        <v>1.684</v>
      </c>
      <c r="G112" s="98">
        <v>6780</v>
      </c>
      <c r="H112" s="98">
        <f>ROUND(F112*G112,2)</f>
        <v>11417.52</v>
      </c>
      <c r="J112" s="221">
        <f>H112/$H$94</f>
        <v>0.014092851902031</v>
      </c>
      <c r="K112" s="4"/>
    </row>
    <row r="113" spans="1:12">
      <c r="A113" s="7">
        <v>98</v>
      </c>
      <c r="B113" s="210"/>
      <c r="C113" s="130" t="s">
        <v>308</v>
      </c>
      <c r="D113" s="8" t="s">
        <v>309</v>
      </c>
      <c r="E113" s="2" t="s">
        <v>280</v>
      </c>
      <c r="F113" s="178">
        <v>1.187984</v>
      </c>
      <c r="G113" s="98">
        <v>9380.49</v>
      </c>
      <c r="H113" s="98">
        <f>ROUND(F113*G113,2)</f>
        <v>11143.87</v>
      </c>
      <c r="J113" s="221">
        <f>H113/$H$94</f>
        <v>0.013755080746562</v>
      </c>
      <c r="K113" s="4"/>
    </row>
    <row r="114" spans="1:12" customHeight="1" ht="50.95">
      <c r="A114" s="7">
        <v>99</v>
      </c>
      <c r="B114" s="210"/>
      <c r="C114" s="130" t="s">
        <v>310</v>
      </c>
      <c r="D114" s="8" t="s">
        <v>311</v>
      </c>
      <c r="E114" s="2" t="s">
        <v>312</v>
      </c>
      <c r="F114" s="178">
        <v>50</v>
      </c>
      <c r="G114" s="98">
        <v>213.45</v>
      </c>
      <c r="H114" s="98">
        <f>ROUND(F114*G114,2)</f>
        <v>10672.5</v>
      </c>
      <c r="J114" s="221">
        <f>H114/$H$94</f>
        <v>0.013173260211011</v>
      </c>
      <c r="K114" s="4"/>
    </row>
    <row r="115" spans="1:12" customHeight="1" ht="38.25">
      <c r="A115" s="7">
        <v>100</v>
      </c>
      <c r="B115" s="210"/>
      <c r="C115" s="130" t="s">
        <v>313</v>
      </c>
      <c r="D115" s="8" t="s">
        <v>314</v>
      </c>
      <c r="E115" s="2" t="s">
        <v>315</v>
      </c>
      <c r="F115" s="178">
        <v>12</v>
      </c>
      <c r="G115" s="98">
        <v>797.59</v>
      </c>
      <c r="H115" s="98">
        <f>ROUND(F115*G115,2)</f>
        <v>9571.08</v>
      </c>
      <c r="J115" s="221">
        <f>H115/$H$94</f>
        <v>0.011813757539508</v>
      </c>
      <c r="K115" s="4"/>
    </row>
    <row r="116" spans="1:12" customHeight="1" ht="50.95">
      <c r="A116" s="7">
        <v>101</v>
      </c>
      <c r="B116" s="210"/>
      <c r="C116" s="130" t="s">
        <v>316</v>
      </c>
      <c r="D116" s="8" t="s">
        <v>317</v>
      </c>
      <c r="E116" s="2" t="s">
        <v>298</v>
      </c>
      <c r="F116" s="178">
        <v>8.1</v>
      </c>
      <c r="G116" s="98">
        <v>1150.24</v>
      </c>
      <c r="H116" s="98">
        <f>ROUND(F116*G116,2)</f>
        <v>9316.94</v>
      </c>
      <c r="J116" s="221">
        <f>H116/$H$94</f>
        <v>0.011500067930698</v>
      </c>
      <c r="K116" s="4"/>
    </row>
    <row r="117" spans="1:12">
      <c r="A117" s="7">
        <v>102</v>
      </c>
      <c r="B117" s="210"/>
      <c r="C117" s="130" t="s">
        <v>318</v>
      </c>
      <c r="D117" s="8" t="s">
        <v>319</v>
      </c>
      <c r="E117" s="2" t="s">
        <v>287</v>
      </c>
      <c r="F117" s="178">
        <v>0.12</v>
      </c>
      <c r="G117" s="98">
        <v>70866.82</v>
      </c>
      <c r="H117" s="98">
        <f>ROUND(F117*G117,2)</f>
        <v>8504.02</v>
      </c>
      <c r="J117" s="221">
        <f>H117/$H$94</f>
        <v>0.010496666038851</v>
      </c>
      <c r="K117" s="4"/>
    </row>
    <row r="118" spans="1:12" customHeight="1" ht="25.5">
      <c r="A118" s="7">
        <v>103</v>
      </c>
      <c r="B118" s="210"/>
      <c r="C118" s="130" t="s">
        <v>320</v>
      </c>
      <c r="D118" s="8" t="s">
        <v>321</v>
      </c>
      <c r="E118" s="2" t="s">
        <v>267</v>
      </c>
      <c r="F118" s="178">
        <v>13.92</v>
      </c>
      <c r="G118" s="98">
        <v>562.74</v>
      </c>
      <c r="H118" s="98">
        <f>ROUND(F118*G118,2)</f>
        <v>7833.34</v>
      </c>
      <c r="J118" s="221">
        <f>H118/$H$94</f>
        <v>0.009668833557397</v>
      </c>
      <c r="K118" s="4"/>
    </row>
    <row r="119" spans="1:12" customHeight="1" ht="25.5">
      <c r="A119" s="7">
        <v>104</v>
      </c>
      <c r="B119" s="210"/>
      <c r="C119" s="130" t="s">
        <v>322</v>
      </c>
      <c r="D119" s="8" t="s">
        <v>323</v>
      </c>
      <c r="E119" s="2" t="s">
        <v>280</v>
      </c>
      <c r="F119" s="178">
        <v>1.15</v>
      </c>
      <c r="G119" s="98">
        <v>6726.18</v>
      </c>
      <c r="H119" s="98">
        <f>ROUND(F119*G119,2)</f>
        <v>7735.11</v>
      </c>
      <c r="J119" s="221">
        <f>H119/$H$94</f>
        <v>0.0095475864877763</v>
      </c>
      <c r="K119" s="4"/>
    </row>
    <row r="120" spans="1:12" customHeight="1" ht="50.95">
      <c r="A120" s="7">
        <v>105</v>
      </c>
      <c r="B120" s="210"/>
      <c r="C120" s="130" t="s">
        <v>324</v>
      </c>
      <c r="D120" s="8" t="s">
        <v>325</v>
      </c>
      <c r="E120" s="2" t="s">
        <v>312</v>
      </c>
      <c r="F120" s="178">
        <v>60</v>
      </c>
      <c r="G120" s="98">
        <v>120</v>
      </c>
      <c r="H120" s="98">
        <f>ROUND(F120*G120,2)</f>
        <v>7200</v>
      </c>
      <c r="J120" s="221">
        <f>H120/$H$94</f>
        <v>0.0088870905148071</v>
      </c>
      <c r="K120" s="4"/>
    </row>
    <row r="121" spans="1:12" customHeight="1" ht="50.95">
      <c r="A121" s="7">
        <v>106</v>
      </c>
      <c r="B121" s="210"/>
      <c r="C121" s="130" t="s">
        <v>326</v>
      </c>
      <c r="D121" s="8" t="s">
        <v>327</v>
      </c>
      <c r="E121" s="2" t="s">
        <v>312</v>
      </c>
      <c r="F121" s="178">
        <v>18.6</v>
      </c>
      <c r="G121" s="98">
        <v>353.94</v>
      </c>
      <c r="H121" s="98">
        <f>ROUND(F121*G121,2)</f>
        <v>6583.28</v>
      </c>
      <c r="J121" s="221">
        <f>H121/$H$94</f>
        <v>0.0081258618394887</v>
      </c>
      <c r="K121" s="4"/>
    </row>
    <row r="122" spans="1:12" customHeight="1" ht="25.5">
      <c r="A122" s="7">
        <v>107</v>
      </c>
      <c r="B122" s="210"/>
      <c r="C122" s="130" t="s">
        <v>328</v>
      </c>
      <c r="D122" s="8" t="s">
        <v>329</v>
      </c>
      <c r="E122" s="2" t="s">
        <v>280</v>
      </c>
      <c r="F122" s="178">
        <v>0.5537</v>
      </c>
      <c r="G122" s="98">
        <v>10196.65</v>
      </c>
      <c r="H122" s="98">
        <f>ROUND(F122*G122,2)</f>
        <v>5645.89</v>
      </c>
      <c r="J122" s="221">
        <f>H122/$H$94</f>
        <v>0.0069688243703672</v>
      </c>
      <c r="K122" s="4"/>
    </row>
    <row r="123" spans="1:12" customHeight="1" ht="25.5">
      <c r="A123" s="7">
        <v>108</v>
      </c>
      <c r="B123" s="210"/>
      <c r="C123" s="130" t="s">
        <v>330</v>
      </c>
      <c r="D123" s="8" t="s">
        <v>331</v>
      </c>
      <c r="E123" s="2" t="s">
        <v>267</v>
      </c>
      <c r="F123" s="178">
        <v>2.434783</v>
      </c>
      <c r="G123" s="98">
        <v>2318.82</v>
      </c>
      <c r="H123" s="98">
        <f>ROUND(F123*G123,2)</f>
        <v>5645.82</v>
      </c>
      <c r="J123" s="221">
        <f>H123/$H$94</f>
        <v>0.0069687379680983</v>
      </c>
      <c r="K123" s="4"/>
    </row>
    <row r="124" spans="1:12" customHeight="1" ht="50.95">
      <c r="A124" s="7">
        <v>109</v>
      </c>
      <c r="B124" s="210"/>
      <c r="C124" s="130" t="s">
        <v>332</v>
      </c>
      <c r="D124" s="8" t="s">
        <v>333</v>
      </c>
      <c r="E124" s="2" t="s">
        <v>270</v>
      </c>
      <c r="F124" s="178">
        <v>9</v>
      </c>
      <c r="G124" s="98">
        <v>609.27</v>
      </c>
      <c r="H124" s="98">
        <f>ROUND(F124*G124,2)</f>
        <v>5483.43</v>
      </c>
      <c r="J124" s="221">
        <f>H124/$H$94</f>
        <v>0.0067682970474456</v>
      </c>
      <c r="K124" s="4"/>
    </row>
    <row r="125" spans="1:12" customHeight="1" ht="25.5">
      <c r="A125" s="7">
        <v>110</v>
      </c>
      <c r="B125" s="210"/>
      <c r="C125" s="130" t="s">
        <v>334</v>
      </c>
      <c r="D125" s="8" t="s">
        <v>335</v>
      </c>
      <c r="E125" s="2" t="s">
        <v>280</v>
      </c>
      <c r="F125" s="178">
        <v>0.9639</v>
      </c>
      <c r="G125" s="98">
        <v>5586.97</v>
      </c>
      <c r="H125" s="98">
        <f>ROUND(F125*G125,2)</f>
        <v>5385.28</v>
      </c>
      <c r="J125" s="221">
        <f>H125/$H$94</f>
        <v>0.006647148723275</v>
      </c>
      <c r="K125" s="4"/>
    </row>
    <row r="126" spans="1:12" customHeight="1" ht="25.5">
      <c r="A126" s="7">
        <v>111</v>
      </c>
      <c r="B126" s="210"/>
      <c r="C126" s="130" t="s">
        <v>336</v>
      </c>
      <c r="D126" s="8" t="s">
        <v>337</v>
      </c>
      <c r="E126" s="2" t="s">
        <v>298</v>
      </c>
      <c r="F126" s="178">
        <v>73.44</v>
      </c>
      <c r="G126" s="98">
        <v>67.8</v>
      </c>
      <c r="H126" s="98">
        <f>ROUND(F126*G126,2)</f>
        <v>4979.23</v>
      </c>
      <c r="J126" s="221">
        <f>H126/$H$94</f>
        <v>0.0061459538477837</v>
      </c>
      <c r="K126" s="4"/>
    </row>
    <row r="127" spans="1:12" customHeight="1" ht="25.5">
      <c r="A127" s="7">
        <v>112</v>
      </c>
      <c r="B127" s="210"/>
      <c r="C127" s="130" t="s">
        <v>338</v>
      </c>
      <c r="D127" s="8" t="s">
        <v>339</v>
      </c>
      <c r="E127" s="2" t="s">
        <v>280</v>
      </c>
      <c r="F127" s="178">
        <v>0.8073</v>
      </c>
      <c r="G127" s="98">
        <v>5838.61</v>
      </c>
      <c r="H127" s="98">
        <f>ROUND(F127*G127,2)</f>
        <v>4713.51</v>
      </c>
      <c r="J127" s="221">
        <f>H127/$H$94</f>
        <v>0.0058179708350623</v>
      </c>
      <c r="K127" s="4"/>
    </row>
    <row r="128" spans="1:12" customHeight="1" ht="38.25">
      <c r="A128" s="7">
        <v>113</v>
      </c>
      <c r="B128" s="210"/>
      <c r="C128" s="130" t="s">
        <v>340</v>
      </c>
      <c r="D128" s="8" t="s">
        <v>341</v>
      </c>
      <c r="E128" s="2" t="s">
        <v>315</v>
      </c>
      <c r="F128" s="178">
        <v>16</v>
      </c>
      <c r="G128" s="98">
        <v>286.15</v>
      </c>
      <c r="H128" s="98">
        <f>ROUND(F128*G128,2)</f>
        <v>4578.4</v>
      </c>
      <c r="J128" s="221">
        <f>H128/$H$94</f>
        <v>0.0056512021129156</v>
      </c>
      <c r="K128" s="4"/>
    </row>
    <row r="129" spans="1:12">
      <c r="A129" s="7">
        <v>114</v>
      </c>
      <c r="B129" s="210"/>
      <c r="C129" s="130" t="s">
        <v>342</v>
      </c>
      <c r="D129" s="8" t="s">
        <v>343</v>
      </c>
      <c r="E129" s="2" t="s">
        <v>312</v>
      </c>
      <c r="F129" s="178">
        <v>696</v>
      </c>
      <c r="G129" s="98">
        <v>6.42</v>
      </c>
      <c r="H129" s="98">
        <f>ROUND(F129*G129,2)</f>
        <v>4468.32</v>
      </c>
      <c r="J129" s="221">
        <f>H129/$H$94</f>
        <v>0.0055153283734893</v>
      </c>
      <c r="K129" s="4"/>
    </row>
    <row r="130" spans="1:12" customHeight="1" ht="25.5">
      <c r="A130" s="7">
        <v>115</v>
      </c>
      <c r="B130" s="210"/>
      <c r="C130" s="130" t="s">
        <v>344</v>
      </c>
      <c r="D130" s="8" t="s">
        <v>345</v>
      </c>
      <c r="E130" s="2" t="s">
        <v>270</v>
      </c>
      <c r="F130" s="178">
        <v>1</v>
      </c>
      <c r="G130" s="98">
        <v>4293.11</v>
      </c>
      <c r="H130" s="98">
        <f>ROUND(F130*G130,2)</f>
        <v>4293.11</v>
      </c>
      <c r="J130" s="221">
        <f>H130/$H$94</f>
        <v>0.0052990634944477</v>
      </c>
      <c r="K130" s="4"/>
    </row>
    <row r="131" spans="1:12">
      <c r="A131" s="7">
        <v>116</v>
      </c>
      <c r="B131" s="210"/>
      <c r="C131" s="130" t="s">
        <v>346</v>
      </c>
      <c r="D131" s="8" t="s">
        <v>347</v>
      </c>
      <c r="E131" s="2" t="s">
        <v>298</v>
      </c>
      <c r="F131" s="178">
        <v>440.4</v>
      </c>
      <c r="G131" s="98">
        <v>8.6</v>
      </c>
      <c r="H131" s="98">
        <f>ROUND(F131*G131,2)</f>
        <v>3787.44</v>
      </c>
      <c r="J131" s="221">
        <f>H131/$H$94</f>
        <v>0.004674905847139</v>
      </c>
      <c r="K131" s="4"/>
    </row>
    <row r="132" spans="1:12">
      <c r="A132" s="7">
        <v>117</v>
      </c>
      <c r="B132" s="210"/>
      <c r="C132" s="130" t="s">
        <v>348</v>
      </c>
      <c r="D132" s="8" t="s">
        <v>349</v>
      </c>
      <c r="E132" s="2" t="s">
        <v>305</v>
      </c>
      <c r="F132" s="178">
        <v>12.18</v>
      </c>
      <c r="G132" s="98">
        <v>308.3</v>
      </c>
      <c r="H132" s="98">
        <f>ROUND(F132*G132,2)</f>
        <v>3755.09</v>
      </c>
      <c r="J132" s="221">
        <f>H132/$H$94</f>
        <v>0.0046349756557287</v>
      </c>
      <c r="K132" s="4"/>
    </row>
    <row r="133" spans="1:12">
      <c r="A133" s="7">
        <v>118</v>
      </c>
      <c r="B133" s="212"/>
      <c r="C133" s="2" t="s">
        <v>350</v>
      </c>
      <c r="D133" s="8" t="s">
        <v>351</v>
      </c>
      <c r="E133" s="2" t="s">
        <v>287</v>
      </c>
      <c r="F133" s="213">
        <v>1.1</v>
      </c>
      <c r="G133" s="27">
        <v>3363.26</v>
      </c>
      <c r="H133" s="98">
        <f>ROUND(F133*G133,2)</f>
        <v>3699.59</v>
      </c>
      <c r="J133" s="221">
        <f>H133/$H$94</f>
        <v>0.0045664709996771</v>
      </c>
      <c r="K133" s="4"/>
    </row>
    <row r="134" spans="1:12">
      <c r="A134" s="7">
        <v>119</v>
      </c>
      <c r="B134" s="210"/>
      <c r="C134" s="130" t="s">
        <v>352</v>
      </c>
      <c r="D134" s="8" t="s">
        <v>353</v>
      </c>
      <c r="E134" s="2" t="s">
        <v>280</v>
      </c>
      <c r="F134" s="178">
        <v>0.5802</v>
      </c>
      <c r="G134" s="98">
        <v>6260.18</v>
      </c>
      <c r="H134" s="98">
        <f>ROUND(F134*G134,2)</f>
        <v>3632.16</v>
      </c>
      <c r="J134" s="221">
        <f>H134/$H$94</f>
        <v>0.0044832409283697</v>
      </c>
      <c r="K134" s="4"/>
    </row>
    <row r="135" spans="1:12" customHeight="1" ht="38.25">
      <c r="A135" s="7">
        <v>120</v>
      </c>
      <c r="B135" s="210"/>
      <c r="C135" s="130" t="s">
        <v>354</v>
      </c>
      <c r="D135" s="8" t="s">
        <v>355</v>
      </c>
      <c r="E135" s="2" t="s">
        <v>312</v>
      </c>
      <c r="F135" s="178">
        <v>4</v>
      </c>
      <c r="G135" s="98">
        <v>905.71</v>
      </c>
      <c r="H135" s="98">
        <f>ROUND(F135*G135,2)</f>
        <v>3622.84</v>
      </c>
      <c r="J135" s="221">
        <f>H135/$H$94</f>
        <v>0.0044717370834255</v>
      </c>
      <c r="K135" s="4"/>
    </row>
    <row r="136" spans="1:12">
      <c r="A136" s="7">
        <v>121</v>
      </c>
      <c r="B136" s="210"/>
      <c r="C136" s="130" t="s">
        <v>356</v>
      </c>
      <c r="D136" s="8" t="s">
        <v>357</v>
      </c>
      <c r="E136" s="2" t="s">
        <v>280</v>
      </c>
      <c r="F136" s="178">
        <v>1.0215</v>
      </c>
      <c r="G136" s="98">
        <v>3390</v>
      </c>
      <c r="H136" s="98">
        <f>ROUND(F136*G136,2)</f>
        <v>3462.89</v>
      </c>
      <c r="J136" s="221">
        <f>H136/$H$94</f>
        <v>0.0042743078990028</v>
      </c>
      <c r="K136" s="4"/>
    </row>
    <row r="137" spans="1:12" customHeight="1" ht="50.95">
      <c r="A137" s="7">
        <v>122</v>
      </c>
      <c r="B137" s="210"/>
      <c r="C137" s="130" t="s">
        <v>358</v>
      </c>
      <c r="D137" s="8" t="s">
        <v>359</v>
      </c>
      <c r="E137" s="2" t="s">
        <v>270</v>
      </c>
      <c r="F137" s="178">
        <v>22</v>
      </c>
      <c r="G137" s="98">
        <v>150.3</v>
      </c>
      <c r="H137" s="98">
        <f>ROUND(F137*G137,2)</f>
        <v>3306.6</v>
      </c>
      <c r="J137" s="221">
        <f>H137/$H$94</f>
        <v>0.0040813963189251</v>
      </c>
      <c r="K137" s="4"/>
    </row>
    <row r="138" spans="1:12" customHeight="1" ht="50.95">
      <c r="A138" s="7">
        <v>123</v>
      </c>
      <c r="B138" s="210"/>
      <c r="C138" s="130" t="s">
        <v>360</v>
      </c>
      <c r="D138" s="8" t="s">
        <v>361</v>
      </c>
      <c r="E138" s="2" t="s">
        <v>312</v>
      </c>
      <c r="F138" s="178">
        <v>35</v>
      </c>
      <c r="G138" s="98">
        <v>92.77</v>
      </c>
      <c r="H138" s="98">
        <f>ROUND(F138*G138,2)</f>
        <v>3246.95</v>
      </c>
      <c r="J138" s="221">
        <f>H138/$H$94</f>
        <v>0.0040077692426462</v>
      </c>
      <c r="K138" s="4"/>
    </row>
    <row r="139" spans="1:12" customHeight="1" ht="16.5">
      <c r="A139" s="7">
        <v>124</v>
      </c>
      <c r="B139" s="210"/>
      <c r="C139" s="130" t="s">
        <v>362</v>
      </c>
      <c r="D139" s="8" t="s">
        <v>363</v>
      </c>
      <c r="E139" s="2" t="s">
        <v>280</v>
      </c>
      <c r="F139" s="178">
        <v>0.2679</v>
      </c>
      <c r="G139" s="98">
        <v>11200</v>
      </c>
      <c r="H139" s="98">
        <f>ROUND(F139*G139,2)</f>
        <v>3000.48</v>
      </c>
      <c r="J139" s="222">
        <f>H139/$H$94</f>
        <v>0.0037035468538706</v>
      </c>
      <c r="K139" s="4"/>
    </row>
    <row r="140" spans="1:12" customHeight="1" ht="25.5">
      <c r="A140" s="7">
        <v>125</v>
      </c>
      <c r="B140" s="210"/>
      <c r="C140" s="130" t="s">
        <v>364</v>
      </c>
      <c r="D140" s="8" t="s">
        <v>365</v>
      </c>
      <c r="E140" s="2" t="s">
        <v>280</v>
      </c>
      <c r="F140" s="178">
        <v>3.876</v>
      </c>
      <c r="G140" s="98">
        <v>772.12</v>
      </c>
      <c r="H140" s="98">
        <f>ROUND(F140*G140,2)</f>
        <v>2992.74</v>
      </c>
      <c r="J140" s="217">
        <f>H140/$H$94</f>
        <v>0.0036939932315672</v>
      </c>
      <c r="K140" s="4"/>
    </row>
    <row r="141" spans="1:12">
      <c r="A141" s="7">
        <v>126</v>
      </c>
      <c r="B141" s="210"/>
      <c r="C141" s="130" t="s">
        <v>366</v>
      </c>
      <c r="D141" s="8" t="s">
        <v>367</v>
      </c>
      <c r="E141" s="2" t="s">
        <v>267</v>
      </c>
      <c r="F141" s="178">
        <v>6.9975</v>
      </c>
      <c r="G141" s="98">
        <v>424.88</v>
      </c>
      <c r="H141" s="98">
        <f>ROUND(F141*G141,2)</f>
        <v>2973.1</v>
      </c>
      <c r="J141" s="217">
        <f>H141/$H$94</f>
        <v>0.0036697512235518</v>
      </c>
      <c r="K141" s="4"/>
    </row>
    <row r="142" spans="1:12" customHeight="1" ht="25.5">
      <c r="A142" s="7">
        <v>127</v>
      </c>
      <c r="B142" s="210"/>
      <c r="C142" s="130" t="s">
        <v>368</v>
      </c>
      <c r="D142" s="8" t="s">
        <v>369</v>
      </c>
      <c r="E142" s="2" t="s">
        <v>267</v>
      </c>
      <c r="F142" s="178">
        <v>4.08</v>
      </c>
      <c r="G142" s="98">
        <v>695.01</v>
      </c>
      <c r="H142" s="98">
        <f>ROUND(F142*G142,2)</f>
        <v>2835.64</v>
      </c>
      <c r="J142" s="217">
        <f>H142/$H$94</f>
        <v>0.0035000818538066</v>
      </c>
      <c r="K142" s="4"/>
    </row>
    <row r="143" spans="1:12" customHeight="1" ht="25.5">
      <c r="A143" s="7">
        <v>128</v>
      </c>
      <c r="B143" s="210"/>
      <c r="C143" s="130" t="s">
        <v>370</v>
      </c>
      <c r="D143" s="8" t="s">
        <v>371</v>
      </c>
      <c r="E143" s="2" t="s">
        <v>280</v>
      </c>
      <c r="F143" s="178">
        <v>0.2</v>
      </c>
      <c r="G143" s="98">
        <v>13560</v>
      </c>
      <c r="H143" s="98">
        <f>ROUND(F143*G143,2)</f>
        <v>2712</v>
      </c>
      <c r="J143" s="217">
        <f>H143/$H$94</f>
        <v>0.0033474707605773</v>
      </c>
      <c r="K143" s="4"/>
    </row>
    <row r="144" spans="1:12" customHeight="1" ht="25.5">
      <c r="A144" s="7">
        <v>129</v>
      </c>
      <c r="B144" s="210"/>
      <c r="C144" s="130" t="s">
        <v>372</v>
      </c>
      <c r="D144" s="8" t="s">
        <v>373</v>
      </c>
      <c r="E144" s="2" t="s">
        <v>267</v>
      </c>
      <c r="F144" s="178">
        <v>11.02</v>
      </c>
      <c r="G144" s="98">
        <v>237.14</v>
      </c>
      <c r="H144" s="98">
        <f>ROUND(F144*G144,2)</f>
        <v>2613.28</v>
      </c>
      <c r="J144" s="217">
        <f>H144/$H$94</f>
        <v>0.0032256188750743</v>
      </c>
      <c r="K144" s="4"/>
    </row>
    <row r="145" spans="1:12" customHeight="1" ht="25.5">
      <c r="A145" s="7">
        <v>130</v>
      </c>
      <c r="B145" s="210"/>
      <c r="C145" s="130" t="s">
        <v>374</v>
      </c>
      <c r="D145" s="8" t="s">
        <v>375</v>
      </c>
      <c r="E145" s="2" t="s">
        <v>280</v>
      </c>
      <c r="F145" s="178">
        <v>0.40194</v>
      </c>
      <c r="G145" s="98">
        <v>6419.17</v>
      </c>
      <c r="H145" s="98">
        <f>ROUND(F145*G145,2)</f>
        <v>2580.12</v>
      </c>
      <c r="J145" s="217">
        <f>H145/$H$94</f>
        <v>0.0031846888859811</v>
      </c>
      <c r="K145" s="4"/>
    </row>
    <row r="146" spans="1:12" customHeight="1" ht="25.5">
      <c r="A146" s="7">
        <v>131</v>
      </c>
      <c r="B146" s="210"/>
      <c r="C146" s="130" t="s">
        <v>376</v>
      </c>
      <c r="D146" s="8" t="s">
        <v>377</v>
      </c>
      <c r="E146" s="2" t="s">
        <v>267</v>
      </c>
      <c r="F146" s="178">
        <v>4.488</v>
      </c>
      <c r="G146" s="98">
        <v>573.95</v>
      </c>
      <c r="H146" s="98">
        <f>ROUND(F146*G146,2)</f>
        <v>2575.89</v>
      </c>
      <c r="J146" s="217">
        <f>H146/$H$94</f>
        <v>0.0031794677203037</v>
      </c>
      <c r="K146" s="4"/>
    </row>
    <row r="147" spans="1:12">
      <c r="A147" s="7">
        <v>132</v>
      </c>
      <c r="B147" s="210"/>
      <c r="C147" s="130" t="s">
        <v>378</v>
      </c>
      <c r="D147" s="8" t="s">
        <v>379</v>
      </c>
      <c r="E147" s="2" t="s">
        <v>298</v>
      </c>
      <c r="F147" s="178">
        <v>83.52</v>
      </c>
      <c r="G147" s="98">
        <v>30.62</v>
      </c>
      <c r="H147" s="98">
        <f>ROUND(F147*G147,2)</f>
        <v>2557.38</v>
      </c>
      <c r="J147" s="217">
        <f>H147/$H$94</f>
        <v>0.0031566204917718</v>
      </c>
      <c r="K147" s="4"/>
    </row>
    <row r="148" spans="1:12">
      <c r="A148" s="7">
        <v>133</v>
      </c>
      <c r="B148" s="210"/>
      <c r="C148" s="130" t="s">
        <v>380</v>
      </c>
      <c r="D148" s="8" t="s">
        <v>381</v>
      </c>
      <c r="E148" s="2" t="s">
        <v>280</v>
      </c>
      <c r="F148" s="178">
        <v>0.5254</v>
      </c>
      <c r="G148" s="98">
        <v>4800</v>
      </c>
      <c r="H148" s="98">
        <f>ROUND(F148*G148,2)</f>
        <v>2521.92</v>
      </c>
      <c r="J148" s="217">
        <f>H148/$H$94</f>
        <v>0.0031128515709864</v>
      </c>
      <c r="K148" s="4"/>
    </row>
    <row r="149" spans="1:12" customHeight="1" ht="25.5">
      <c r="A149" s="7">
        <v>134</v>
      </c>
      <c r="B149" s="210"/>
      <c r="C149" s="130" t="s">
        <v>382</v>
      </c>
      <c r="D149" s="8" t="s">
        <v>383</v>
      </c>
      <c r="E149" s="2" t="s">
        <v>249</v>
      </c>
      <c r="F149" s="178">
        <v>1</v>
      </c>
      <c r="G149" s="98">
        <v>2473.54</v>
      </c>
      <c r="H149" s="98">
        <f>ROUND(F149*G149,2)</f>
        <v>2473.54</v>
      </c>
      <c r="J149" s="217">
        <f>H149/$H$94</f>
        <v>0.0030531352599994</v>
      </c>
      <c r="K149" s="4"/>
    </row>
    <row r="150" spans="1:12" customHeight="1" ht="25.5">
      <c r="A150" s="7">
        <v>135</v>
      </c>
      <c r="B150" s="210"/>
      <c r="C150" s="130" t="s">
        <v>384</v>
      </c>
      <c r="D150" s="8" t="s">
        <v>385</v>
      </c>
      <c r="E150" s="2" t="s">
        <v>267</v>
      </c>
      <c r="F150" s="178">
        <v>4.712</v>
      </c>
      <c r="G150" s="98">
        <v>517.91</v>
      </c>
      <c r="H150" s="98">
        <f>ROUND(F150*G150,2)</f>
        <v>2440.39</v>
      </c>
      <c r="J150" s="217">
        <f>H150/$H$94</f>
        <v>0.0030122176140875</v>
      </c>
      <c r="K150" s="4"/>
    </row>
    <row r="151" spans="1:12">
      <c r="A151" s="7">
        <v>136</v>
      </c>
      <c r="B151" s="212"/>
      <c r="C151" s="2" t="s">
        <v>386</v>
      </c>
      <c r="D151" s="8" t="s">
        <v>387</v>
      </c>
      <c r="E151" s="2" t="s">
        <v>287</v>
      </c>
      <c r="F151" s="213">
        <v>1.3</v>
      </c>
      <c r="G151" s="27">
        <v>1821.22</v>
      </c>
      <c r="H151" s="98">
        <f>ROUND(F151*G151,2)</f>
        <v>2367.59</v>
      </c>
      <c r="J151" s="217">
        <f>H151/$H$94</f>
        <v>0.0029223592544378</v>
      </c>
      <c r="K151" s="4"/>
    </row>
    <row r="152" spans="1:12" customHeight="1" ht="38.25">
      <c r="A152" s="7">
        <v>137</v>
      </c>
      <c r="B152" s="210"/>
      <c r="C152" s="130" t="s">
        <v>388</v>
      </c>
      <c r="D152" s="8" t="s">
        <v>389</v>
      </c>
      <c r="E152" s="2" t="s">
        <v>312</v>
      </c>
      <c r="F152" s="178">
        <v>44</v>
      </c>
      <c r="G152" s="98">
        <v>52.75</v>
      </c>
      <c r="H152" s="98">
        <f>ROUND(F152*G152,2)</f>
        <v>2321</v>
      </c>
      <c r="J152" s="217">
        <f>H152/$H$94</f>
        <v>0.0028648523728982</v>
      </c>
      <c r="K152" s="4"/>
    </row>
    <row r="153" spans="1:12">
      <c r="A153" s="7">
        <v>138</v>
      </c>
      <c r="B153" s="210"/>
      <c r="C153" s="130" t="s">
        <v>390</v>
      </c>
      <c r="D153" s="8" t="s">
        <v>391</v>
      </c>
      <c r="E153" s="2" t="s">
        <v>267</v>
      </c>
      <c r="F153" s="178">
        <v>5.005</v>
      </c>
      <c r="G153" s="98">
        <v>463.3</v>
      </c>
      <c r="H153" s="98">
        <f>ROUND(F153*G153,2)</f>
        <v>2318.82</v>
      </c>
      <c r="J153" s="217">
        <f>H153/$H$94</f>
        <v>0.0028621615593812</v>
      </c>
      <c r="K153" s="4"/>
    </row>
    <row r="154" spans="1:12" customHeight="1" ht="25.5">
      <c r="A154" s="7">
        <v>139</v>
      </c>
      <c r="B154" s="210"/>
      <c r="C154" s="130" t="s">
        <v>392</v>
      </c>
      <c r="D154" s="8" t="s">
        <v>393</v>
      </c>
      <c r="E154" s="2" t="s">
        <v>394</v>
      </c>
      <c r="F154" s="178">
        <v>3</v>
      </c>
      <c r="G154" s="98">
        <v>751.05</v>
      </c>
      <c r="H154" s="98">
        <f>ROUND(F154*G154,2)</f>
        <v>2253.15</v>
      </c>
      <c r="J154" s="217">
        <f>H154/$H$94</f>
        <v>0.0027811038879774</v>
      </c>
      <c r="K154" s="4"/>
    </row>
    <row r="155" spans="1:12" customHeight="1" ht="25.5">
      <c r="A155" s="7">
        <v>140</v>
      </c>
      <c r="B155" s="210"/>
      <c r="C155" s="130" t="s">
        <v>395</v>
      </c>
      <c r="D155" s="8" t="s">
        <v>396</v>
      </c>
      <c r="E155" s="2" t="s">
        <v>280</v>
      </c>
      <c r="F155" s="178">
        <v>0.27224</v>
      </c>
      <c r="G155" s="98">
        <v>7997.23</v>
      </c>
      <c r="H155" s="98">
        <f>ROUND(F155*G155,2)</f>
        <v>2177.17</v>
      </c>
      <c r="J155" s="217">
        <f>H155/$H$94</f>
        <v>0.0026873203966837</v>
      </c>
      <c r="K155" s="4"/>
    </row>
    <row r="156" spans="1:12">
      <c r="A156" s="7">
        <v>141</v>
      </c>
      <c r="B156" s="210"/>
      <c r="C156" s="130" t="s">
        <v>397</v>
      </c>
      <c r="D156" s="8" t="s">
        <v>398</v>
      </c>
      <c r="E156" s="2" t="s">
        <v>399</v>
      </c>
      <c r="F156" s="178">
        <v>167.2</v>
      </c>
      <c r="G156" s="98">
        <v>12.6</v>
      </c>
      <c r="H156" s="98">
        <f>ROUND(F156*G156,2)</f>
        <v>2106.72</v>
      </c>
      <c r="J156" s="217">
        <f>H156/$H$94</f>
        <v>0.0026003626846325</v>
      </c>
      <c r="K156" s="4"/>
    </row>
    <row r="157" spans="1:12" customHeight="1" ht="50.95">
      <c r="A157" s="7">
        <v>142</v>
      </c>
      <c r="B157" s="210"/>
      <c r="C157" s="130" t="s">
        <v>400</v>
      </c>
      <c r="D157" s="8" t="s">
        <v>401</v>
      </c>
      <c r="E157" s="2" t="s">
        <v>312</v>
      </c>
      <c r="F157" s="178">
        <v>3.8</v>
      </c>
      <c r="G157" s="98">
        <v>542.3</v>
      </c>
      <c r="H157" s="98">
        <f>ROUND(F157*G157,2)</f>
        <v>2060.74</v>
      </c>
      <c r="J157" s="217">
        <f>H157/$H$94</f>
        <v>0.0025436087371505</v>
      </c>
      <c r="K157" s="4"/>
    </row>
    <row r="158" spans="1:12">
      <c r="A158" s="7">
        <v>143</v>
      </c>
      <c r="B158" s="210"/>
      <c r="C158" s="130" t="s">
        <v>402</v>
      </c>
      <c r="D158" s="8" t="s">
        <v>403</v>
      </c>
      <c r="E158" s="2" t="s">
        <v>404</v>
      </c>
      <c r="F158" s="178">
        <v>17.4</v>
      </c>
      <c r="G158" s="98">
        <v>118</v>
      </c>
      <c r="H158" s="98">
        <f>ROUND(F158*G158,2)</f>
        <v>2053.2</v>
      </c>
      <c r="J158" s="217">
        <f>H158/$H$94</f>
        <v>0.0025343019784725</v>
      </c>
      <c r="K158" s="4"/>
    </row>
    <row r="159" spans="1:12" customHeight="1" ht="25.5">
      <c r="A159" s="7">
        <v>144</v>
      </c>
      <c r="B159" s="210"/>
      <c r="C159" s="130" t="s">
        <v>405</v>
      </c>
      <c r="D159" s="8" t="s">
        <v>406</v>
      </c>
      <c r="E159" s="2" t="s">
        <v>280</v>
      </c>
      <c r="F159" s="178">
        <v>0.285</v>
      </c>
      <c r="G159" s="98">
        <v>7115.48</v>
      </c>
      <c r="H159" s="98">
        <f>ROUND(F159*G159,2)</f>
        <v>2027.91</v>
      </c>
      <c r="J159" s="217">
        <f>H159/$H$94</f>
        <v>0.0025030860730392</v>
      </c>
      <c r="K159" s="4"/>
    </row>
    <row r="160" spans="1:12" customHeight="1" ht="38.25">
      <c r="A160" s="7">
        <v>145</v>
      </c>
      <c r="B160" s="210"/>
      <c r="C160" s="130" t="s">
        <v>407</v>
      </c>
      <c r="D160" s="8" t="s">
        <v>408</v>
      </c>
      <c r="E160" s="2" t="s">
        <v>280</v>
      </c>
      <c r="F160" s="178">
        <v>0.3473</v>
      </c>
      <c r="G160" s="98">
        <v>5804</v>
      </c>
      <c r="H160" s="98">
        <f>ROUND(F160*G160,2)</f>
        <v>2015.73</v>
      </c>
      <c r="J160" s="217">
        <f>H160/$H$94</f>
        <v>0.0024880520782517</v>
      </c>
      <c r="K160" s="4"/>
    </row>
    <row r="161" spans="1:12" customHeight="1" ht="25.5">
      <c r="A161" s="7">
        <v>146</v>
      </c>
      <c r="B161" s="210"/>
      <c r="C161" s="130" t="s">
        <v>409</v>
      </c>
      <c r="D161" s="8" t="s">
        <v>410</v>
      </c>
      <c r="E161" s="2" t="s">
        <v>399</v>
      </c>
      <c r="F161" s="178">
        <v>158.584</v>
      </c>
      <c r="G161" s="98">
        <v>11.99</v>
      </c>
      <c r="H161" s="98">
        <f>ROUND(F161*G161,2)</f>
        <v>1901.42</v>
      </c>
      <c r="J161" s="217">
        <f>H161/$H$94</f>
        <v>0.0023469571731478</v>
      </c>
      <c r="K161" s="4"/>
    </row>
    <row r="162" spans="1:12" customHeight="1" ht="25.5">
      <c r="A162" s="7">
        <v>147</v>
      </c>
      <c r="B162" s="212"/>
      <c r="C162" s="2" t="s">
        <v>411</v>
      </c>
      <c r="D162" s="8" t="s">
        <v>412</v>
      </c>
      <c r="E162" s="2" t="s">
        <v>287</v>
      </c>
      <c r="F162" s="213">
        <v>1.2</v>
      </c>
      <c r="G162" s="27">
        <v>1468.2</v>
      </c>
      <c r="H162" s="98">
        <f>ROUND(F162*G162,2)</f>
        <v>1761.84</v>
      </c>
      <c r="J162" s="217">
        <f>H162/$H$94</f>
        <v>0.0021746710489733</v>
      </c>
      <c r="K162" s="4"/>
    </row>
    <row r="163" spans="1:12" customHeight="1" ht="50.95">
      <c r="A163" s="7">
        <v>148</v>
      </c>
      <c r="B163" s="210"/>
      <c r="C163" s="130" t="s">
        <v>413</v>
      </c>
      <c r="D163" s="8" t="s">
        <v>414</v>
      </c>
      <c r="E163" s="2" t="s">
        <v>249</v>
      </c>
      <c r="F163" s="178">
        <v>16</v>
      </c>
      <c r="G163" s="98">
        <v>107.36</v>
      </c>
      <c r="H163" s="98">
        <f>ROUND(F163*G163,2)</f>
        <v>1717.76</v>
      </c>
      <c r="J163" s="217">
        <f>H163/$H$94</f>
        <v>0.0021202623059326</v>
      </c>
      <c r="K163" s="4"/>
    </row>
    <row r="164" spans="1:12" customHeight="1" ht="25.5">
      <c r="A164" s="7">
        <v>149</v>
      </c>
      <c r="B164" s="210"/>
      <c r="C164" s="130" t="s">
        <v>415</v>
      </c>
      <c r="D164" s="8" t="s">
        <v>416</v>
      </c>
      <c r="E164" s="2" t="s">
        <v>249</v>
      </c>
      <c r="F164" s="178">
        <v>4</v>
      </c>
      <c r="G164" s="98">
        <v>428.27</v>
      </c>
      <c r="H164" s="98">
        <f>ROUND(F164*G164,2)</f>
        <v>1713.08</v>
      </c>
      <c r="J164" s="217">
        <f>H164/$H$94</f>
        <v>0.002114485697098</v>
      </c>
      <c r="K164" s="4"/>
    </row>
    <row r="165" spans="1:12" customHeight="1" ht="50.95">
      <c r="A165" s="7">
        <v>150</v>
      </c>
      <c r="B165" s="210"/>
      <c r="C165" s="130" t="s">
        <v>417</v>
      </c>
      <c r="D165" s="8" t="s">
        <v>418</v>
      </c>
      <c r="E165" s="2" t="s">
        <v>249</v>
      </c>
      <c r="F165" s="178">
        <v>3</v>
      </c>
      <c r="G165" s="98">
        <v>566.83</v>
      </c>
      <c r="H165" s="98">
        <f>ROUND(F165*G165,2)</f>
        <v>1700.49</v>
      </c>
      <c r="J165" s="217">
        <f>H165/$H$94</f>
        <v>0.0020989456318784</v>
      </c>
      <c r="K165" s="4"/>
    </row>
    <row r="166" spans="1:12" customHeight="1" ht="25.5">
      <c r="A166" s="7">
        <v>151</v>
      </c>
      <c r="B166" s="210"/>
      <c r="C166" s="130" t="s">
        <v>419</v>
      </c>
      <c r="D166" s="8" t="s">
        <v>420</v>
      </c>
      <c r="E166" s="2" t="s">
        <v>421</v>
      </c>
      <c r="F166" s="178">
        <v>73.08</v>
      </c>
      <c r="G166" s="98">
        <v>23.15</v>
      </c>
      <c r="H166" s="98">
        <f>ROUND(F166*G166,2)</f>
        <v>1691.8</v>
      </c>
      <c r="J166" s="217">
        <f>H166/$H$94</f>
        <v>0.0020882194073542</v>
      </c>
      <c r="K166" s="4"/>
    </row>
    <row r="167" spans="1:12">
      <c r="A167" s="7">
        <v>152</v>
      </c>
      <c r="B167" s="210"/>
      <c r="C167" s="130" t="s">
        <v>422</v>
      </c>
      <c r="D167" s="8" t="s">
        <v>423</v>
      </c>
      <c r="E167" s="2" t="s">
        <v>267</v>
      </c>
      <c r="F167" s="178">
        <v>3.305</v>
      </c>
      <c r="G167" s="98">
        <v>490</v>
      </c>
      <c r="H167" s="98">
        <f>ROUND(F167*G167,2)</f>
        <v>1619.45</v>
      </c>
      <c r="J167" s="217">
        <f>H167/$H$94</f>
        <v>0.0019989164908617</v>
      </c>
      <c r="K167" s="4"/>
    </row>
    <row r="168" spans="1:12" customHeight="1" ht="25.5">
      <c r="A168" s="7">
        <v>153</v>
      </c>
      <c r="B168" s="210"/>
      <c r="C168" s="130" t="s">
        <v>424</v>
      </c>
      <c r="D168" s="8" t="s">
        <v>425</v>
      </c>
      <c r="E168" s="2" t="s">
        <v>280</v>
      </c>
      <c r="F168" s="178">
        <v>0.1296</v>
      </c>
      <c r="G168" s="98">
        <v>11500</v>
      </c>
      <c r="H168" s="98">
        <f>ROUND(F168*G168,2)</f>
        <v>1490.4</v>
      </c>
      <c r="J168" s="217">
        <f>H168/$H$94</f>
        <v>0.0018396277365651</v>
      </c>
      <c r="K168" s="4"/>
    </row>
    <row r="169" spans="1:12" customHeight="1" ht="38.25">
      <c r="A169" s="7">
        <v>154</v>
      </c>
      <c r="B169" s="210"/>
      <c r="C169" s="130" t="s">
        <v>426</v>
      </c>
      <c r="D169" s="8" t="s">
        <v>427</v>
      </c>
      <c r="E169" s="2" t="s">
        <v>280</v>
      </c>
      <c r="F169" s="178">
        <v>0.1742</v>
      </c>
      <c r="G169" s="98">
        <v>8458.2</v>
      </c>
      <c r="H169" s="98">
        <f>ROUND(F169*G169,2)</f>
        <v>1473.42</v>
      </c>
      <c r="J169" s="217">
        <f>H169/$H$94</f>
        <v>0.0018186690147676</v>
      </c>
      <c r="K169" s="4"/>
    </row>
    <row r="170" spans="1:12">
      <c r="A170" s="7">
        <v>155</v>
      </c>
      <c r="B170" s="210"/>
      <c r="C170" s="130" t="s">
        <v>428</v>
      </c>
      <c r="D170" s="8" t="s">
        <v>429</v>
      </c>
      <c r="E170" s="2" t="s">
        <v>399</v>
      </c>
      <c r="F170" s="178">
        <v>5.373</v>
      </c>
      <c r="G170" s="98">
        <v>264.6</v>
      </c>
      <c r="H170" s="98">
        <f>ROUND(F170*G170,2)</f>
        <v>1421.7</v>
      </c>
      <c r="J170" s="217">
        <f>H170/$H$94</f>
        <v>0.0017548300812363</v>
      </c>
      <c r="K170" s="4"/>
    </row>
    <row r="171" spans="1:12" customHeight="1" ht="25.5">
      <c r="A171" s="7">
        <v>156</v>
      </c>
      <c r="B171" s="210"/>
      <c r="C171" s="130" t="s">
        <v>430</v>
      </c>
      <c r="D171" s="8" t="s">
        <v>431</v>
      </c>
      <c r="E171" s="2" t="s">
        <v>298</v>
      </c>
      <c r="F171" s="178">
        <v>7.614</v>
      </c>
      <c r="G171" s="98">
        <v>184.64</v>
      </c>
      <c r="H171" s="98">
        <f>ROUND(F171*G171,2)</f>
        <v>1405.85</v>
      </c>
      <c r="J171" s="217">
        <f>H171/$H$94</f>
        <v>0.0017352661389224</v>
      </c>
      <c r="K171" s="4"/>
    </row>
    <row r="172" spans="1:12" customHeight="1" ht="38.25">
      <c r="A172" s="7">
        <v>157</v>
      </c>
      <c r="B172" s="210"/>
      <c r="C172" s="130" t="s">
        <v>432</v>
      </c>
      <c r="D172" s="8" t="s">
        <v>433</v>
      </c>
      <c r="E172" s="2" t="s">
        <v>298</v>
      </c>
      <c r="F172" s="178">
        <v>208.8</v>
      </c>
      <c r="G172" s="98">
        <v>6.46</v>
      </c>
      <c r="H172" s="98">
        <f>ROUND(F172*G172,2)</f>
        <v>1348.85</v>
      </c>
      <c r="J172" s="217">
        <f>H172/$H$94</f>
        <v>0.0016649100056802</v>
      </c>
      <c r="K172" s="4"/>
    </row>
    <row r="173" spans="1:12" customHeight="1" ht="25.5">
      <c r="A173" s="7">
        <v>158</v>
      </c>
      <c r="B173" s="210"/>
      <c r="C173" s="130" t="s">
        <v>434</v>
      </c>
      <c r="D173" s="8" t="s">
        <v>435</v>
      </c>
      <c r="E173" s="2" t="s">
        <v>421</v>
      </c>
      <c r="F173" s="178">
        <v>20.88</v>
      </c>
      <c r="G173" s="98">
        <v>64.47</v>
      </c>
      <c r="H173" s="98">
        <f>ROUND(F173*G173,2)</f>
        <v>1346.13</v>
      </c>
      <c r="J173" s="217">
        <f>H173/$H$94</f>
        <v>0.0016615526603746</v>
      </c>
      <c r="K173" s="4"/>
    </row>
    <row r="174" spans="1:12" customHeight="1" ht="25.5">
      <c r="A174" s="7">
        <v>159</v>
      </c>
      <c r="B174" s="210"/>
      <c r="C174" s="130" t="s">
        <v>436</v>
      </c>
      <c r="D174" s="8" t="s">
        <v>437</v>
      </c>
      <c r="E174" s="2" t="s">
        <v>267</v>
      </c>
      <c r="F174" s="178">
        <v>1.874</v>
      </c>
      <c r="G174" s="98">
        <v>665</v>
      </c>
      <c r="H174" s="98">
        <f>ROUND(F174*G174,2)</f>
        <v>1246.21</v>
      </c>
      <c r="J174" s="217">
        <f>H174/$H$94</f>
        <v>0.0015382195931191</v>
      </c>
      <c r="K174" s="4"/>
    </row>
    <row r="175" spans="1:12" customHeight="1" ht="50.95">
      <c r="A175" s="7">
        <v>160</v>
      </c>
      <c r="B175" s="210"/>
      <c r="C175" s="130" t="s">
        <v>438</v>
      </c>
      <c r="D175" s="8" t="s">
        <v>439</v>
      </c>
      <c r="E175" s="2" t="s">
        <v>249</v>
      </c>
      <c r="F175" s="178">
        <v>3</v>
      </c>
      <c r="G175" s="98">
        <v>411.84</v>
      </c>
      <c r="H175" s="98">
        <f>ROUND(F175*G175,2)</f>
        <v>1235.52</v>
      </c>
      <c r="J175" s="217">
        <f>H175/$H$94</f>
        <v>0.0015250247323409</v>
      </c>
      <c r="K175" s="4"/>
    </row>
    <row r="176" spans="1:12" customHeight="1" ht="25.5">
      <c r="A176" s="7">
        <v>161</v>
      </c>
      <c r="B176" s="210"/>
      <c r="C176" s="130" t="s">
        <v>440</v>
      </c>
      <c r="D176" s="8" t="s">
        <v>441</v>
      </c>
      <c r="E176" s="2" t="s">
        <v>280</v>
      </c>
      <c r="F176" s="178">
        <v>0.172</v>
      </c>
      <c r="G176" s="98">
        <v>7170.98</v>
      </c>
      <c r="H176" s="98">
        <f>ROUND(F176*G176,2)</f>
        <v>1233.41</v>
      </c>
      <c r="J176" s="217">
        <f>H176/$H$94</f>
        <v>0.0015224203210928</v>
      </c>
      <c r="K176" s="4"/>
    </row>
    <row r="177" spans="1:12" customHeight="1" ht="50.95">
      <c r="A177" s="7">
        <v>162</v>
      </c>
      <c r="B177" s="210"/>
      <c r="C177" s="130" t="s">
        <v>442</v>
      </c>
      <c r="D177" s="8" t="s">
        <v>443</v>
      </c>
      <c r="E177" s="2" t="s">
        <v>249</v>
      </c>
      <c r="F177" s="178">
        <v>22</v>
      </c>
      <c r="G177" s="98">
        <v>53.35</v>
      </c>
      <c r="H177" s="98">
        <f>ROUND(F177*G177,2)</f>
        <v>1173.7</v>
      </c>
      <c r="J177" s="217">
        <f>H177/$H$94</f>
        <v>0.0014487191857263</v>
      </c>
      <c r="K177" s="4"/>
    </row>
    <row r="178" spans="1:12" customHeight="1" ht="38.25">
      <c r="A178" s="7">
        <v>163</v>
      </c>
      <c r="B178" s="210"/>
      <c r="C178" s="130" t="s">
        <v>444</v>
      </c>
      <c r="D178" s="8" t="s">
        <v>445</v>
      </c>
      <c r="E178" s="2" t="s">
        <v>249</v>
      </c>
      <c r="F178" s="178">
        <v>1</v>
      </c>
      <c r="G178" s="98">
        <v>1135.2</v>
      </c>
      <c r="H178" s="98">
        <f>ROUND(F178*G178,2)</f>
        <v>1135.2</v>
      </c>
      <c r="J178" s="217">
        <f>H178/$H$94</f>
        <v>0.0014011979378346</v>
      </c>
      <c r="K178" s="4"/>
    </row>
    <row r="179" spans="1:12" customHeight="1" ht="25.5">
      <c r="A179" s="7">
        <v>164</v>
      </c>
      <c r="B179" s="210"/>
      <c r="C179" s="130" t="s">
        <v>446</v>
      </c>
      <c r="D179" s="8" t="s">
        <v>447</v>
      </c>
      <c r="E179" s="2" t="s">
        <v>280</v>
      </c>
      <c r="F179" s="178">
        <v>0.1778</v>
      </c>
      <c r="G179" s="98">
        <v>6113</v>
      </c>
      <c r="H179" s="98">
        <f>ROUND(F179*G179,2)</f>
        <v>1086.89</v>
      </c>
      <c r="J179" s="217">
        <f>H179/$H$94</f>
        <v>0.0013415680291165</v>
      </c>
      <c r="K179" s="4"/>
    </row>
    <row r="180" spans="1:12">
      <c r="A180" s="7">
        <v>165</v>
      </c>
      <c r="B180" s="210"/>
      <c r="C180" s="130" t="s">
        <v>448</v>
      </c>
      <c r="D180" s="8" t="s">
        <v>449</v>
      </c>
      <c r="E180" s="2" t="s">
        <v>280</v>
      </c>
      <c r="F180" s="178">
        <v>0.0895</v>
      </c>
      <c r="G180" s="98">
        <v>11978</v>
      </c>
      <c r="H180" s="98">
        <f>ROUND(F180*G180,2)</f>
        <v>1072.03</v>
      </c>
      <c r="J180" s="217">
        <f>H180/$H$94</f>
        <v>0.0013232260617484</v>
      </c>
      <c r="K180" s="4"/>
    </row>
    <row r="181" spans="1:12">
      <c r="A181" s="7">
        <v>166</v>
      </c>
      <c r="B181" s="210"/>
      <c r="C181" s="130" t="s">
        <v>450</v>
      </c>
      <c r="D181" s="8" t="s">
        <v>451</v>
      </c>
      <c r="E181" s="2" t="s">
        <v>249</v>
      </c>
      <c r="F181" s="178">
        <v>4</v>
      </c>
      <c r="G181" s="98">
        <v>266.67</v>
      </c>
      <c r="H181" s="98">
        <f>ROUND(F181*G181,2)</f>
        <v>1066.68</v>
      </c>
      <c r="J181" s="217">
        <f>H181/$H$94</f>
        <v>0.0013166224597687</v>
      </c>
      <c r="K181" s="4"/>
    </row>
    <row r="182" spans="1:12" customHeight="1" ht="25.5">
      <c r="A182" s="7">
        <v>167</v>
      </c>
      <c r="B182" s="210"/>
      <c r="C182" s="130" t="s">
        <v>452</v>
      </c>
      <c r="D182" s="8" t="s">
        <v>453</v>
      </c>
      <c r="E182" s="2" t="s">
        <v>280</v>
      </c>
      <c r="F182" s="178">
        <v>0.12648</v>
      </c>
      <c r="G182" s="98">
        <v>8014.15</v>
      </c>
      <c r="H182" s="98">
        <f>ROUND(F182*G182,2)</f>
        <v>1013.63</v>
      </c>
      <c r="J182" s="217">
        <f>H182/$H$94</f>
        <v>0.0012511418831283</v>
      </c>
      <c r="K182" s="4"/>
    </row>
    <row r="183" spans="1:12">
      <c r="A183" s="7">
        <v>168</v>
      </c>
      <c r="B183" s="210"/>
      <c r="C183" s="130" t="s">
        <v>454</v>
      </c>
      <c r="D183" s="8" t="s">
        <v>455</v>
      </c>
      <c r="E183" s="2" t="s">
        <v>249</v>
      </c>
      <c r="F183" s="178">
        <v>15</v>
      </c>
      <c r="G183" s="98">
        <v>66.82</v>
      </c>
      <c r="H183" s="98">
        <f>ROUND(F183*G183,2)</f>
        <v>1002.3</v>
      </c>
      <c r="J183" s="217">
        <f>H183/$H$94</f>
        <v>0.0012371570587488</v>
      </c>
      <c r="K183" s="4"/>
    </row>
    <row r="184" spans="1:12">
      <c r="A184" s="7">
        <v>169</v>
      </c>
      <c r="B184" s="210"/>
      <c r="C184" s="130" t="s">
        <v>456</v>
      </c>
      <c r="D184" s="8" t="s">
        <v>457</v>
      </c>
      <c r="E184" s="2" t="s">
        <v>267</v>
      </c>
      <c r="F184" s="178">
        <v>4.84</v>
      </c>
      <c r="G184" s="98">
        <v>203.4</v>
      </c>
      <c r="H184" s="98">
        <f>ROUND(F184*G184,2)</f>
        <v>984.46</v>
      </c>
      <c r="J184" s="217">
        <f>H184/$H$94</f>
        <v>0.0012151368233621</v>
      </c>
      <c r="K184" s="4"/>
    </row>
    <row r="185" spans="1:12" customHeight="1" ht="50.95">
      <c r="A185" s="7">
        <v>170</v>
      </c>
      <c r="B185" s="210"/>
      <c r="C185" s="130" t="s">
        <v>458</v>
      </c>
      <c r="D185" s="8" t="s">
        <v>459</v>
      </c>
      <c r="E185" s="2" t="s">
        <v>249</v>
      </c>
      <c r="F185" s="178">
        <v>1.8</v>
      </c>
      <c r="G185" s="98">
        <v>544</v>
      </c>
      <c r="H185" s="98">
        <f>ROUND(F185*G185,2)</f>
        <v>979.2</v>
      </c>
      <c r="J185" s="217">
        <f>H185/$H$94</f>
        <v>0.0012086443100138</v>
      </c>
      <c r="K185" s="4"/>
    </row>
    <row r="186" spans="1:12" customHeight="1" ht="38.25">
      <c r="A186" s="7">
        <v>171</v>
      </c>
      <c r="B186" s="210"/>
      <c r="C186" s="130" t="s">
        <v>460</v>
      </c>
      <c r="D186" s="8" t="s">
        <v>461</v>
      </c>
      <c r="E186" s="2" t="s">
        <v>249</v>
      </c>
      <c r="F186" s="178">
        <v>6</v>
      </c>
      <c r="G186" s="98">
        <v>158.24</v>
      </c>
      <c r="H186" s="98">
        <f>ROUND(F186*G186,2)</f>
        <v>949.44</v>
      </c>
      <c r="J186" s="217">
        <f>H186/$H$94</f>
        <v>0.0011719110025526</v>
      </c>
      <c r="K186" s="4"/>
    </row>
    <row r="187" spans="1:12" customHeight="1" ht="25.5">
      <c r="A187" s="7">
        <v>172</v>
      </c>
      <c r="B187" s="210"/>
      <c r="C187" s="130" t="s">
        <v>462</v>
      </c>
      <c r="D187" s="8" t="s">
        <v>463</v>
      </c>
      <c r="E187" s="2" t="s">
        <v>267</v>
      </c>
      <c r="F187" s="178">
        <v>5.915</v>
      </c>
      <c r="G187" s="98">
        <v>155.94</v>
      </c>
      <c r="H187" s="98">
        <f>ROUND(F187*G187,2)</f>
        <v>922.39</v>
      </c>
      <c r="J187" s="217">
        <f>H187/$H$94</f>
        <v>0.0011385226972157</v>
      </c>
      <c r="K187" s="4"/>
    </row>
    <row r="188" spans="1:12" customHeight="1" ht="38.25">
      <c r="A188" s="7">
        <v>173</v>
      </c>
      <c r="B188" s="210"/>
      <c r="C188" s="130" t="s">
        <v>464</v>
      </c>
      <c r="D188" s="8" t="s">
        <v>465</v>
      </c>
      <c r="E188" s="2" t="s">
        <v>249</v>
      </c>
      <c r="F188" s="178">
        <v>12</v>
      </c>
      <c r="G188" s="98">
        <v>71.34</v>
      </c>
      <c r="H188" s="98">
        <f>ROUND(F188*G188,2)</f>
        <v>856.08</v>
      </c>
      <c r="J188" s="217">
        <f>H188/$H$94</f>
        <v>0.0010566750622106</v>
      </c>
      <c r="K188" s="4"/>
    </row>
    <row r="189" spans="1:12">
      <c r="A189" s="7">
        <v>174</v>
      </c>
      <c r="B189" s="210"/>
      <c r="C189" s="130" t="s">
        <v>466</v>
      </c>
      <c r="D189" s="8" t="s">
        <v>467</v>
      </c>
      <c r="E189" s="2" t="s">
        <v>468</v>
      </c>
      <c r="F189" s="178">
        <v>1.2</v>
      </c>
      <c r="G189" s="98">
        <v>680</v>
      </c>
      <c r="H189" s="98">
        <f>ROUND(F189*G189,2)</f>
        <v>816</v>
      </c>
      <c r="J189" s="217">
        <f>H189/$H$94</f>
        <v>0.0010072035916781</v>
      </c>
      <c r="K189" s="4"/>
    </row>
    <row r="190" spans="1:12" customHeight="1" ht="25.5">
      <c r="A190" s="7">
        <v>175</v>
      </c>
      <c r="B190" s="210"/>
      <c r="C190" s="130" t="s">
        <v>469</v>
      </c>
      <c r="D190" s="8" t="s">
        <v>470</v>
      </c>
      <c r="E190" s="2" t="s">
        <v>404</v>
      </c>
      <c r="F190" s="178">
        <v>0.204</v>
      </c>
      <c r="G190" s="98">
        <v>3986</v>
      </c>
      <c r="H190" s="98">
        <f>ROUND(F190*G190,2)</f>
        <v>813.14</v>
      </c>
      <c r="J190" s="217">
        <f>H190/$H$94</f>
        <v>0.0010036734418348</v>
      </c>
      <c r="K190" s="4"/>
    </row>
    <row r="191" spans="1:12" customHeight="1" ht="38.25">
      <c r="A191" s="7">
        <v>176</v>
      </c>
      <c r="B191" s="210"/>
      <c r="C191" s="130" t="s">
        <v>471</v>
      </c>
      <c r="D191" s="8" t="s">
        <v>472</v>
      </c>
      <c r="E191" s="2" t="s">
        <v>249</v>
      </c>
      <c r="F191" s="178">
        <v>3</v>
      </c>
      <c r="G191" s="98">
        <v>259.56</v>
      </c>
      <c r="H191" s="98">
        <f>ROUND(F191*G191,2)</f>
        <v>778.68</v>
      </c>
      <c r="J191" s="217">
        <f>H191/$H$94</f>
        <v>0.00096113883917638</v>
      </c>
      <c r="K191" s="4"/>
    </row>
    <row r="192" spans="1:12">
      <c r="A192" s="7">
        <v>177</v>
      </c>
      <c r="B192" s="210"/>
      <c r="C192" s="130" t="s">
        <v>473</v>
      </c>
      <c r="D192" s="8" t="s">
        <v>474</v>
      </c>
      <c r="E192" s="2" t="s">
        <v>249</v>
      </c>
      <c r="F192" s="178">
        <v>1</v>
      </c>
      <c r="G192" s="98">
        <v>745.79</v>
      </c>
      <c r="H192" s="98">
        <f>ROUND(F192*G192,2)</f>
        <v>745.79</v>
      </c>
      <c r="J192" s="217">
        <f>H192/$H$94</f>
        <v>0.00092054211597749</v>
      </c>
      <c r="K192" s="4"/>
    </row>
    <row r="193" spans="1:12" customHeight="1" ht="38.25">
      <c r="A193" s="7">
        <v>178</v>
      </c>
      <c r="B193" s="210"/>
      <c r="C193" s="130" t="s">
        <v>475</v>
      </c>
      <c r="D193" s="8" t="s">
        <v>476</v>
      </c>
      <c r="E193" s="2" t="s">
        <v>249</v>
      </c>
      <c r="F193" s="178">
        <v>6</v>
      </c>
      <c r="G193" s="98">
        <v>122.79</v>
      </c>
      <c r="H193" s="98">
        <f>ROUND(F193*G193,2)</f>
        <v>736.74</v>
      </c>
      <c r="J193" s="217">
        <f>H193/$H$94</f>
        <v>0.00090937153692763</v>
      </c>
      <c r="K193" s="4"/>
    </row>
    <row r="194" spans="1:12" customHeight="1" ht="25.5">
      <c r="A194" s="7">
        <v>179</v>
      </c>
      <c r="B194" s="210"/>
      <c r="C194" s="130" t="s">
        <v>477</v>
      </c>
      <c r="D194" s="8" t="s">
        <v>478</v>
      </c>
      <c r="E194" s="2" t="s">
        <v>421</v>
      </c>
      <c r="F194" s="178">
        <v>95.7</v>
      </c>
      <c r="G194" s="98">
        <v>7.5</v>
      </c>
      <c r="H194" s="98">
        <f>ROUND(F194*G194,2)</f>
        <v>717.75</v>
      </c>
      <c r="J194" s="217">
        <f>H194/$H$94</f>
        <v>0.00088593183569483</v>
      </c>
      <c r="K194" s="4"/>
    </row>
    <row r="195" spans="1:12">
      <c r="A195" s="7">
        <v>180</v>
      </c>
      <c r="B195" s="210"/>
      <c r="C195" s="130" t="s">
        <v>479</v>
      </c>
      <c r="D195" s="8" t="s">
        <v>480</v>
      </c>
      <c r="E195" s="2" t="s">
        <v>404</v>
      </c>
      <c r="F195" s="178">
        <v>69.6</v>
      </c>
      <c r="G195" s="98">
        <v>10</v>
      </c>
      <c r="H195" s="98">
        <f>ROUND(F195*G195,2)</f>
        <v>696</v>
      </c>
      <c r="J195" s="217">
        <f>H195/$H$94</f>
        <v>0.00085908541643135</v>
      </c>
      <c r="K195" s="4"/>
    </row>
    <row r="196" spans="1:12">
      <c r="A196" s="7">
        <v>181</v>
      </c>
      <c r="B196" s="210"/>
      <c r="C196" s="130" t="s">
        <v>481</v>
      </c>
      <c r="D196" s="8" t="s">
        <v>482</v>
      </c>
      <c r="E196" s="2" t="s">
        <v>298</v>
      </c>
      <c r="F196" s="178">
        <v>19.32</v>
      </c>
      <c r="G196" s="98">
        <v>35.53</v>
      </c>
      <c r="H196" s="98">
        <f>ROUND(F196*G196,2)</f>
        <v>686.44</v>
      </c>
      <c r="J196" s="217">
        <f>H196/$H$94</f>
        <v>0.00084728533513669</v>
      </c>
      <c r="K196" s="4"/>
    </row>
    <row r="197" spans="1:12">
      <c r="A197" s="7">
        <v>182</v>
      </c>
      <c r="B197" s="210"/>
      <c r="C197" s="130" t="s">
        <v>483</v>
      </c>
      <c r="D197" s="8" t="s">
        <v>484</v>
      </c>
      <c r="E197" s="2" t="s">
        <v>485</v>
      </c>
      <c r="F197" s="178">
        <v>1.495</v>
      </c>
      <c r="G197" s="98">
        <v>458</v>
      </c>
      <c r="H197" s="98">
        <f>ROUND(F197*G197,2)</f>
        <v>684.71</v>
      </c>
      <c r="J197" s="217">
        <f>H197/$H$94</f>
        <v>0.00084514996477688</v>
      </c>
      <c r="K197" s="4"/>
    </row>
    <row r="198" spans="1:12">
      <c r="A198" s="7">
        <v>183</v>
      </c>
      <c r="B198" s="210"/>
      <c r="C198" s="130" t="s">
        <v>486</v>
      </c>
      <c r="D198" s="8" t="s">
        <v>487</v>
      </c>
      <c r="E198" s="2" t="s">
        <v>280</v>
      </c>
      <c r="F198" s="178">
        <v>0.0724</v>
      </c>
      <c r="G198" s="98">
        <v>9424</v>
      </c>
      <c r="H198" s="98">
        <f>ROUND(F198*G198,2)</f>
        <v>682.3</v>
      </c>
      <c r="J198" s="217">
        <f>H198/$H$94</f>
        <v>0.00084217525809067</v>
      </c>
      <c r="K198" s="4"/>
    </row>
    <row r="199" spans="1:12" customHeight="1" ht="25.5">
      <c r="A199" s="7">
        <v>184</v>
      </c>
      <c r="B199" s="210"/>
      <c r="C199" s="130" t="s">
        <v>488</v>
      </c>
      <c r="D199" s="8" t="s">
        <v>489</v>
      </c>
      <c r="E199" s="2" t="s">
        <v>280</v>
      </c>
      <c r="F199" s="178">
        <v>0.11838</v>
      </c>
      <c r="G199" s="98">
        <v>5763</v>
      </c>
      <c r="H199" s="98">
        <f>ROUND(F199*G199,2)</f>
        <v>682.22</v>
      </c>
      <c r="J199" s="217">
        <f>H199/$H$94</f>
        <v>0.00084207651264051</v>
      </c>
      <c r="K199" s="4"/>
    </row>
    <row r="200" spans="1:12" customHeight="1" ht="38.25">
      <c r="A200" s="7">
        <v>185</v>
      </c>
      <c r="B200" s="210"/>
      <c r="C200" s="130" t="s">
        <v>490</v>
      </c>
      <c r="D200" s="8" t="s">
        <v>491</v>
      </c>
      <c r="E200" s="2" t="s">
        <v>312</v>
      </c>
      <c r="F200" s="178">
        <v>8.5</v>
      </c>
      <c r="G200" s="98">
        <v>79.43</v>
      </c>
      <c r="H200" s="98">
        <f>ROUND(F200*G200,2)</f>
        <v>675.16</v>
      </c>
      <c r="J200" s="217">
        <f>H200/$H$94</f>
        <v>0.00083336222666349</v>
      </c>
      <c r="K200" s="4"/>
    </row>
    <row r="201" spans="1:12" customHeight="1" ht="38.25">
      <c r="A201" s="7">
        <v>186</v>
      </c>
      <c r="B201" s="210"/>
      <c r="C201" s="130" t="s">
        <v>492</v>
      </c>
      <c r="D201" s="8" t="s">
        <v>493</v>
      </c>
      <c r="E201" s="2" t="s">
        <v>312</v>
      </c>
      <c r="F201" s="178">
        <v>5</v>
      </c>
      <c r="G201" s="98">
        <v>128.25</v>
      </c>
      <c r="H201" s="98">
        <f>ROUND(F201*G201,2)</f>
        <v>641.25</v>
      </c>
      <c r="J201" s="217">
        <f>H201/$H$94</f>
        <v>0.000791506498975</v>
      </c>
      <c r="K201" s="4"/>
    </row>
    <row r="202" spans="1:12" customHeight="1" ht="38.25">
      <c r="A202" s="7">
        <v>187</v>
      </c>
      <c r="B202" s="210"/>
      <c r="C202" s="130" t="s">
        <v>494</v>
      </c>
      <c r="D202" s="8" t="s">
        <v>495</v>
      </c>
      <c r="E202" s="2" t="s">
        <v>249</v>
      </c>
      <c r="F202" s="178">
        <v>1</v>
      </c>
      <c r="G202" s="98">
        <v>617.94</v>
      </c>
      <c r="H202" s="98">
        <f>ROUND(F202*G202,2)</f>
        <v>617.94</v>
      </c>
      <c r="J202" s="217">
        <f>H202/$H$94</f>
        <v>0.00076273454343332</v>
      </c>
      <c r="K202" s="4"/>
    </row>
    <row r="203" spans="1:12" customHeight="1" ht="25.5">
      <c r="A203" s="7">
        <v>188</v>
      </c>
      <c r="B203" s="210"/>
      <c r="C203" s="130" t="s">
        <v>496</v>
      </c>
      <c r="D203" s="8" t="s">
        <v>497</v>
      </c>
      <c r="E203" s="2" t="s">
        <v>267</v>
      </c>
      <c r="F203" s="178">
        <v>0.623</v>
      </c>
      <c r="G203" s="98">
        <v>968</v>
      </c>
      <c r="H203" s="98">
        <f>ROUND(F203*G203,2)</f>
        <v>603.06</v>
      </c>
      <c r="J203" s="217">
        <f>H203/$H$94</f>
        <v>0.00074436788970271</v>
      </c>
      <c r="K203" s="4"/>
    </row>
    <row r="204" spans="1:12">
      <c r="A204" s="7">
        <v>189</v>
      </c>
      <c r="B204" s="210"/>
      <c r="C204" s="130" t="s">
        <v>498</v>
      </c>
      <c r="D204" s="8" t="s">
        <v>499</v>
      </c>
      <c r="E204" s="2" t="s">
        <v>500</v>
      </c>
      <c r="F204" s="178">
        <v>30</v>
      </c>
      <c r="G204" s="98">
        <v>19.9</v>
      </c>
      <c r="H204" s="98">
        <f>ROUND(F204*G204,2)</f>
        <v>597</v>
      </c>
      <c r="J204" s="217">
        <f>H204/$H$94</f>
        <v>0.00073688792185275</v>
      </c>
      <c r="K204" s="4"/>
    </row>
    <row r="205" spans="1:12" customHeight="1" ht="25.5">
      <c r="A205" s="7">
        <v>190</v>
      </c>
      <c r="B205" s="210"/>
      <c r="C205" s="130" t="s">
        <v>501</v>
      </c>
      <c r="D205" s="8" t="s">
        <v>502</v>
      </c>
      <c r="E205" s="2" t="s">
        <v>267</v>
      </c>
      <c r="F205" s="178">
        <v>0.2797</v>
      </c>
      <c r="G205" s="98">
        <v>1980</v>
      </c>
      <c r="H205" s="98">
        <f>ROUND(F205*G205,2)</f>
        <v>553.81</v>
      </c>
      <c r="J205" s="217">
        <f>H205/$H$94</f>
        <v>0.00068357772194518</v>
      </c>
      <c r="K205" s="4"/>
    </row>
    <row r="206" spans="1:12">
      <c r="A206" s="7">
        <v>191</v>
      </c>
      <c r="B206" s="210"/>
      <c r="C206" s="130" t="s">
        <v>503</v>
      </c>
      <c r="D206" s="8" t="s">
        <v>504</v>
      </c>
      <c r="E206" s="2" t="s">
        <v>280</v>
      </c>
      <c r="F206" s="178">
        <v>0.0556</v>
      </c>
      <c r="G206" s="98">
        <v>9793</v>
      </c>
      <c r="H206" s="98">
        <f>ROUND(F206*G206,2)</f>
        <v>544.49</v>
      </c>
      <c r="J206" s="217">
        <f>H206/$H$94</f>
        <v>0.00067207387700101</v>
      </c>
      <c r="K206" s="4"/>
    </row>
    <row r="207" spans="1:12">
      <c r="A207" s="7">
        <v>192</v>
      </c>
      <c r="B207" s="210"/>
      <c r="C207" s="130" t="s">
        <v>505</v>
      </c>
      <c r="D207" s="8" t="s">
        <v>506</v>
      </c>
      <c r="E207" s="2" t="s">
        <v>249</v>
      </c>
      <c r="F207" s="178">
        <v>2</v>
      </c>
      <c r="G207" s="98">
        <v>270.09</v>
      </c>
      <c r="H207" s="98">
        <f>ROUND(F207*G207,2)</f>
        <v>540.18</v>
      </c>
      <c r="J207" s="217">
        <f>H207/$H$94</f>
        <v>0.0006667539658734</v>
      </c>
      <c r="K207" s="4"/>
    </row>
    <row r="208" spans="1:12" customHeight="1" ht="25.5">
      <c r="A208" s="7">
        <v>193</v>
      </c>
      <c r="B208" s="210"/>
      <c r="C208" s="130" t="s">
        <v>507</v>
      </c>
      <c r="D208" s="8" t="s">
        <v>508</v>
      </c>
      <c r="E208" s="2" t="s">
        <v>280</v>
      </c>
      <c r="F208" s="178">
        <v>0.0362</v>
      </c>
      <c r="G208" s="98">
        <v>14830</v>
      </c>
      <c r="H208" s="98">
        <f>ROUND(F208*G208,2)</f>
        <v>536.85</v>
      </c>
      <c r="J208" s="217">
        <f>H208/$H$94</f>
        <v>0.0006626436865103</v>
      </c>
      <c r="K208" s="4"/>
    </row>
    <row r="209" spans="1:12">
      <c r="A209" s="7">
        <v>194</v>
      </c>
      <c r="B209" s="210"/>
      <c r="C209" s="130" t="s">
        <v>509</v>
      </c>
      <c r="D209" s="8" t="s">
        <v>510</v>
      </c>
      <c r="E209" s="2" t="s">
        <v>280</v>
      </c>
      <c r="F209" s="178">
        <v>0.0518</v>
      </c>
      <c r="G209" s="98">
        <v>10362</v>
      </c>
      <c r="H209" s="98">
        <f>ROUND(F209*G209,2)</f>
        <v>536.75</v>
      </c>
      <c r="J209" s="217">
        <f>H209/$H$94</f>
        <v>0.0006625202546976</v>
      </c>
      <c r="K209" s="4"/>
    </row>
    <row r="210" spans="1:12" customHeight="1" ht="25.5">
      <c r="A210" s="7">
        <v>195</v>
      </c>
      <c r="B210" s="210"/>
      <c r="C210" s="130" t="s">
        <v>511</v>
      </c>
      <c r="D210" s="8" t="s">
        <v>512</v>
      </c>
      <c r="E210" s="2" t="s">
        <v>298</v>
      </c>
      <c r="F210" s="178">
        <v>83.204</v>
      </c>
      <c r="G210" s="98">
        <v>6.2</v>
      </c>
      <c r="H210" s="98">
        <f>ROUND(F210*G210,2)</f>
        <v>515.86</v>
      </c>
      <c r="J210" s="217">
        <f>H210/$H$94</f>
        <v>0.00063673534902338</v>
      </c>
      <c r="K210" s="4"/>
    </row>
    <row r="211" spans="1:12" customHeight="1" ht="38.25">
      <c r="A211" s="7">
        <v>196</v>
      </c>
      <c r="B211" s="210"/>
      <c r="C211" s="130" t="s">
        <v>432</v>
      </c>
      <c r="D211" s="8" t="s">
        <v>433</v>
      </c>
      <c r="E211" s="2" t="s">
        <v>298</v>
      </c>
      <c r="F211" s="178">
        <v>79.2</v>
      </c>
      <c r="G211" s="98">
        <v>6.46</v>
      </c>
      <c r="H211" s="98">
        <f>ROUND(F211*G211,2)</f>
        <v>511.63</v>
      </c>
      <c r="J211" s="217">
        <f>H211/$H$94</f>
        <v>0.00063151418334594</v>
      </c>
      <c r="K211" s="4"/>
    </row>
    <row r="212" spans="1:12">
      <c r="A212" s="7">
        <v>197</v>
      </c>
      <c r="B212" s="210"/>
      <c r="C212" s="130" t="s">
        <v>513</v>
      </c>
      <c r="D212" s="8" t="s">
        <v>514</v>
      </c>
      <c r="E212" s="2" t="s">
        <v>399</v>
      </c>
      <c r="F212" s="178">
        <v>32.76</v>
      </c>
      <c r="G212" s="98">
        <v>15.25</v>
      </c>
      <c r="H212" s="98">
        <f>ROUND(F212*G212,2)</f>
        <v>499.59</v>
      </c>
      <c r="J212" s="217">
        <f>H212/$H$94</f>
        <v>0.00061665299309617</v>
      </c>
      <c r="K212" s="4"/>
    </row>
    <row r="213" spans="1:12" customHeight="1" ht="25.5">
      <c r="A213" s="7">
        <v>198</v>
      </c>
      <c r="B213" s="210"/>
      <c r="C213" s="130" t="s">
        <v>515</v>
      </c>
      <c r="D213" s="8" t="s">
        <v>516</v>
      </c>
      <c r="E213" s="2" t="s">
        <v>249</v>
      </c>
      <c r="F213" s="178">
        <v>2</v>
      </c>
      <c r="G213" s="98">
        <v>240</v>
      </c>
      <c r="H213" s="98">
        <f>ROUND(F213*G213,2)</f>
        <v>480</v>
      </c>
      <c r="J213" s="217">
        <f>H213/$H$94</f>
        <v>0.00059247270098714</v>
      </c>
      <c r="K213" s="4"/>
    </row>
    <row r="214" spans="1:12" customHeight="1" ht="38.25">
      <c r="A214" s="7">
        <v>199</v>
      </c>
      <c r="B214" s="210"/>
      <c r="C214" s="130" t="s">
        <v>517</v>
      </c>
      <c r="D214" s="8" t="s">
        <v>518</v>
      </c>
      <c r="E214" s="2" t="s">
        <v>249</v>
      </c>
      <c r="F214" s="178">
        <v>4</v>
      </c>
      <c r="G214" s="98">
        <v>117.85</v>
      </c>
      <c r="H214" s="98">
        <f>ROUND(F214*G214,2)</f>
        <v>471.4</v>
      </c>
      <c r="J214" s="217">
        <f>H214/$H$94</f>
        <v>0.00058185756509445</v>
      </c>
      <c r="K214" s="4"/>
    </row>
    <row r="215" spans="1:12">
      <c r="A215" s="7">
        <v>200</v>
      </c>
      <c r="B215" s="210"/>
      <c r="C215" s="130" t="s">
        <v>519</v>
      </c>
      <c r="D215" s="8" t="s">
        <v>520</v>
      </c>
      <c r="E215" s="2" t="s">
        <v>280</v>
      </c>
      <c r="F215" s="178">
        <v>0.0391</v>
      </c>
      <c r="G215" s="98">
        <v>11524</v>
      </c>
      <c r="H215" s="98">
        <f>ROUND(F215*G215,2)</f>
        <v>450.59</v>
      </c>
      <c r="J215" s="217">
        <f>H215/$H$94</f>
        <v>0.0005561714048704</v>
      </c>
      <c r="K215" s="4"/>
    </row>
    <row r="216" spans="1:12">
      <c r="A216" s="7">
        <v>201</v>
      </c>
      <c r="B216" s="210"/>
      <c r="C216" s="171" t="s">
        <v>257</v>
      </c>
      <c r="D216" s="8" t="s">
        <v>521</v>
      </c>
      <c r="E216" s="2" t="s">
        <v>249</v>
      </c>
      <c r="F216" s="178">
        <v>13</v>
      </c>
      <c r="G216" s="98">
        <v>33.49</v>
      </c>
      <c r="H216" s="98">
        <f>ROUND(F216*G216,2)</f>
        <v>435.37</v>
      </c>
      <c r="J216" s="217">
        <f>H216/$H$94</f>
        <v>0.0005373850829766</v>
      </c>
      <c r="K216" s="4"/>
    </row>
    <row r="217" spans="1:12" customHeight="1" ht="25.5">
      <c r="A217" s="7">
        <v>202</v>
      </c>
      <c r="B217" s="210"/>
      <c r="C217" s="130" t="s">
        <v>522</v>
      </c>
      <c r="D217" s="8" t="s">
        <v>523</v>
      </c>
      <c r="E217" s="2" t="s">
        <v>524</v>
      </c>
      <c r="F217" s="178">
        <v>0.028</v>
      </c>
      <c r="G217" s="98">
        <v>15270.7</v>
      </c>
      <c r="H217" s="98">
        <f>ROUND(F217*G217,2)</f>
        <v>427.58</v>
      </c>
      <c r="J217" s="217">
        <f>H217/$H$94</f>
        <v>0.00052776974476683</v>
      </c>
      <c r="K217" s="4"/>
    </row>
    <row r="218" spans="1:12" customHeight="1" ht="25.5">
      <c r="A218" s="7">
        <v>203</v>
      </c>
      <c r="B218" s="210"/>
      <c r="C218" s="130" t="s">
        <v>525</v>
      </c>
      <c r="D218" s="8" t="s">
        <v>526</v>
      </c>
      <c r="E218" s="2" t="s">
        <v>280</v>
      </c>
      <c r="F218" s="178">
        <v>0.172</v>
      </c>
      <c r="G218" s="98">
        <v>2476.76</v>
      </c>
      <c r="H218" s="98">
        <f>ROUND(F218*G218,2)</f>
        <v>426</v>
      </c>
      <c r="J218" s="217">
        <f>H218/$H$94</f>
        <v>0.00052581952212608</v>
      </c>
      <c r="K218" s="4"/>
    </row>
    <row r="219" spans="1:12">
      <c r="A219" s="7">
        <v>204</v>
      </c>
      <c r="B219" s="210"/>
      <c r="C219" s="130" t="s">
        <v>527</v>
      </c>
      <c r="D219" s="8" t="s">
        <v>528</v>
      </c>
      <c r="E219" s="2" t="s">
        <v>280</v>
      </c>
      <c r="F219" s="178">
        <v>0.0684</v>
      </c>
      <c r="G219" s="98">
        <v>6143.8</v>
      </c>
      <c r="H219" s="98">
        <f>ROUND(F219*G219,2)</f>
        <v>420.24</v>
      </c>
      <c r="J219" s="217">
        <f>H219/$H$94</f>
        <v>0.00051870984971424</v>
      </c>
      <c r="K219" s="4"/>
    </row>
    <row r="220" spans="1:12">
      <c r="A220" s="7">
        <v>205</v>
      </c>
      <c r="B220" s="210"/>
      <c r="C220" s="130" t="s">
        <v>529</v>
      </c>
      <c r="D220" s="8" t="s">
        <v>530</v>
      </c>
      <c r="E220" s="2" t="s">
        <v>399</v>
      </c>
      <c r="F220" s="178">
        <v>14.238</v>
      </c>
      <c r="G220" s="98">
        <v>28.6</v>
      </c>
      <c r="H220" s="98">
        <f>ROUND(F220*G220,2)</f>
        <v>407.21</v>
      </c>
      <c r="J220" s="217">
        <f>H220/$H$94</f>
        <v>0.00050262668451869</v>
      </c>
      <c r="K220" s="4"/>
    </row>
    <row r="221" spans="1:12" customHeight="1" ht="25.5">
      <c r="A221" s="7">
        <v>206</v>
      </c>
      <c r="B221" s="210"/>
      <c r="C221" s="130" t="s">
        <v>531</v>
      </c>
      <c r="D221" s="8" t="s">
        <v>532</v>
      </c>
      <c r="E221" s="2" t="s">
        <v>298</v>
      </c>
      <c r="F221" s="178">
        <v>13.96</v>
      </c>
      <c r="G221" s="98">
        <v>28.25</v>
      </c>
      <c r="H221" s="98">
        <f>ROUND(F221*G221,2)</f>
        <v>394.37</v>
      </c>
      <c r="J221" s="217">
        <f>H221/$H$94</f>
        <v>0.00048677803976729</v>
      </c>
      <c r="K221" s="4"/>
    </row>
    <row r="222" spans="1:12" customHeight="1" ht="25.5">
      <c r="A222" s="7">
        <v>207</v>
      </c>
      <c r="B222" s="210"/>
      <c r="C222" s="130" t="s">
        <v>533</v>
      </c>
      <c r="D222" s="8" t="s">
        <v>534</v>
      </c>
      <c r="E222" s="2" t="s">
        <v>267</v>
      </c>
      <c r="F222" s="178">
        <v>0.3465</v>
      </c>
      <c r="G222" s="98">
        <v>1100</v>
      </c>
      <c r="H222" s="98">
        <f>ROUND(F222*G222,2)</f>
        <v>381.15</v>
      </c>
      <c r="J222" s="217">
        <f>H222/$H$94</f>
        <v>0.0004704603541276</v>
      </c>
      <c r="K222" s="4"/>
    </row>
    <row r="223" spans="1:12">
      <c r="A223" s="7">
        <v>208</v>
      </c>
      <c r="B223" s="210"/>
      <c r="C223" s="130" t="s">
        <v>535</v>
      </c>
      <c r="D223" s="8" t="s">
        <v>536</v>
      </c>
      <c r="E223" s="2" t="s">
        <v>267</v>
      </c>
      <c r="F223" s="178">
        <v>0.63</v>
      </c>
      <c r="G223" s="98">
        <v>600</v>
      </c>
      <c r="H223" s="98">
        <f>ROUND(F223*G223,2)</f>
        <v>378</v>
      </c>
      <c r="J223" s="217">
        <f>H223/$H$94</f>
        <v>0.00046657225202737</v>
      </c>
      <c r="K223" s="4"/>
    </row>
    <row r="224" spans="1:12">
      <c r="A224" s="7">
        <v>209</v>
      </c>
      <c r="B224" s="210"/>
      <c r="C224" s="130" t="s">
        <v>537</v>
      </c>
      <c r="D224" s="8" t="s">
        <v>538</v>
      </c>
      <c r="E224" s="2" t="s">
        <v>468</v>
      </c>
      <c r="F224" s="178">
        <v>1.2</v>
      </c>
      <c r="G224" s="98">
        <v>310</v>
      </c>
      <c r="H224" s="98">
        <f>ROUND(F224*G224,2)</f>
        <v>372</v>
      </c>
      <c r="J224" s="217">
        <f>H224/$H$94</f>
        <v>0.00045916634326503</v>
      </c>
      <c r="K224" s="4"/>
    </row>
    <row r="225" spans="1:12" customHeight="1" ht="50.95">
      <c r="A225" s="7">
        <v>210</v>
      </c>
      <c r="B225" s="210"/>
      <c r="C225" s="130" t="s">
        <v>539</v>
      </c>
      <c r="D225" s="8" t="s">
        <v>540</v>
      </c>
      <c r="E225" s="2" t="s">
        <v>249</v>
      </c>
      <c r="F225" s="178">
        <v>3</v>
      </c>
      <c r="G225" s="98">
        <v>123.84</v>
      </c>
      <c r="H225" s="98">
        <f>ROUND(F225*G225,2)</f>
        <v>371.52</v>
      </c>
      <c r="J225" s="217">
        <f>H225/$H$94</f>
        <v>0.00045857387056404</v>
      </c>
      <c r="K225" s="4"/>
    </row>
    <row r="226" spans="1:12" customHeight="1" ht="25.5">
      <c r="A226" s="7">
        <v>211</v>
      </c>
      <c r="B226" s="210"/>
      <c r="C226" s="130" t="s">
        <v>541</v>
      </c>
      <c r="D226" s="8" t="s">
        <v>542</v>
      </c>
      <c r="E226" s="2" t="s">
        <v>280</v>
      </c>
      <c r="F226" s="178">
        <v>0.2412</v>
      </c>
      <c r="G226" s="98">
        <v>1530</v>
      </c>
      <c r="H226" s="98">
        <f>ROUND(F226*G226,2)</f>
        <v>369.04</v>
      </c>
      <c r="J226" s="217">
        <f>H226/$H$94</f>
        <v>0.00045551276160894</v>
      </c>
      <c r="K226" s="4"/>
    </row>
    <row r="227" spans="1:12" customHeight="1" ht="25.5">
      <c r="A227" s="7">
        <v>212</v>
      </c>
      <c r="B227" s="210"/>
      <c r="C227" s="130" t="s">
        <v>543</v>
      </c>
      <c r="D227" s="8" t="s">
        <v>544</v>
      </c>
      <c r="E227" s="2" t="s">
        <v>312</v>
      </c>
      <c r="F227" s="178">
        <v>10</v>
      </c>
      <c r="G227" s="98">
        <v>36.2</v>
      </c>
      <c r="H227" s="98">
        <f>ROUND(F227*G227,2)</f>
        <v>362</v>
      </c>
      <c r="J227" s="217">
        <f>H227/$H$94</f>
        <v>0.00044682316199447</v>
      </c>
      <c r="K227" s="4"/>
    </row>
    <row r="228" spans="1:12">
      <c r="A228" s="7">
        <v>213</v>
      </c>
      <c r="B228" s="210"/>
      <c r="C228" s="130" t="s">
        <v>545</v>
      </c>
      <c r="D228" s="8" t="s">
        <v>546</v>
      </c>
      <c r="E228" s="2" t="s">
        <v>280</v>
      </c>
      <c r="F228" s="178">
        <v>0.2401</v>
      </c>
      <c r="G228" s="98">
        <v>1383.1</v>
      </c>
      <c r="H228" s="98">
        <f>ROUND(F228*G228,2)</f>
        <v>332.08</v>
      </c>
      <c r="J228" s="217">
        <f>H228/$H$94</f>
        <v>0.00040989236363293</v>
      </c>
      <c r="K228" s="4"/>
    </row>
    <row r="229" spans="1:12">
      <c r="A229" s="7">
        <v>214</v>
      </c>
      <c r="B229" s="210"/>
      <c r="C229" s="130" t="s">
        <v>547</v>
      </c>
      <c r="D229" s="8" t="s">
        <v>548</v>
      </c>
      <c r="E229" s="2" t="s">
        <v>249</v>
      </c>
      <c r="F229" s="178">
        <v>1</v>
      </c>
      <c r="G229" s="98">
        <v>330.65</v>
      </c>
      <c r="H229" s="98">
        <f>ROUND(F229*G229,2)</f>
        <v>330.65</v>
      </c>
      <c r="J229" s="217">
        <f>H229/$H$94</f>
        <v>0.00040812728871124</v>
      </c>
      <c r="K229" s="4"/>
    </row>
    <row r="230" spans="1:12" customHeight="1" ht="25.5">
      <c r="A230" s="7">
        <v>215</v>
      </c>
      <c r="B230" s="210"/>
      <c r="C230" s="171" t="s">
        <v>257</v>
      </c>
      <c r="D230" s="8" t="s">
        <v>549</v>
      </c>
      <c r="E230" s="2" t="s">
        <v>249</v>
      </c>
      <c r="F230" s="178">
        <v>2</v>
      </c>
      <c r="G230" s="98">
        <v>164.77</v>
      </c>
      <c r="H230" s="98">
        <f>ROUND(F230*G230,2)</f>
        <v>329.54</v>
      </c>
      <c r="J230" s="217">
        <f>H230/$H$94</f>
        <v>0.00040675719559021</v>
      </c>
      <c r="K230" s="4"/>
    </row>
    <row r="231" spans="1:12">
      <c r="A231" s="7">
        <v>216</v>
      </c>
      <c r="B231" s="210"/>
      <c r="C231" s="130" t="s">
        <v>550</v>
      </c>
      <c r="D231" s="8" t="s">
        <v>551</v>
      </c>
      <c r="E231" s="2" t="s">
        <v>280</v>
      </c>
      <c r="F231" s="178">
        <v>0.1258</v>
      </c>
      <c r="G231" s="98">
        <v>2606.9</v>
      </c>
      <c r="H231" s="98">
        <f>ROUND(F231*G231,2)</f>
        <v>327.95</v>
      </c>
      <c r="J231" s="217">
        <f>H231/$H$94</f>
        <v>0.00040479462976819</v>
      </c>
      <c r="K231" s="4"/>
    </row>
    <row r="232" spans="1:12" customHeight="1" ht="25.5">
      <c r="A232" s="7">
        <v>217</v>
      </c>
      <c r="B232" s="210"/>
      <c r="C232" s="130" t="s">
        <v>552</v>
      </c>
      <c r="D232" s="8" t="s">
        <v>553</v>
      </c>
      <c r="E232" s="2" t="s">
        <v>554</v>
      </c>
      <c r="F232" s="178">
        <v>321.9097</v>
      </c>
      <c r="G232" s="98">
        <v>1</v>
      </c>
      <c r="H232" s="98">
        <f>ROUND(F232*G232,2)</f>
        <v>321.91</v>
      </c>
      <c r="J232" s="217">
        <f>H232/$H$94</f>
        <v>0.00039733934828077</v>
      </c>
      <c r="K232" s="4"/>
    </row>
    <row r="233" spans="1:12">
      <c r="A233" s="7">
        <v>218</v>
      </c>
      <c r="B233" s="210"/>
      <c r="C233" s="130" t="s">
        <v>555</v>
      </c>
      <c r="D233" s="8" t="s">
        <v>556</v>
      </c>
      <c r="E233" s="2" t="s">
        <v>404</v>
      </c>
      <c r="F233" s="178">
        <v>3.7</v>
      </c>
      <c r="G233" s="98">
        <v>83</v>
      </c>
      <c r="H233" s="98">
        <f>ROUND(F233*G233,2)</f>
        <v>307.1</v>
      </c>
      <c r="J233" s="217">
        <f>H233/$H$94</f>
        <v>0.00037905909681906</v>
      </c>
      <c r="K233" s="4"/>
    </row>
    <row r="234" spans="1:12">
      <c r="A234" s="7">
        <v>219</v>
      </c>
      <c r="B234" s="210"/>
      <c r="C234" s="130" t="s">
        <v>557</v>
      </c>
      <c r="D234" s="8" t="s">
        <v>558</v>
      </c>
      <c r="E234" s="2" t="s">
        <v>280</v>
      </c>
      <c r="F234" s="178">
        <v>0.0252</v>
      </c>
      <c r="G234" s="98">
        <v>12034</v>
      </c>
      <c r="H234" s="98">
        <f>ROUND(F234*G234,2)</f>
        <v>303.26</v>
      </c>
      <c r="J234" s="217">
        <f>H234/$H$94</f>
        <v>0.00037431931521116</v>
      </c>
      <c r="K234" s="4"/>
    </row>
    <row r="235" spans="1:12" customHeight="1" ht="38.25">
      <c r="A235" s="7">
        <v>220</v>
      </c>
      <c r="B235" s="210"/>
      <c r="C235" s="130" t="s">
        <v>559</v>
      </c>
      <c r="D235" s="8" t="s">
        <v>560</v>
      </c>
      <c r="E235" s="2" t="s">
        <v>249</v>
      </c>
      <c r="F235" s="178">
        <v>2</v>
      </c>
      <c r="G235" s="98">
        <v>149.54</v>
      </c>
      <c r="H235" s="98">
        <f>ROUND(F235*G235,2)</f>
        <v>299.08</v>
      </c>
      <c r="J235" s="217">
        <f>H235/$H$94</f>
        <v>0.00036915986544007</v>
      </c>
      <c r="K235" s="4"/>
    </row>
    <row r="236" spans="1:12" customHeight="1" ht="38.25">
      <c r="A236" s="7">
        <v>221</v>
      </c>
      <c r="B236" s="210"/>
      <c r="C236" s="130" t="s">
        <v>561</v>
      </c>
      <c r="D236" s="8" t="s">
        <v>562</v>
      </c>
      <c r="E236" s="2" t="s">
        <v>249</v>
      </c>
      <c r="F236" s="178">
        <v>4</v>
      </c>
      <c r="G236" s="98">
        <v>73.39</v>
      </c>
      <c r="H236" s="98">
        <f>ROUND(F236*G236,2)</f>
        <v>293.56</v>
      </c>
      <c r="J236" s="217">
        <f>H236/$H$94</f>
        <v>0.00036234642937872</v>
      </c>
      <c r="K236" s="4"/>
    </row>
    <row r="237" spans="1:12">
      <c r="A237" s="7">
        <v>222</v>
      </c>
      <c r="B237" s="210"/>
      <c r="C237" s="130" t="s">
        <v>563</v>
      </c>
      <c r="D237" s="8" t="s">
        <v>564</v>
      </c>
      <c r="E237" s="2" t="s">
        <v>399</v>
      </c>
      <c r="F237" s="178">
        <v>10.612</v>
      </c>
      <c r="G237" s="98">
        <v>24.86</v>
      </c>
      <c r="H237" s="98">
        <f>ROUND(F237*G237,2)</f>
        <v>263.81</v>
      </c>
      <c r="J237" s="217">
        <f>H237/$H$94</f>
        <v>0.00032562546509878</v>
      </c>
      <c r="K237" s="4"/>
    </row>
    <row r="238" spans="1:12">
      <c r="A238" s="7">
        <v>223</v>
      </c>
      <c r="B238" s="210"/>
      <c r="C238" s="130" t="s">
        <v>565</v>
      </c>
      <c r="D238" s="8" t="s">
        <v>566</v>
      </c>
      <c r="E238" s="2" t="s">
        <v>524</v>
      </c>
      <c r="F238" s="178">
        <v>0.96</v>
      </c>
      <c r="G238" s="98">
        <v>270</v>
      </c>
      <c r="H238" s="98">
        <f>ROUND(F238*G238,2)</f>
        <v>259.2</v>
      </c>
      <c r="J238" s="217">
        <f>H238/$H$94</f>
        <v>0.00031993525853305</v>
      </c>
      <c r="K238" s="4"/>
    </row>
    <row r="239" spans="1:12">
      <c r="A239" s="7">
        <v>224</v>
      </c>
      <c r="B239" s="210"/>
      <c r="C239" s="130" t="s">
        <v>567</v>
      </c>
      <c r="D239" s="8" t="s">
        <v>568</v>
      </c>
      <c r="E239" s="2" t="s">
        <v>280</v>
      </c>
      <c r="F239" s="178">
        <v>0.0315</v>
      </c>
      <c r="G239" s="98">
        <v>7977</v>
      </c>
      <c r="H239" s="98">
        <f>ROUND(F239*G239,2)</f>
        <v>251.28</v>
      </c>
      <c r="J239" s="217">
        <f>H239/$H$94</f>
        <v>0.00031015945896677</v>
      </c>
      <c r="K239" s="4"/>
    </row>
    <row r="240" spans="1:12" customHeight="1" ht="63.7">
      <c r="A240" s="7">
        <v>225</v>
      </c>
      <c r="B240" s="210"/>
      <c r="C240" s="130" t="s">
        <v>569</v>
      </c>
      <c r="D240" s="8" t="s">
        <v>570</v>
      </c>
      <c r="E240" s="2" t="s">
        <v>287</v>
      </c>
      <c r="F240" s="178">
        <v>0.05</v>
      </c>
      <c r="G240" s="98">
        <v>4883.86</v>
      </c>
      <c r="H240" s="98">
        <f>ROUND(F240*G240,2)</f>
        <v>244.19</v>
      </c>
      <c r="J240" s="217">
        <f>H240/$H$94</f>
        <v>0.00030140814344594</v>
      </c>
      <c r="K240" s="4"/>
    </row>
    <row r="241" spans="1:12" customHeight="1" ht="25.5">
      <c r="A241" s="7">
        <v>226</v>
      </c>
      <c r="B241" s="210"/>
      <c r="C241" s="130" t="s">
        <v>571</v>
      </c>
      <c r="D241" s="8" t="s">
        <v>516</v>
      </c>
      <c r="E241" s="2" t="s">
        <v>249</v>
      </c>
      <c r="F241" s="178">
        <v>1</v>
      </c>
      <c r="G241" s="98">
        <v>240</v>
      </c>
      <c r="H241" s="98">
        <f>ROUND(F241*G241,2)</f>
        <v>240</v>
      </c>
      <c r="J241" s="217">
        <f>H241/$H$94</f>
        <v>0.00029623635049357</v>
      </c>
      <c r="K241" s="4"/>
    </row>
    <row r="242" spans="1:12" customHeight="1" ht="25.5">
      <c r="A242" s="7">
        <v>227</v>
      </c>
      <c r="B242" s="210"/>
      <c r="C242" s="130" t="s">
        <v>572</v>
      </c>
      <c r="D242" s="8" t="s">
        <v>573</v>
      </c>
      <c r="E242" s="2" t="s">
        <v>524</v>
      </c>
      <c r="F242" s="178">
        <v>0.03</v>
      </c>
      <c r="G242" s="98">
        <v>7980</v>
      </c>
      <c r="H242" s="98">
        <f>ROUND(F242*G242,2)</f>
        <v>239.4</v>
      </c>
      <c r="J242" s="217">
        <f>H242/$H$94</f>
        <v>0.00029549575961733</v>
      </c>
      <c r="K242" s="4"/>
    </row>
    <row r="243" spans="1:12" customHeight="1" ht="25.5">
      <c r="A243" s="7">
        <v>228</v>
      </c>
      <c r="B243" s="210"/>
      <c r="C243" s="130" t="s">
        <v>574</v>
      </c>
      <c r="D243" s="8" t="s">
        <v>575</v>
      </c>
      <c r="E243" s="2" t="s">
        <v>399</v>
      </c>
      <c r="F243" s="178">
        <v>7.6077</v>
      </c>
      <c r="G243" s="98">
        <v>30.4</v>
      </c>
      <c r="H243" s="98">
        <f>ROUND(F243*G243,2)</f>
        <v>231.27</v>
      </c>
      <c r="J243" s="217">
        <f>H243/$H$94</f>
        <v>0.00028546075324437</v>
      </c>
      <c r="K243" s="4"/>
    </row>
    <row r="244" spans="1:12" customHeight="1" ht="50.95">
      <c r="A244" s="7">
        <v>229</v>
      </c>
      <c r="B244" s="210"/>
      <c r="C244" s="130" t="s">
        <v>576</v>
      </c>
      <c r="D244" s="8" t="s">
        <v>577</v>
      </c>
      <c r="E244" s="2" t="s">
        <v>280</v>
      </c>
      <c r="F244" s="178">
        <v>0.0224</v>
      </c>
      <c r="G244" s="98">
        <v>10045</v>
      </c>
      <c r="H244" s="98">
        <f>ROUND(F244*G244,2)</f>
        <v>225.01</v>
      </c>
      <c r="J244" s="217">
        <f>H244/$H$94</f>
        <v>0.00027773392176899</v>
      </c>
      <c r="K244" s="4"/>
    </row>
    <row r="245" spans="1:12" customHeight="1" ht="50.95">
      <c r="A245" s="7">
        <v>230</v>
      </c>
      <c r="B245" s="210"/>
      <c r="C245" s="130" t="s">
        <v>578</v>
      </c>
      <c r="D245" s="8" t="s">
        <v>579</v>
      </c>
      <c r="E245" s="2" t="s">
        <v>249</v>
      </c>
      <c r="F245" s="178">
        <v>0.2</v>
      </c>
      <c r="G245" s="98">
        <v>1123.2</v>
      </c>
      <c r="H245" s="98">
        <f>ROUND(F245*G245,2)</f>
        <v>224.64</v>
      </c>
      <c r="J245" s="217">
        <f>H245/$H$94</f>
        <v>0.00027727722406198</v>
      </c>
      <c r="K245" s="4"/>
    </row>
    <row r="246" spans="1:12">
      <c r="A246" s="7">
        <v>231</v>
      </c>
      <c r="B246" s="210"/>
      <c r="C246" s="130" t="s">
        <v>580</v>
      </c>
      <c r="D246" s="8" t="s">
        <v>581</v>
      </c>
      <c r="E246" s="2" t="s">
        <v>267</v>
      </c>
      <c r="F246" s="178">
        <v>84.5524</v>
      </c>
      <c r="G246" s="98">
        <v>2.44</v>
      </c>
      <c r="H246" s="98">
        <f>ROUND(F246*G246,2)</f>
        <v>206.31</v>
      </c>
      <c r="J246" s="217">
        <f>H246/$H$94</f>
        <v>0.00025465217279303</v>
      </c>
      <c r="K246" s="4"/>
    </row>
    <row r="247" spans="1:12" customHeight="1" ht="25.5">
      <c r="A247" s="7">
        <v>232</v>
      </c>
      <c r="B247" s="210"/>
      <c r="C247" s="130" t="s">
        <v>582</v>
      </c>
      <c r="D247" s="8" t="s">
        <v>583</v>
      </c>
      <c r="E247" s="2" t="s">
        <v>267</v>
      </c>
      <c r="F247" s="178">
        <v>0.1932</v>
      </c>
      <c r="G247" s="98">
        <v>1056</v>
      </c>
      <c r="H247" s="98">
        <f>ROUND(F247*G247,2)</f>
        <v>204.02</v>
      </c>
      <c r="J247" s="217">
        <f>H247/$H$94</f>
        <v>0.00025182558428207</v>
      </c>
      <c r="K247" s="4"/>
    </row>
    <row r="248" spans="1:12">
      <c r="A248" s="7">
        <v>233</v>
      </c>
      <c r="B248" s="210"/>
      <c r="C248" s="130" t="s">
        <v>584</v>
      </c>
      <c r="D248" s="8" t="s">
        <v>585</v>
      </c>
      <c r="E248" s="2" t="s">
        <v>280</v>
      </c>
      <c r="F248" s="178">
        <v>0.02232</v>
      </c>
      <c r="G248" s="98">
        <v>9040.01</v>
      </c>
      <c r="H248" s="98">
        <f>ROUND(F248*G248,2)</f>
        <v>201.77</v>
      </c>
      <c r="J248" s="217">
        <f>H248/$H$94</f>
        <v>0.0002490483684962</v>
      </c>
      <c r="K248" s="4"/>
    </row>
    <row r="249" spans="1:12" customHeight="1" ht="25.5">
      <c r="A249" s="7">
        <v>234</v>
      </c>
      <c r="B249" s="210"/>
      <c r="C249" s="130" t="s">
        <v>586</v>
      </c>
      <c r="D249" s="8" t="s">
        <v>587</v>
      </c>
      <c r="E249" s="2" t="s">
        <v>249</v>
      </c>
      <c r="F249" s="178">
        <v>1</v>
      </c>
      <c r="G249" s="98">
        <v>201.18</v>
      </c>
      <c r="H249" s="98">
        <f>ROUND(F249*G249,2)</f>
        <v>201.18</v>
      </c>
      <c r="J249" s="217">
        <f>H249/$H$94</f>
        <v>0.00024832012080123</v>
      </c>
      <c r="K249" s="4"/>
    </row>
    <row r="250" spans="1:12">
      <c r="A250" s="7">
        <v>235</v>
      </c>
      <c r="B250" s="210"/>
      <c r="C250" s="130" t="s">
        <v>588</v>
      </c>
      <c r="D250" s="8" t="s">
        <v>589</v>
      </c>
      <c r="E250" s="2" t="s">
        <v>298</v>
      </c>
      <c r="F250" s="178">
        <v>55.13</v>
      </c>
      <c r="G250" s="98">
        <v>3.62</v>
      </c>
      <c r="H250" s="98">
        <f>ROUND(F250*G250,2)</f>
        <v>199.57</v>
      </c>
      <c r="J250" s="217">
        <f>H250/$H$94</f>
        <v>0.00024633286861667</v>
      </c>
      <c r="K250" s="4"/>
    </row>
    <row r="251" spans="1:12" customHeight="1" ht="50.95">
      <c r="A251" s="7">
        <v>236</v>
      </c>
      <c r="B251" s="210"/>
      <c r="C251" s="130" t="s">
        <v>590</v>
      </c>
      <c r="D251" s="8" t="s">
        <v>591</v>
      </c>
      <c r="E251" s="2" t="s">
        <v>249</v>
      </c>
      <c r="F251" s="178">
        <v>4</v>
      </c>
      <c r="G251" s="98">
        <v>48.28</v>
      </c>
      <c r="H251" s="98">
        <f>ROUND(F251*G251,2)</f>
        <v>193.12</v>
      </c>
      <c r="J251" s="217">
        <f>H251/$H$94</f>
        <v>0.00023837151669716</v>
      </c>
      <c r="K251" s="4"/>
    </row>
    <row r="252" spans="1:12" customHeight="1" ht="38.25">
      <c r="A252" s="7">
        <v>237</v>
      </c>
      <c r="B252" s="210"/>
      <c r="C252" s="130" t="s">
        <v>592</v>
      </c>
      <c r="D252" s="8" t="s">
        <v>593</v>
      </c>
      <c r="E252" s="2" t="s">
        <v>312</v>
      </c>
      <c r="F252" s="178">
        <v>3</v>
      </c>
      <c r="G252" s="98">
        <v>60.37</v>
      </c>
      <c r="H252" s="98">
        <f>ROUND(F252*G252,2)</f>
        <v>181.11</v>
      </c>
      <c r="J252" s="217">
        <f>H252/$H$94</f>
        <v>0.00022354735599121</v>
      </c>
      <c r="K252" s="4"/>
    </row>
    <row r="253" spans="1:12" customHeight="1" ht="50.95">
      <c r="A253" s="7">
        <v>238</v>
      </c>
      <c r="B253" s="210"/>
      <c r="C253" s="130" t="s">
        <v>594</v>
      </c>
      <c r="D253" s="8" t="s">
        <v>595</v>
      </c>
      <c r="E253" s="2" t="s">
        <v>249</v>
      </c>
      <c r="F253" s="178">
        <v>2</v>
      </c>
      <c r="G253" s="98">
        <v>84.41</v>
      </c>
      <c r="H253" s="98">
        <f>ROUND(F253*G253,2)</f>
        <v>168.82</v>
      </c>
      <c r="J253" s="217">
        <f>H253/$H$94</f>
        <v>0.00020837758620968</v>
      </c>
      <c r="K253" s="4"/>
    </row>
    <row r="254" spans="1:12" customHeight="1" ht="63.7">
      <c r="A254" s="7">
        <v>239</v>
      </c>
      <c r="B254" s="210"/>
      <c r="C254" s="130" t="s">
        <v>596</v>
      </c>
      <c r="D254" s="8" t="s">
        <v>597</v>
      </c>
      <c r="E254" s="2" t="s">
        <v>287</v>
      </c>
      <c r="F254" s="178">
        <v>0.05</v>
      </c>
      <c r="G254" s="98">
        <v>3246.49</v>
      </c>
      <c r="H254" s="98">
        <f>ROUND(F254*G254,2)</f>
        <v>162.32</v>
      </c>
      <c r="J254" s="217">
        <f>H254/$H$94</f>
        <v>0.00020035451838382</v>
      </c>
      <c r="K254" s="4"/>
    </row>
    <row r="255" spans="1:12">
      <c r="A255" s="7">
        <v>240</v>
      </c>
      <c r="B255" s="210"/>
      <c r="C255" s="130" t="s">
        <v>598</v>
      </c>
      <c r="D255" s="8" t="s">
        <v>599</v>
      </c>
      <c r="E255" s="2" t="s">
        <v>399</v>
      </c>
      <c r="F255" s="178">
        <v>6</v>
      </c>
      <c r="G255" s="98">
        <v>25.8</v>
      </c>
      <c r="H255" s="98">
        <f>ROUND(F255*G255,2)</f>
        <v>154.8</v>
      </c>
      <c r="J255" s="217">
        <f>H255/$H$94</f>
        <v>0.00019107244606835</v>
      </c>
      <c r="K255" s="4"/>
    </row>
    <row r="256" spans="1:12" customHeight="1" ht="25.5">
      <c r="A256" s="7">
        <v>241</v>
      </c>
      <c r="B256" s="210"/>
      <c r="C256" s="130" t="s">
        <v>600</v>
      </c>
      <c r="D256" s="8" t="s">
        <v>601</v>
      </c>
      <c r="E256" s="2" t="s">
        <v>267</v>
      </c>
      <c r="F256" s="178">
        <v>0.2772</v>
      </c>
      <c r="G256" s="98">
        <v>558.33</v>
      </c>
      <c r="H256" s="98">
        <f>ROUND(F256*G256,2)</f>
        <v>154.77</v>
      </c>
      <c r="J256" s="217">
        <f>H256/$H$94</f>
        <v>0.00019103541652454</v>
      </c>
      <c r="K256" s="4"/>
    </row>
    <row r="257" spans="1:12">
      <c r="A257" s="7">
        <v>242</v>
      </c>
      <c r="B257" s="210"/>
      <c r="C257" s="130" t="s">
        <v>602</v>
      </c>
      <c r="D257" s="8" t="s">
        <v>603</v>
      </c>
      <c r="E257" s="2" t="s">
        <v>267</v>
      </c>
      <c r="F257" s="178">
        <v>0.2972</v>
      </c>
      <c r="G257" s="98">
        <v>519.8</v>
      </c>
      <c r="H257" s="98">
        <f>ROUND(F257*G257,2)</f>
        <v>154.48</v>
      </c>
      <c r="J257" s="217">
        <f>H257/$H$94</f>
        <v>0.00019067746426769</v>
      </c>
      <c r="K257" s="4"/>
    </row>
    <row r="258" spans="1:12">
      <c r="A258" s="7">
        <v>243</v>
      </c>
      <c r="B258" s="210"/>
      <c r="C258" s="130" t="s">
        <v>604</v>
      </c>
      <c r="D258" s="8" t="s">
        <v>605</v>
      </c>
      <c r="E258" s="2" t="s">
        <v>267</v>
      </c>
      <c r="F258" s="178">
        <v>23.6904</v>
      </c>
      <c r="G258" s="98">
        <v>6.22</v>
      </c>
      <c r="H258" s="98">
        <f>ROUND(F258*G258,2)</f>
        <v>147.35</v>
      </c>
      <c r="J258" s="217">
        <f>H258/$H$94</f>
        <v>0.00018187677602178</v>
      </c>
      <c r="K258" s="4"/>
    </row>
    <row r="259" spans="1:12" customHeight="1" ht="63.7">
      <c r="A259" s="7">
        <v>244</v>
      </c>
      <c r="B259" s="210"/>
      <c r="C259" s="130" t="s">
        <v>606</v>
      </c>
      <c r="D259" s="8" t="s">
        <v>607</v>
      </c>
      <c r="E259" s="2" t="s">
        <v>287</v>
      </c>
      <c r="F259" s="178">
        <v>0.02</v>
      </c>
      <c r="G259" s="98">
        <v>6469.25</v>
      </c>
      <c r="H259" s="98">
        <f>ROUND(F259*G259,2)</f>
        <v>129.39</v>
      </c>
      <c r="J259" s="217">
        <f>H259/$H$94</f>
        <v>0.00015970842245985</v>
      </c>
      <c r="K259" s="4"/>
    </row>
    <row r="260" spans="1:12">
      <c r="A260" s="7">
        <v>245</v>
      </c>
      <c r="B260" s="210"/>
      <c r="C260" s="130" t="s">
        <v>608</v>
      </c>
      <c r="D260" s="8" t="s">
        <v>609</v>
      </c>
      <c r="E260" s="2" t="s">
        <v>280</v>
      </c>
      <c r="F260" s="178">
        <v>0.0211</v>
      </c>
      <c r="G260" s="98">
        <v>5989</v>
      </c>
      <c r="H260" s="98">
        <f>ROUND(F260*G260,2)</f>
        <v>126.37</v>
      </c>
      <c r="J260" s="217">
        <f>H260/$H$94</f>
        <v>0.00015598078171613</v>
      </c>
      <c r="K260" s="4"/>
    </row>
    <row r="261" spans="1:12">
      <c r="A261" s="7">
        <v>246</v>
      </c>
      <c r="B261" s="210"/>
      <c r="C261" s="130" t="s">
        <v>610</v>
      </c>
      <c r="D261" s="8" t="s">
        <v>611</v>
      </c>
      <c r="E261" s="2" t="s">
        <v>399</v>
      </c>
      <c r="F261" s="178">
        <v>11.87984</v>
      </c>
      <c r="G261" s="98">
        <v>10.05</v>
      </c>
      <c r="H261" s="98">
        <f>ROUND(F261*G261,2)</f>
        <v>119.39</v>
      </c>
      <c r="J261" s="217">
        <f>H261/$H$94</f>
        <v>0.00014736524118928</v>
      </c>
      <c r="K261" s="4"/>
    </row>
    <row r="262" spans="1:12">
      <c r="A262" s="7">
        <v>247</v>
      </c>
      <c r="B262" s="210"/>
      <c r="C262" s="130" t="s">
        <v>612</v>
      </c>
      <c r="D262" s="8" t="s">
        <v>613</v>
      </c>
      <c r="E262" s="2" t="s">
        <v>404</v>
      </c>
      <c r="F262" s="178">
        <v>1.8</v>
      </c>
      <c r="G262" s="98">
        <v>66</v>
      </c>
      <c r="H262" s="98">
        <f>ROUND(F262*G262,2)</f>
        <v>118.8</v>
      </c>
      <c r="J262" s="217">
        <f>H262/$H$94</f>
        <v>0.00014663699349432</v>
      </c>
      <c r="K262" s="4"/>
    </row>
    <row r="263" spans="1:12" customHeight="1" ht="50.95">
      <c r="A263" s="7">
        <v>248</v>
      </c>
      <c r="B263" s="210"/>
      <c r="C263" s="130" t="s">
        <v>614</v>
      </c>
      <c r="D263" s="8" t="s">
        <v>615</v>
      </c>
      <c r="E263" s="2" t="s">
        <v>280</v>
      </c>
      <c r="F263" s="178">
        <v>0.0153</v>
      </c>
      <c r="G263" s="98">
        <v>7712</v>
      </c>
      <c r="H263" s="98">
        <f>ROUND(F263*G263,2)</f>
        <v>117.99</v>
      </c>
      <c r="J263" s="217">
        <f>H263/$H$94</f>
        <v>0.0001456371958114</v>
      </c>
      <c r="K263" s="4"/>
    </row>
    <row r="264" spans="1:12" customHeight="1" ht="25.5">
      <c r="A264" s="7">
        <v>249</v>
      </c>
      <c r="B264" s="210"/>
      <c r="C264" s="130" t="s">
        <v>616</v>
      </c>
      <c r="D264" s="8" t="s">
        <v>617</v>
      </c>
      <c r="E264" s="2" t="s">
        <v>399</v>
      </c>
      <c r="F264" s="178">
        <v>1.756</v>
      </c>
      <c r="G264" s="98">
        <v>65.75</v>
      </c>
      <c r="H264" s="98">
        <f>ROUND(F264*G264,2)</f>
        <v>115.46</v>
      </c>
      <c r="J264" s="217">
        <f>H264/$H$94</f>
        <v>0.00014251437094995</v>
      </c>
      <c r="K264" s="4"/>
    </row>
    <row r="265" spans="1:12">
      <c r="A265" s="7">
        <v>250</v>
      </c>
      <c r="B265" s="210"/>
      <c r="C265" s="130" t="s">
        <v>618</v>
      </c>
      <c r="D265" s="8" t="s">
        <v>619</v>
      </c>
      <c r="E265" s="2" t="s">
        <v>280</v>
      </c>
      <c r="F265" s="178">
        <v>0.0256</v>
      </c>
      <c r="G265" s="98">
        <v>4488.4</v>
      </c>
      <c r="H265" s="98">
        <f>ROUND(F265*G265,2)</f>
        <v>114.9</v>
      </c>
      <c r="J265" s="217">
        <f>H265/$H$94</f>
        <v>0.0001418231527988</v>
      </c>
      <c r="K265" s="4"/>
    </row>
    <row r="266" spans="1:12">
      <c r="A266" s="7">
        <v>251</v>
      </c>
      <c r="B266" s="210"/>
      <c r="C266" s="130" t="s">
        <v>620</v>
      </c>
      <c r="D266" s="8" t="s">
        <v>621</v>
      </c>
      <c r="E266" s="2" t="s">
        <v>280</v>
      </c>
      <c r="F266" s="178">
        <v>0.1663</v>
      </c>
      <c r="G266" s="98">
        <v>688.8</v>
      </c>
      <c r="H266" s="98">
        <f>ROUND(F266*G266,2)</f>
        <v>114.55</v>
      </c>
      <c r="J266" s="217">
        <f>H266/$H$94</f>
        <v>0.00014139114145433</v>
      </c>
      <c r="K266" s="4"/>
    </row>
    <row r="267" spans="1:12">
      <c r="A267" s="7">
        <v>252</v>
      </c>
      <c r="B267" s="212"/>
      <c r="C267" s="2" t="s">
        <v>622</v>
      </c>
      <c r="D267" s="8" t="s">
        <v>623</v>
      </c>
      <c r="E267" s="2" t="s">
        <v>270</v>
      </c>
      <c r="F267" s="7">
        <v>2</v>
      </c>
      <c r="G267" s="42">
        <v>53.15</v>
      </c>
      <c r="H267" s="98">
        <f>ROUND(F267*G267,2)</f>
        <v>106.3</v>
      </c>
      <c r="J267" s="217">
        <f>H267/$H$94</f>
        <v>0.00013120801690611</v>
      </c>
      <c r="K267" s="4"/>
    </row>
    <row r="268" spans="1:12">
      <c r="A268" s="7">
        <v>253</v>
      </c>
      <c r="B268" s="210"/>
      <c r="C268" s="130" t="s">
        <v>624</v>
      </c>
      <c r="D268" s="8" t="s">
        <v>625</v>
      </c>
      <c r="E268" s="2" t="s">
        <v>280</v>
      </c>
      <c r="F268" s="178">
        <v>0.0066</v>
      </c>
      <c r="G268" s="98">
        <v>15620</v>
      </c>
      <c r="H268" s="98">
        <f>ROUND(F268*G268,2)</f>
        <v>103.09</v>
      </c>
      <c r="J268" s="217">
        <f>H268/$H$94</f>
        <v>0.00012724585571826</v>
      </c>
      <c r="K268" s="4"/>
    </row>
    <row r="269" spans="1:12">
      <c r="A269" s="7">
        <v>254</v>
      </c>
      <c r="B269" s="210"/>
      <c r="C269" s="130" t="s">
        <v>626</v>
      </c>
      <c r="D269" s="8" t="s">
        <v>585</v>
      </c>
      <c r="E269" s="2" t="s">
        <v>280</v>
      </c>
      <c r="F269" s="178">
        <v>0.0113</v>
      </c>
      <c r="G269" s="98">
        <v>9040.01</v>
      </c>
      <c r="H269" s="98">
        <f>ROUND(F269*G269,2)</f>
        <v>102.15</v>
      </c>
      <c r="J269" s="217">
        <f>H269/$H$94</f>
        <v>0.00012608559667883</v>
      </c>
      <c r="K269" s="4"/>
    </row>
    <row r="270" spans="1:12">
      <c r="A270" s="7">
        <v>255</v>
      </c>
      <c r="B270" s="210"/>
      <c r="C270" s="130" t="s">
        <v>627</v>
      </c>
      <c r="D270" s="8" t="s">
        <v>628</v>
      </c>
      <c r="E270" s="2" t="s">
        <v>280</v>
      </c>
      <c r="F270" s="178">
        <v>0.0038</v>
      </c>
      <c r="G270" s="98">
        <v>25990</v>
      </c>
      <c r="H270" s="98">
        <f>ROUND(F270*G270,2)</f>
        <v>98.76</v>
      </c>
      <c r="J270" s="217">
        <f>H270/$H$94</f>
        <v>0.0001219012582281</v>
      </c>
      <c r="K270" s="4"/>
    </row>
    <row r="271" spans="1:12" customHeight="1" ht="38.25">
      <c r="A271" s="7">
        <v>256</v>
      </c>
      <c r="B271" s="212"/>
      <c r="C271" s="2" t="s">
        <v>629</v>
      </c>
      <c r="D271" s="8" t="s">
        <v>630</v>
      </c>
      <c r="E271" s="2" t="s">
        <v>270</v>
      </c>
      <c r="F271" s="7">
        <v>2</v>
      </c>
      <c r="G271" s="42">
        <v>49.35</v>
      </c>
      <c r="H271" s="98">
        <f>ROUND(F271*G271,2)</f>
        <v>98.7</v>
      </c>
      <c r="J271" s="217">
        <f>H271/$H$94</f>
        <v>0.00012182719914048</v>
      </c>
      <c r="K271" s="4"/>
    </row>
    <row r="272" spans="1:12" customHeight="1" ht="25.5">
      <c r="A272" s="7">
        <v>257</v>
      </c>
      <c r="B272" s="210"/>
      <c r="C272" s="130" t="s">
        <v>631</v>
      </c>
      <c r="D272" s="8" t="s">
        <v>632</v>
      </c>
      <c r="E272" s="2" t="s">
        <v>524</v>
      </c>
      <c r="F272" s="178">
        <v>0.028</v>
      </c>
      <c r="G272" s="98">
        <v>3450</v>
      </c>
      <c r="H272" s="98">
        <f>ROUND(F272*G272,2)</f>
        <v>96.6</v>
      </c>
      <c r="J272" s="217">
        <f>H272/$H$94</f>
        <v>0.00011923513107366</v>
      </c>
      <c r="K272" s="4"/>
    </row>
    <row r="273" spans="1:12">
      <c r="A273" s="7">
        <v>258</v>
      </c>
      <c r="B273" s="210"/>
      <c r="C273" s="130" t="s">
        <v>633</v>
      </c>
      <c r="D273" s="8" t="s">
        <v>634</v>
      </c>
      <c r="E273" s="2" t="s">
        <v>280</v>
      </c>
      <c r="F273" s="178">
        <v>0.0089</v>
      </c>
      <c r="G273" s="98">
        <v>10749</v>
      </c>
      <c r="H273" s="98">
        <f>ROUND(F273*G273,2)</f>
        <v>95.67</v>
      </c>
      <c r="J273" s="217">
        <f>H273/$H$94</f>
        <v>0.0001180872152155</v>
      </c>
      <c r="K273" s="4"/>
    </row>
    <row r="274" spans="1:12" customHeight="1" ht="38.25">
      <c r="A274" s="7">
        <v>259</v>
      </c>
      <c r="B274" s="210"/>
      <c r="C274" s="130" t="s">
        <v>635</v>
      </c>
      <c r="D274" s="8" t="s">
        <v>636</v>
      </c>
      <c r="E274" s="2" t="s">
        <v>249</v>
      </c>
      <c r="F274" s="178">
        <v>4</v>
      </c>
      <c r="G274" s="98">
        <v>23.82</v>
      </c>
      <c r="H274" s="98">
        <f>ROUND(F274*G274,2)</f>
        <v>95.28</v>
      </c>
      <c r="J274" s="217">
        <f>H274/$H$94</f>
        <v>0.00011760583114595</v>
      </c>
      <c r="K274" s="4"/>
    </row>
    <row r="275" spans="1:12">
      <c r="A275" s="7">
        <v>260</v>
      </c>
      <c r="B275" s="210"/>
      <c r="C275" s="130" t="s">
        <v>637</v>
      </c>
      <c r="D275" s="8" t="s">
        <v>585</v>
      </c>
      <c r="E275" s="2" t="s">
        <v>399</v>
      </c>
      <c r="F275" s="178">
        <v>10.4822</v>
      </c>
      <c r="G275" s="98">
        <v>9.04</v>
      </c>
      <c r="H275" s="98">
        <f>ROUND(F275*G275,2)</f>
        <v>94.76</v>
      </c>
      <c r="J275" s="217">
        <f>H275/$H$94</f>
        <v>0.00011696398571988</v>
      </c>
      <c r="K275" s="4"/>
    </row>
    <row r="276" spans="1:12" customHeight="1" ht="25.5">
      <c r="A276" s="7">
        <v>261</v>
      </c>
      <c r="B276" s="210"/>
      <c r="C276" s="130" t="s">
        <v>638</v>
      </c>
      <c r="D276" s="8" t="s">
        <v>639</v>
      </c>
      <c r="E276" s="2" t="s">
        <v>394</v>
      </c>
      <c r="F276" s="178">
        <v>1</v>
      </c>
      <c r="G276" s="98">
        <v>94.68</v>
      </c>
      <c r="H276" s="98">
        <f>ROUND(F276*G276,2)</f>
        <v>94.68</v>
      </c>
      <c r="J276" s="217">
        <f>H276/$H$94</f>
        <v>0.00011686524026971</v>
      </c>
      <c r="K276" s="4"/>
    </row>
    <row r="277" spans="1:12">
      <c r="A277" s="7">
        <v>262</v>
      </c>
      <c r="B277" s="210"/>
      <c r="C277" s="130" t="s">
        <v>640</v>
      </c>
      <c r="D277" s="8" t="s">
        <v>641</v>
      </c>
      <c r="E277" s="2" t="s">
        <v>280</v>
      </c>
      <c r="F277" s="178">
        <v>0.0087</v>
      </c>
      <c r="G277" s="98">
        <v>10315.01</v>
      </c>
      <c r="H277" s="98">
        <f>ROUND(F277*G277,2)</f>
        <v>89.74</v>
      </c>
      <c r="J277" s="217">
        <f>H277/$H$94</f>
        <v>0.00011076770872205</v>
      </c>
      <c r="K277" s="4"/>
    </row>
    <row r="278" spans="1:12">
      <c r="A278" s="7">
        <v>263</v>
      </c>
      <c r="B278" s="210"/>
      <c r="C278" s="130" t="s">
        <v>642</v>
      </c>
      <c r="D278" s="8" t="s">
        <v>643</v>
      </c>
      <c r="E278" s="2" t="s">
        <v>280</v>
      </c>
      <c r="F278" s="178">
        <v>0.0475</v>
      </c>
      <c r="G278" s="98">
        <v>1820</v>
      </c>
      <c r="H278" s="98">
        <f>ROUND(F278*G278,2)</f>
        <v>86.45</v>
      </c>
      <c r="J278" s="217">
        <f>H278/$H$94</f>
        <v>0.00010670680208404</v>
      </c>
      <c r="K278" s="4"/>
    </row>
    <row r="279" spans="1:12">
      <c r="A279" s="7">
        <v>264</v>
      </c>
      <c r="B279" s="210"/>
      <c r="C279" s="130" t="s">
        <v>644</v>
      </c>
      <c r="D279" s="8" t="s">
        <v>645</v>
      </c>
      <c r="E279" s="2" t="s">
        <v>249</v>
      </c>
      <c r="F279" s="178">
        <v>1</v>
      </c>
      <c r="G279" s="98">
        <v>82.57</v>
      </c>
      <c r="H279" s="98">
        <f>ROUND(F279*G279,2)</f>
        <v>82.57</v>
      </c>
      <c r="J279" s="217">
        <f>H279/$H$94</f>
        <v>0.00010191764775106</v>
      </c>
      <c r="K279" s="4"/>
    </row>
    <row r="280" spans="1:12" customHeight="1" ht="25.5">
      <c r="A280" s="7">
        <v>265</v>
      </c>
      <c r="B280" s="210"/>
      <c r="C280" s="130" t="s">
        <v>646</v>
      </c>
      <c r="D280" s="8" t="s">
        <v>647</v>
      </c>
      <c r="E280" s="2" t="s">
        <v>399</v>
      </c>
      <c r="F280" s="178">
        <v>1.2</v>
      </c>
      <c r="G280" s="98">
        <v>68.05</v>
      </c>
      <c r="H280" s="98">
        <f>ROUND(F280*G280,2)</f>
        <v>81.66</v>
      </c>
      <c r="J280" s="217">
        <f>H280/$H$94</f>
        <v>0.00010079441825544</v>
      </c>
      <c r="K280" s="4"/>
    </row>
    <row r="281" spans="1:12" customHeight="1" ht="25.5">
      <c r="A281" s="7">
        <v>266</v>
      </c>
      <c r="B281" s="210"/>
      <c r="C281" s="130" t="s">
        <v>648</v>
      </c>
      <c r="D281" s="8" t="s">
        <v>649</v>
      </c>
      <c r="E281" s="2" t="s">
        <v>280</v>
      </c>
      <c r="F281" s="178">
        <v>0.0156</v>
      </c>
      <c r="G281" s="98">
        <v>5136</v>
      </c>
      <c r="H281" s="98">
        <f>ROUND(F281*G281,2)</f>
        <v>80.12</v>
      </c>
      <c r="J281" s="217">
        <f>H281/$H$94</f>
        <v>9.889356833977E-5</v>
      </c>
      <c r="K281" s="4"/>
    </row>
    <row r="282" spans="1:12" customHeight="1" ht="25.5">
      <c r="A282" s="7">
        <v>267</v>
      </c>
      <c r="B282" s="210"/>
      <c r="C282" s="130" t="s">
        <v>650</v>
      </c>
      <c r="D282" s="8" t="s">
        <v>651</v>
      </c>
      <c r="E282" s="2" t="s">
        <v>524</v>
      </c>
      <c r="F282" s="178">
        <v>0.014</v>
      </c>
      <c r="G282" s="98">
        <v>5650</v>
      </c>
      <c r="H282" s="98">
        <f>ROUND(F282*G282,2)</f>
        <v>79.1</v>
      </c>
      <c r="J282" s="217">
        <f>H282/$H$94</f>
        <v>9.7634563850172E-5</v>
      </c>
      <c r="K282" s="4"/>
    </row>
    <row r="283" spans="1:12">
      <c r="A283" s="7">
        <v>268</v>
      </c>
      <c r="B283" s="210"/>
      <c r="C283" s="130" t="s">
        <v>652</v>
      </c>
      <c r="D283" s="8" t="s">
        <v>653</v>
      </c>
      <c r="E283" s="2" t="s">
        <v>280</v>
      </c>
      <c r="F283" s="178">
        <v>0.0054</v>
      </c>
      <c r="G283" s="98">
        <v>14312.87</v>
      </c>
      <c r="H283" s="98">
        <f>ROUND(F283*G283,2)</f>
        <v>77.29</v>
      </c>
      <c r="J283" s="217">
        <f>H283/$H$94</f>
        <v>9.54004480402E-5</v>
      </c>
      <c r="K283" s="4"/>
    </row>
    <row r="284" spans="1:12">
      <c r="A284" s="7">
        <v>269</v>
      </c>
      <c r="B284" s="210"/>
      <c r="C284" s="130" t="s">
        <v>654</v>
      </c>
      <c r="D284" s="8" t="s">
        <v>655</v>
      </c>
      <c r="E284" s="2" t="s">
        <v>399</v>
      </c>
      <c r="F284" s="178">
        <v>7.938</v>
      </c>
      <c r="G284" s="98">
        <v>9.04</v>
      </c>
      <c r="H284" s="98">
        <f>ROUND(F284*G284,2)</f>
        <v>71.76</v>
      </c>
      <c r="J284" s="217">
        <f>H284/$H$94</f>
        <v>8.8574668797577E-5</v>
      </c>
      <c r="K284" s="4"/>
    </row>
    <row r="285" spans="1:12" customHeight="1" ht="25.5">
      <c r="A285" s="7">
        <v>270</v>
      </c>
      <c r="B285" s="210"/>
      <c r="C285" s="130" t="s">
        <v>656</v>
      </c>
      <c r="D285" s="8" t="s">
        <v>657</v>
      </c>
      <c r="E285" s="2" t="s">
        <v>280</v>
      </c>
      <c r="F285" s="178">
        <v>0.0161</v>
      </c>
      <c r="G285" s="98">
        <v>4455.2</v>
      </c>
      <c r="H285" s="98">
        <f>ROUND(F285*G285,2)</f>
        <v>71.73</v>
      </c>
      <c r="J285" s="217">
        <f>H285/$H$94</f>
        <v>8.8537639253765E-5</v>
      </c>
      <c r="K285" s="4"/>
    </row>
    <row r="286" spans="1:12" customHeight="1" ht="25.5">
      <c r="A286" s="7">
        <v>271</v>
      </c>
      <c r="B286" s="212"/>
      <c r="C286" s="7" t="s">
        <v>658</v>
      </c>
      <c r="D286" s="8" t="s">
        <v>659</v>
      </c>
      <c r="E286" s="7" t="s">
        <v>500</v>
      </c>
      <c r="F286" s="7">
        <v>0.5</v>
      </c>
      <c r="G286" s="180">
        <v>130.1</v>
      </c>
      <c r="H286" s="98">
        <f>ROUND(F286*G286,2)</f>
        <v>65.05</v>
      </c>
      <c r="J286" s="217">
        <f>H286/$H$94</f>
        <v>8.0292394165028E-5</v>
      </c>
      <c r="K286" s="4"/>
    </row>
    <row r="287" spans="1:12">
      <c r="A287" s="7">
        <v>272</v>
      </c>
      <c r="B287" s="210"/>
      <c r="C287" s="130" t="s">
        <v>660</v>
      </c>
      <c r="D287" s="8" t="s">
        <v>661</v>
      </c>
      <c r="E287" s="2" t="s">
        <v>280</v>
      </c>
      <c r="F287" s="178">
        <v>0.0132</v>
      </c>
      <c r="G287" s="98">
        <v>4920</v>
      </c>
      <c r="H287" s="98">
        <f>ROUND(F287*G287,2)</f>
        <v>64.94</v>
      </c>
      <c r="J287" s="217">
        <f>H287/$H$94</f>
        <v>8.0156619171051E-5</v>
      </c>
      <c r="K287" s="4"/>
    </row>
    <row r="288" spans="1:12" customHeight="1" ht="38.25">
      <c r="A288" s="7">
        <v>273</v>
      </c>
      <c r="B288" s="210"/>
      <c r="C288" s="130" t="s">
        <v>662</v>
      </c>
      <c r="D288" s="8" t="s">
        <v>663</v>
      </c>
      <c r="E288" s="2" t="s">
        <v>312</v>
      </c>
      <c r="F288" s="178">
        <v>1</v>
      </c>
      <c r="G288" s="98">
        <v>63.03</v>
      </c>
      <c r="H288" s="98">
        <f>ROUND(F288*G288,2)</f>
        <v>63.03</v>
      </c>
      <c r="J288" s="217">
        <f>H288/$H$94</f>
        <v>7.7799071548373E-5</v>
      </c>
      <c r="K288" s="4"/>
    </row>
    <row r="289" spans="1:12">
      <c r="A289" s="7">
        <v>274</v>
      </c>
      <c r="B289" s="210"/>
      <c r="C289" s="130" t="s">
        <v>664</v>
      </c>
      <c r="D289" s="8" t="s">
        <v>665</v>
      </c>
      <c r="E289" s="2" t="s">
        <v>280</v>
      </c>
      <c r="F289" s="178">
        <v>0.041</v>
      </c>
      <c r="G289" s="98">
        <v>1525.5</v>
      </c>
      <c r="H289" s="98">
        <f>ROUND(F289*G289,2)</f>
        <v>62.55</v>
      </c>
      <c r="J289" s="217">
        <f>H289/$H$94</f>
        <v>7.7206598847386E-5</v>
      </c>
      <c r="K289" s="4"/>
    </row>
    <row r="290" spans="1:12" customHeight="1" ht="25.5">
      <c r="A290" s="7">
        <v>275</v>
      </c>
      <c r="B290" s="210"/>
      <c r="C290" s="130" t="s">
        <v>666</v>
      </c>
      <c r="D290" s="8" t="s">
        <v>667</v>
      </c>
      <c r="E290" s="2" t="s">
        <v>267</v>
      </c>
      <c r="F290" s="178">
        <v>0.0577</v>
      </c>
      <c r="G290" s="98">
        <v>1056</v>
      </c>
      <c r="H290" s="98">
        <f>ROUND(F290*G290,2)</f>
        <v>60.93</v>
      </c>
      <c r="J290" s="217">
        <f>H290/$H$94</f>
        <v>7.5207003481555E-5</v>
      </c>
      <c r="K290" s="4"/>
    </row>
    <row r="291" spans="1:12" customHeight="1" ht="25.5">
      <c r="A291" s="7">
        <v>276</v>
      </c>
      <c r="B291" s="210"/>
      <c r="C291" s="130" t="s">
        <v>668</v>
      </c>
      <c r="D291" s="8" t="s">
        <v>669</v>
      </c>
      <c r="E291" s="2" t="s">
        <v>249</v>
      </c>
      <c r="F291" s="178">
        <v>1</v>
      </c>
      <c r="G291" s="98">
        <v>60.53</v>
      </c>
      <c r="H291" s="98">
        <f>ROUND(F291*G291,2)</f>
        <v>60.53</v>
      </c>
      <c r="J291" s="217">
        <f>H291/$H$94</f>
        <v>7.4713276230732E-5</v>
      </c>
      <c r="K291" s="4"/>
    </row>
    <row r="292" spans="1:12" customHeight="1" ht="25.5">
      <c r="A292" s="7">
        <v>277</v>
      </c>
      <c r="B292" s="210"/>
      <c r="C292" s="171" t="s">
        <v>257</v>
      </c>
      <c r="D292" s="8" t="s">
        <v>670</v>
      </c>
      <c r="E292" s="2" t="s">
        <v>249</v>
      </c>
      <c r="F292" s="178">
        <v>1</v>
      </c>
      <c r="G292" s="98">
        <v>58.62</v>
      </c>
      <c r="H292" s="98">
        <f>ROUND(F292*G292,2)</f>
        <v>58.62</v>
      </c>
      <c r="J292" s="217">
        <f>H292/$H$94</f>
        <v>7.2355728608054E-5</v>
      </c>
      <c r="K292" s="4"/>
    </row>
    <row r="293" spans="1:12">
      <c r="A293" s="7">
        <v>278</v>
      </c>
      <c r="B293" s="210"/>
      <c r="C293" s="130" t="s">
        <v>671</v>
      </c>
      <c r="D293" s="8" t="s">
        <v>672</v>
      </c>
      <c r="E293" s="2" t="s">
        <v>399</v>
      </c>
      <c r="F293" s="178">
        <v>9.6235</v>
      </c>
      <c r="G293" s="98">
        <v>6.09</v>
      </c>
      <c r="H293" s="98">
        <f>ROUND(F293*G293,2)</f>
        <v>58.61</v>
      </c>
      <c r="J293" s="217">
        <f>H293/$H$94</f>
        <v>7.2343385426784E-5</v>
      </c>
      <c r="K293" s="4"/>
    </row>
    <row r="294" spans="1:12">
      <c r="A294" s="7">
        <v>279</v>
      </c>
      <c r="B294" s="210"/>
      <c r="C294" s="130" t="s">
        <v>673</v>
      </c>
      <c r="D294" s="8" t="s">
        <v>674</v>
      </c>
      <c r="E294" s="2" t="s">
        <v>280</v>
      </c>
      <c r="F294" s="178">
        <v>0.0126</v>
      </c>
      <c r="G294" s="98">
        <v>4294</v>
      </c>
      <c r="H294" s="98">
        <f>ROUND(F294*G294,2)</f>
        <v>54.1</v>
      </c>
      <c r="J294" s="217">
        <f>H294/$H$94</f>
        <v>6.6776610673759E-5</v>
      </c>
      <c r="K294" s="4"/>
    </row>
    <row r="295" spans="1:12">
      <c r="A295" s="7">
        <v>280</v>
      </c>
      <c r="B295" s="210"/>
      <c r="C295" s="130" t="s">
        <v>675</v>
      </c>
      <c r="D295" s="8" t="s">
        <v>676</v>
      </c>
      <c r="E295" s="2" t="s">
        <v>280</v>
      </c>
      <c r="F295" s="178">
        <v>0.0052</v>
      </c>
      <c r="G295" s="98">
        <v>10200</v>
      </c>
      <c r="H295" s="98">
        <f>ROUND(F295*G295,2)</f>
        <v>53.04</v>
      </c>
      <c r="J295" s="217">
        <f>H295/$H$94</f>
        <v>6.5468233459079E-5</v>
      </c>
      <c r="K295" s="4"/>
    </row>
    <row r="296" spans="1:12">
      <c r="A296" s="7">
        <v>281</v>
      </c>
      <c r="B296" s="210"/>
      <c r="C296" s="130" t="s">
        <v>677</v>
      </c>
      <c r="D296" s="8" t="s">
        <v>678</v>
      </c>
      <c r="E296" s="2" t="s">
        <v>280</v>
      </c>
      <c r="F296" s="178">
        <v>0.0092</v>
      </c>
      <c r="G296" s="98">
        <v>5650</v>
      </c>
      <c r="H296" s="98">
        <f>ROUND(F296*G296,2)</f>
        <v>51.98</v>
      </c>
      <c r="J296" s="217">
        <f>H296/$H$94</f>
        <v>6.4159856244399E-5</v>
      </c>
      <c r="K296" s="4"/>
    </row>
    <row r="297" spans="1:12">
      <c r="A297" s="7">
        <v>282</v>
      </c>
      <c r="B297" s="210"/>
      <c r="C297" s="130" t="s">
        <v>679</v>
      </c>
      <c r="D297" s="8" t="s">
        <v>680</v>
      </c>
      <c r="E297" s="2" t="s">
        <v>280</v>
      </c>
      <c r="F297" s="178">
        <v>0.0061</v>
      </c>
      <c r="G297" s="98">
        <v>8190</v>
      </c>
      <c r="H297" s="98">
        <f>ROUND(F297*G297,2)</f>
        <v>49.96</v>
      </c>
      <c r="J297" s="217">
        <f>H297/$H$94</f>
        <v>6.1666533627745E-5</v>
      </c>
      <c r="K297" s="4"/>
    </row>
    <row r="298" spans="1:12">
      <c r="A298" s="7">
        <v>283</v>
      </c>
      <c r="B298" s="210"/>
      <c r="C298" s="130" t="s">
        <v>681</v>
      </c>
      <c r="D298" s="8" t="s">
        <v>682</v>
      </c>
      <c r="E298" s="2" t="s">
        <v>500</v>
      </c>
      <c r="F298" s="178">
        <v>1.26</v>
      </c>
      <c r="G298" s="98">
        <v>39</v>
      </c>
      <c r="H298" s="98">
        <f>ROUND(F298*G298,2)</f>
        <v>49.14</v>
      </c>
      <c r="J298" s="217">
        <f>H298/$H$94</f>
        <v>6.0654392763558E-5</v>
      </c>
      <c r="K298" s="4"/>
    </row>
    <row r="299" spans="1:12">
      <c r="A299" s="7">
        <v>284</v>
      </c>
      <c r="B299" s="210"/>
      <c r="C299" s="130" t="s">
        <v>683</v>
      </c>
      <c r="D299" s="8" t="s">
        <v>684</v>
      </c>
      <c r="E299" s="2" t="s">
        <v>267</v>
      </c>
      <c r="F299" s="178">
        <v>0.88</v>
      </c>
      <c r="G299" s="98">
        <v>55.26</v>
      </c>
      <c r="H299" s="98">
        <f>ROUND(F299*G299,2)</f>
        <v>48.63</v>
      </c>
      <c r="J299" s="217">
        <f>H299/$H$94</f>
        <v>6.0024890518759E-5</v>
      </c>
      <c r="K299" s="4"/>
    </row>
    <row r="300" spans="1:12">
      <c r="A300" s="7">
        <v>285</v>
      </c>
      <c r="B300" s="210"/>
      <c r="C300" s="130" t="s">
        <v>685</v>
      </c>
      <c r="D300" s="8" t="s">
        <v>686</v>
      </c>
      <c r="E300" s="2" t="s">
        <v>687</v>
      </c>
      <c r="F300" s="178">
        <v>115.9</v>
      </c>
      <c r="G300" s="98">
        <v>0.4</v>
      </c>
      <c r="H300" s="98">
        <f>ROUND(F300*G300,2)</f>
        <v>46.36</v>
      </c>
      <c r="J300" s="217">
        <f>H300/$H$94</f>
        <v>5.7222988370341E-5</v>
      </c>
      <c r="K300" s="4"/>
    </row>
    <row r="301" spans="1:12">
      <c r="A301" s="7">
        <v>286</v>
      </c>
      <c r="B301" s="210"/>
      <c r="C301" s="130" t="s">
        <v>688</v>
      </c>
      <c r="D301" s="8" t="s">
        <v>689</v>
      </c>
      <c r="E301" s="2" t="s">
        <v>280</v>
      </c>
      <c r="F301" s="178">
        <v>0.0015</v>
      </c>
      <c r="G301" s="98">
        <v>30030</v>
      </c>
      <c r="H301" s="98">
        <f>ROUND(F301*G301,2)</f>
        <v>45.05</v>
      </c>
      <c r="J301" s="217">
        <f>H301/$H$94</f>
        <v>5.5606031623897E-5</v>
      </c>
      <c r="K301" s="4"/>
    </row>
    <row r="302" spans="1:12" customHeight="1" ht="25.5">
      <c r="A302" s="7">
        <v>287</v>
      </c>
      <c r="B302" s="212"/>
      <c r="C302" s="7" t="s">
        <v>690</v>
      </c>
      <c r="D302" s="99" t="s">
        <v>691</v>
      </c>
      <c r="E302" s="7" t="s">
        <v>404</v>
      </c>
      <c r="F302" s="7">
        <v>0.02</v>
      </c>
      <c r="G302" s="24">
        <v>2202</v>
      </c>
      <c r="H302" s="98">
        <f>ROUND(F302*G302,2)</f>
        <v>44.04</v>
      </c>
      <c r="J302" s="217">
        <f>H302/$H$94</f>
        <v>5.435937031557E-5</v>
      </c>
      <c r="K302" s="4"/>
    </row>
    <row r="303" spans="1:12" customHeight="1" ht="25.5">
      <c r="A303" s="7">
        <v>288</v>
      </c>
      <c r="B303" s="210"/>
      <c r="C303" s="130" t="s">
        <v>692</v>
      </c>
      <c r="D303" s="8" t="s">
        <v>693</v>
      </c>
      <c r="E303" s="2" t="s">
        <v>267</v>
      </c>
      <c r="F303" s="178">
        <v>0.0424</v>
      </c>
      <c r="G303" s="98">
        <v>1010</v>
      </c>
      <c r="H303" s="98">
        <f>ROUND(F303*G303,2)</f>
        <v>42.82</v>
      </c>
      <c r="J303" s="217">
        <f>H303/$H$94</f>
        <v>5.2853502200561E-5</v>
      </c>
      <c r="K303" s="4"/>
    </row>
    <row r="304" spans="1:12" customHeight="1" ht="38.25">
      <c r="A304" s="7">
        <v>289</v>
      </c>
      <c r="B304" s="210"/>
      <c r="C304" s="130" t="s">
        <v>694</v>
      </c>
      <c r="D304" s="8" t="s">
        <v>695</v>
      </c>
      <c r="E304" s="2" t="s">
        <v>249</v>
      </c>
      <c r="F304" s="178">
        <v>3</v>
      </c>
      <c r="G304" s="98">
        <v>14.2</v>
      </c>
      <c r="H304" s="98">
        <f>ROUND(F304*G304,2)</f>
        <v>42.6</v>
      </c>
      <c r="J304" s="217">
        <f>H304/$H$94</f>
        <v>5.2581952212608E-5</v>
      </c>
      <c r="K304" s="4"/>
    </row>
    <row r="305" spans="1:12" customHeight="1" ht="25.5">
      <c r="A305" s="7">
        <v>290</v>
      </c>
      <c r="B305" s="210"/>
      <c r="C305" s="130" t="s">
        <v>696</v>
      </c>
      <c r="D305" s="8" t="s">
        <v>697</v>
      </c>
      <c r="E305" s="2" t="s">
        <v>280</v>
      </c>
      <c r="F305" s="178">
        <v>0.0012</v>
      </c>
      <c r="G305" s="98">
        <v>33180</v>
      </c>
      <c r="H305" s="98">
        <f>ROUND(F305*G305,2)</f>
        <v>39.82</v>
      </c>
      <c r="J305" s="217">
        <f>H305/$H$94</f>
        <v>4.9150547819391E-5</v>
      </c>
      <c r="K305" s="4"/>
    </row>
    <row r="306" spans="1:12" customHeight="1" ht="38.25">
      <c r="A306" s="7">
        <v>291</v>
      </c>
      <c r="B306" s="210"/>
      <c r="C306" s="130" t="s">
        <v>698</v>
      </c>
      <c r="D306" s="8" t="s">
        <v>699</v>
      </c>
      <c r="E306" s="2" t="s">
        <v>280</v>
      </c>
      <c r="F306" s="178">
        <v>0.0038</v>
      </c>
      <c r="G306" s="98">
        <v>10100</v>
      </c>
      <c r="H306" s="98">
        <f>ROUND(F306*G306,2)</f>
        <v>38.38</v>
      </c>
      <c r="J306" s="217">
        <f>H306/$H$94</f>
        <v>4.737312971643E-5</v>
      </c>
      <c r="K306" s="4"/>
    </row>
    <row r="307" spans="1:12">
      <c r="A307" s="7">
        <v>292</v>
      </c>
      <c r="B307" s="210"/>
      <c r="C307" s="130" t="s">
        <v>700</v>
      </c>
      <c r="D307" s="8" t="s">
        <v>701</v>
      </c>
      <c r="E307" s="2" t="s">
        <v>280</v>
      </c>
      <c r="F307" s="178">
        <v>0.003</v>
      </c>
      <c r="G307" s="98">
        <v>12430</v>
      </c>
      <c r="H307" s="98">
        <f>ROUND(F307*G307,2)</f>
        <v>37.29</v>
      </c>
      <c r="J307" s="217">
        <f>H307/$H$94</f>
        <v>4.6027722957938E-5</v>
      </c>
      <c r="K307" s="4"/>
    </row>
    <row r="308" spans="1:12">
      <c r="A308" s="7">
        <v>293</v>
      </c>
      <c r="B308" s="210"/>
      <c r="C308" s="130" t="s">
        <v>702</v>
      </c>
      <c r="D308" s="8" t="s">
        <v>703</v>
      </c>
      <c r="E308" s="2" t="s">
        <v>280</v>
      </c>
      <c r="F308" s="178">
        <v>0.0014</v>
      </c>
      <c r="G308" s="98">
        <v>24950</v>
      </c>
      <c r="H308" s="98">
        <f>ROUND(F308*G308,2)</f>
        <v>34.93</v>
      </c>
      <c r="J308" s="217">
        <f>H308/$H$94</f>
        <v>4.3114732178085E-5</v>
      </c>
      <c r="K308" s="4"/>
    </row>
    <row r="309" spans="1:12" customHeight="1" ht="25.5">
      <c r="A309" s="7">
        <v>294</v>
      </c>
      <c r="B309" s="210"/>
      <c r="C309" s="130" t="s">
        <v>704</v>
      </c>
      <c r="D309" s="8" t="s">
        <v>705</v>
      </c>
      <c r="E309" s="2" t="s">
        <v>298</v>
      </c>
      <c r="F309" s="178">
        <v>4.9</v>
      </c>
      <c r="G309" s="98">
        <v>6.78</v>
      </c>
      <c r="H309" s="98">
        <f>ROUND(F309*G309,2)</f>
        <v>33.22</v>
      </c>
      <c r="J309" s="217">
        <f>H309/$H$94</f>
        <v>4.1004048180818E-5</v>
      </c>
      <c r="K309" s="4"/>
    </row>
    <row r="310" spans="1:12">
      <c r="A310" s="7">
        <v>295</v>
      </c>
      <c r="B310" s="210"/>
      <c r="C310" s="130" t="s">
        <v>706</v>
      </c>
      <c r="D310" s="8" t="s">
        <v>707</v>
      </c>
      <c r="E310" s="2" t="s">
        <v>524</v>
      </c>
      <c r="F310" s="178">
        <v>0.4392</v>
      </c>
      <c r="G310" s="98">
        <v>75.4</v>
      </c>
      <c r="H310" s="98">
        <f>ROUND(F310*G310,2)</f>
        <v>33.12</v>
      </c>
      <c r="J310" s="217">
        <f>H310/$H$94</f>
        <v>4.0880616368112E-5</v>
      </c>
      <c r="K310" s="4"/>
    </row>
    <row r="311" spans="1:12">
      <c r="A311" s="7">
        <v>296</v>
      </c>
      <c r="B311" s="210"/>
      <c r="C311" s="130" t="s">
        <v>708</v>
      </c>
      <c r="D311" s="8" t="s">
        <v>709</v>
      </c>
      <c r="E311" s="2" t="s">
        <v>280</v>
      </c>
      <c r="F311" s="178">
        <v>0.0041</v>
      </c>
      <c r="G311" s="98">
        <v>7826.9</v>
      </c>
      <c r="H311" s="98">
        <f>ROUND(F311*G311,2)</f>
        <v>32.09</v>
      </c>
      <c r="J311" s="217">
        <f>H311/$H$94</f>
        <v>3.9609268697244E-5</v>
      </c>
      <c r="K311" s="4"/>
    </row>
    <row r="312" spans="1:12">
      <c r="A312" s="7">
        <v>297</v>
      </c>
      <c r="B312" s="210"/>
      <c r="C312" s="130" t="s">
        <v>710</v>
      </c>
      <c r="D312" s="8" t="s">
        <v>711</v>
      </c>
      <c r="E312" s="2" t="s">
        <v>280</v>
      </c>
      <c r="F312" s="178">
        <v>0.0031</v>
      </c>
      <c r="G312" s="98">
        <v>9420</v>
      </c>
      <c r="H312" s="98">
        <f>ROUND(F312*G312,2)</f>
        <v>29.2</v>
      </c>
      <c r="J312" s="217">
        <f>H312/$H$94</f>
        <v>3.6042089310051E-5</v>
      </c>
      <c r="K312" s="4"/>
    </row>
    <row r="313" spans="1:12">
      <c r="A313" s="7">
        <v>298</v>
      </c>
      <c r="B313" s="210"/>
      <c r="C313" s="130" t="s">
        <v>712</v>
      </c>
      <c r="D313" s="8" t="s">
        <v>713</v>
      </c>
      <c r="E313" s="2" t="s">
        <v>468</v>
      </c>
      <c r="F313" s="178">
        <v>0.2424</v>
      </c>
      <c r="G313" s="98">
        <v>120</v>
      </c>
      <c r="H313" s="98">
        <f>ROUND(F313*G313,2)</f>
        <v>29.09</v>
      </c>
      <c r="J313" s="217">
        <f>H313/$H$94</f>
        <v>3.5906314316075E-5</v>
      </c>
      <c r="K313" s="4"/>
    </row>
    <row r="314" spans="1:12">
      <c r="A314" s="7">
        <v>299</v>
      </c>
      <c r="B314" s="210"/>
      <c r="C314" s="130" t="s">
        <v>714</v>
      </c>
      <c r="D314" s="8" t="s">
        <v>715</v>
      </c>
      <c r="E314" s="2" t="s">
        <v>280</v>
      </c>
      <c r="F314" s="178">
        <v>0.0007</v>
      </c>
      <c r="G314" s="98">
        <v>37900</v>
      </c>
      <c r="H314" s="98">
        <f>ROUND(F314*G314,2)</f>
        <v>26.53</v>
      </c>
      <c r="J314" s="217">
        <f>H314/$H$94</f>
        <v>3.274645991081E-5</v>
      </c>
      <c r="K314" s="4"/>
    </row>
    <row r="315" spans="1:12">
      <c r="A315" s="7">
        <v>300</v>
      </c>
      <c r="B315" s="210"/>
      <c r="C315" s="130" t="s">
        <v>716</v>
      </c>
      <c r="D315" s="8" t="s">
        <v>717</v>
      </c>
      <c r="E315" s="2" t="s">
        <v>267</v>
      </c>
      <c r="F315" s="178">
        <v>0.0528</v>
      </c>
      <c r="G315" s="98">
        <v>485.9</v>
      </c>
      <c r="H315" s="98">
        <f>ROUND(F315*G315,2)</f>
        <v>25.66</v>
      </c>
      <c r="J315" s="217">
        <f>H315/$H$94</f>
        <v>3.1672603140271E-5</v>
      </c>
      <c r="K315" s="4"/>
    </row>
    <row r="316" spans="1:12">
      <c r="A316" s="7">
        <v>301</v>
      </c>
      <c r="B316" s="210"/>
      <c r="C316" s="130" t="s">
        <v>718</v>
      </c>
      <c r="D316" s="8" t="s">
        <v>719</v>
      </c>
      <c r="E316" s="2" t="s">
        <v>280</v>
      </c>
      <c r="F316" s="178">
        <v>0.0026</v>
      </c>
      <c r="G316" s="98">
        <v>8475</v>
      </c>
      <c r="H316" s="98">
        <f>ROUND(F316*G316,2)</f>
        <v>22.04</v>
      </c>
      <c r="J316" s="217">
        <f>H316/$H$94</f>
        <v>2.7204371520326E-5</v>
      </c>
      <c r="K316" s="4"/>
    </row>
    <row r="317" spans="1:12">
      <c r="A317" s="7">
        <v>302</v>
      </c>
      <c r="B317" s="210"/>
      <c r="C317" s="130" t="s">
        <v>720</v>
      </c>
      <c r="D317" s="8" t="s">
        <v>721</v>
      </c>
      <c r="E317" s="2" t="s">
        <v>404</v>
      </c>
      <c r="F317" s="178">
        <v>0.04</v>
      </c>
      <c r="G317" s="98">
        <v>528</v>
      </c>
      <c r="H317" s="98">
        <f>ROUND(F317*G317,2)</f>
        <v>21.12</v>
      </c>
      <c r="J317" s="217">
        <f>H317/$H$94</f>
        <v>2.6068798843434E-5</v>
      </c>
      <c r="K317" s="4"/>
    </row>
    <row r="318" spans="1:12" customHeight="1" ht="25.5">
      <c r="A318" s="7">
        <v>303</v>
      </c>
      <c r="B318" s="210"/>
      <c r="C318" s="130" t="s">
        <v>722</v>
      </c>
      <c r="D318" s="8" t="s">
        <v>723</v>
      </c>
      <c r="E318" s="2" t="s">
        <v>280</v>
      </c>
      <c r="F318" s="178">
        <v>0.0016</v>
      </c>
      <c r="G318" s="98">
        <v>11978</v>
      </c>
      <c r="H318" s="98">
        <f>ROUND(F318*G318,2)</f>
        <v>19.16</v>
      </c>
      <c r="J318" s="217">
        <f>H318/$H$94</f>
        <v>2.3649535314403E-5</v>
      </c>
      <c r="K318" s="4"/>
    </row>
    <row r="319" spans="1:12" customHeight="1" ht="25.5">
      <c r="A319" s="7">
        <v>304</v>
      </c>
      <c r="B319" s="210"/>
      <c r="C319" s="130" t="s">
        <v>724</v>
      </c>
      <c r="D319" s="8" t="s">
        <v>725</v>
      </c>
      <c r="E319" s="2" t="s">
        <v>399</v>
      </c>
      <c r="F319" s="178">
        <v>1.2</v>
      </c>
      <c r="G319" s="98">
        <v>15.14</v>
      </c>
      <c r="H319" s="98">
        <f>ROUND(F319*G319,2)</f>
        <v>18.17</v>
      </c>
      <c r="J319" s="217">
        <f>H319/$H$94</f>
        <v>2.2427560368617E-5</v>
      </c>
      <c r="K319" s="4"/>
    </row>
    <row r="320" spans="1:12" customHeight="1" ht="25.5">
      <c r="A320" s="7">
        <v>305</v>
      </c>
      <c r="B320" s="210"/>
      <c r="C320" s="130" t="s">
        <v>726</v>
      </c>
      <c r="D320" s="8" t="s">
        <v>727</v>
      </c>
      <c r="E320" s="2" t="s">
        <v>280</v>
      </c>
      <c r="F320" s="178">
        <v>0.0012</v>
      </c>
      <c r="G320" s="98">
        <v>15119</v>
      </c>
      <c r="H320" s="98">
        <f>ROUND(F320*G320,2)</f>
        <v>18.14</v>
      </c>
      <c r="J320" s="217">
        <f>H320/$H$94</f>
        <v>2.2390530824806E-5</v>
      </c>
      <c r="K320" s="4"/>
    </row>
    <row r="321" spans="1:12">
      <c r="A321" s="7">
        <v>306</v>
      </c>
      <c r="B321" s="210"/>
      <c r="C321" s="130" t="s">
        <v>728</v>
      </c>
      <c r="D321" s="8" t="s">
        <v>729</v>
      </c>
      <c r="E321" s="2" t="s">
        <v>298</v>
      </c>
      <c r="F321" s="178">
        <v>2.814</v>
      </c>
      <c r="G321" s="98">
        <v>6.22</v>
      </c>
      <c r="H321" s="98">
        <f>ROUND(F321*G321,2)</f>
        <v>17.5</v>
      </c>
      <c r="J321" s="217">
        <f>H321/$H$94</f>
        <v>2.1600567223489E-5</v>
      </c>
      <c r="K321" s="4"/>
    </row>
    <row r="322" spans="1:12">
      <c r="A322" s="7">
        <v>307</v>
      </c>
      <c r="B322" s="210"/>
      <c r="C322" s="130" t="s">
        <v>730</v>
      </c>
      <c r="D322" s="8" t="s">
        <v>731</v>
      </c>
      <c r="E322" s="2" t="s">
        <v>524</v>
      </c>
      <c r="F322" s="178">
        <v>0.139</v>
      </c>
      <c r="G322" s="98">
        <v>119</v>
      </c>
      <c r="H322" s="98">
        <f>ROUND(F322*G322,2)</f>
        <v>16.54</v>
      </c>
      <c r="J322" s="217">
        <f>H322/$H$94</f>
        <v>2.0415621821515E-5</v>
      </c>
      <c r="K322" s="4"/>
    </row>
    <row r="323" spans="1:12">
      <c r="A323" s="7">
        <v>308</v>
      </c>
      <c r="B323" s="210"/>
      <c r="C323" s="130" t="s">
        <v>732</v>
      </c>
      <c r="D323" s="8" t="s">
        <v>733</v>
      </c>
      <c r="E323" s="2" t="s">
        <v>280</v>
      </c>
      <c r="F323" s="178">
        <v>0.0094</v>
      </c>
      <c r="G323" s="98">
        <v>1695</v>
      </c>
      <c r="H323" s="98">
        <f>ROUND(F323*G323,2)</f>
        <v>15.93</v>
      </c>
      <c r="J323" s="217">
        <f>H323/$H$94</f>
        <v>1.9662687764011E-5</v>
      </c>
      <c r="K323" s="4"/>
    </row>
    <row r="324" spans="1:12">
      <c r="A324" s="7">
        <v>309</v>
      </c>
      <c r="B324" s="210"/>
      <c r="C324" s="130" t="s">
        <v>734</v>
      </c>
      <c r="D324" s="8" t="s">
        <v>735</v>
      </c>
      <c r="E324" s="2" t="s">
        <v>280</v>
      </c>
      <c r="F324" s="178">
        <v>0.0016</v>
      </c>
      <c r="G324" s="98">
        <v>9661.5</v>
      </c>
      <c r="H324" s="98">
        <f>ROUND(F324*G324,2)</f>
        <v>15.46</v>
      </c>
      <c r="J324" s="217">
        <f>H324/$H$94</f>
        <v>1.9082558244294E-5</v>
      </c>
      <c r="K324" s="4"/>
    </row>
    <row r="325" spans="1:12" customHeight="1" ht="25.5">
      <c r="A325" s="7">
        <v>310</v>
      </c>
      <c r="B325" s="212"/>
      <c r="C325" s="2" t="s">
        <v>736</v>
      </c>
      <c r="D325" s="8" t="s">
        <v>737</v>
      </c>
      <c r="E325" s="7" t="s">
        <v>500</v>
      </c>
      <c r="F325" s="7">
        <v>0.1</v>
      </c>
      <c r="G325" s="24">
        <v>154.2</v>
      </c>
      <c r="H325" s="98">
        <f>ROUND(F325*G325,2)</f>
        <v>15.42</v>
      </c>
      <c r="J325" s="217">
        <f>H325/$H$94</f>
        <v>1.9033185519212E-5</v>
      </c>
      <c r="K325" s="4"/>
    </row>
    <row r="326" spans="1:12">
      <c r="A326" s="7">
        <v>311</v>
      </c>
      <c r="B326" s="210"/>
      <c r="C326" s="130" t="s">
        <v>738</v>
      </c>
      <c r="D326" s="8" t="s">
        <v>739</v>
      </c>
      <c r="E326" s="2" t="s">
        <v>280</v>
      </c>
      <c r="F326" s="178">
        <v>0.0187</v>
      </c>
      <c r="G326" s="98">
        <v>734.5</v>
      </c>
      <c r="H326" s="98">
        <f>ROUND(F326*G326,2)</f>
        <v>13.74</v>
      </c>
      <c r="J326" s="217">
        <f>H326/$H$94</f>
        <v>1.6959531065757E-5</v>
      </c>
      <c r="K326" s="4"/>
    </row>
    <row r="327" spans="1:12">
      <c r="A327" s="7">
        <v>312</v>
      </c>
      <c r="B327" s="210"/>
      <c r="C327" s="130" t="s">
        <v>740</v>
      </c>
      <c r="D327" s="8" t="s">
        <v>741</v>
      </c>
      <c r="E327" s="2" t="s">
        <v>280</v>
      </c>
      <c r="F327" s="178">
        <v>0.0008</v>
      </c>
      <c r="G327" s="98">
        <v>16950</v>
      </c>
      <c r="H327" s="98">
        <f>ROUND(F327*G327,2)</f>
        <v>13.56</v>
      </c>
      <c r="J327" s="217">
        <f>H327/$H$94</f>
        <v>1.6737353802887E-5</v>
      </c>
      <c r="K327" s="4"/>
    </row>
    <row r="328" spans="1:12">
      <c r="A328" s="7">
        <v>313</v>
      </c>
      <c r="B328" s="210"/>
      <c r="C328" s="130" t="s">
        <v>742</v>
      </c>
      <c r="D328" s="8" t="s">
        <v>743</v>
      </c>
      <c r="E328" s="2" t="s">
        <v>399</v>
      </c>
      <c r="F328" s="178">
        <v>0.3531</v>
      </c>
      <c r="G328" s="98">
        <v>37.29</v>
      </c>
      <c r="H328" s="98">
        <f>ROUND(F328*G328,2)</f>
        <v>13.17</v>
      </c>
      <c r="J328" s="217">
        <f>H328/$H$94</f>
        <v>1.6255969733335E-5</v>
      </c>
      <c r="K328" s="4"/>
    </row>
    <row r="329" spans="1:12">
      <c r="A329" s="7">
        <v>314</v>
      </c>
      <c r="B329" s="210"/>
      <c r="C329" s="130" t="s">
        <v>744</v>
      </c>
      <c r="D329" s="8" t="s">
        <v>745</v>
      </c>
      <c r="E329" s="2" t="s">
        <v>280</v>
      </c>
      <c r="F329" s="178">
        <v>0.0175</v>
      </c>
      <c r="G329" s="98">
        <v>729.98</v>
      </c>
      <c r="H329" s="98">
        <f>ROUND(F329*G329,2)</f>
        <v>12.77</v>
      </c>
      <c r="J329" s="217">
        <f>H329/$H$94</f>
        <v>1.5762242482512E-5</v>
      </c>
      <c r="K329" s="4"/>
    </row>
    <row r="330" spans="1:12" customHeight="1" ht="25.5">
      <c r="A330" s="7">
        <v>315</v>
      </c>
      <c r="B330" s="210"/>
      <c r="C330" s="130" t="s">
        <v>746</v>
      </c>
      <c r="D330" s="8" t="s">
        <v>747</v>
      </c>
      <c r="E330" s="2" t="s">
        <v>267</v>
      </c>
      <c r="F330" s="178">
        <v>0.0102</v>
      </c>
      <c r="G330" s="98">
        <v>1242.2</v>
      </c>
      <c r="H330" s="98">
        <f>ROUND(F330*G330,2)</f>
        <v>12.67</v>
      </c>
      <c r="J330" s="217">
        <f>H330/$H$94</f>
        <v>1.5638810669806E-5</v>
      </c>
      <c r="K330" s="4"/>
    </row>
    <row r="331" spans="1:12">
      <c r="A331" s="7">
        <v>316</v>
      </c>
      <c r="B331" s="210"/>
      <c r="C331" s="130" t="s">
        <v>748</v>
      </c>
      <c r="D331" s="8" t="s">
        <v>749</v>
      </c>
      <c r="E331" s="2" t="s">
        <v>280</v>
      </c>
      <c r="F331" s="178">
        <v>0.0101</v>
      </c>
      <c r="G331" s="98">
        <v>1160</v>
      </c>
      <c r="H331" s="98">
        <f>ROUND(F331*G331,2)</f>
        <v>11.72</v>
      </c>
      <c r="J331" s="217">
        <f>H331/$H$94</f>
        <v>1.4466208449103E-5</v>
      </c>
      <c r="K331" s="4"/>
    </row>
    <row r="332" spans="1:12" customHeight="1" ht="25.5">
      <c r="A332" s="7">
        <v>317</v>
      </c>
      <c r="B332" s="210"/>
      <c r="C332" s="130" t="s">
        <v>750</v>
      </c>
      <c r="D332" s="8" t="s">
        <v>751</v>
      </c>
      <c r="E332" s="2" t="s">
        <v>267</v>
      </c>
      <c r="F332" s="178">
        <v>0.0067</v>
      </c>
      <c r="G332" s="98">
        <v>1700</v>
      </c>
      <c r="H332" s="98">
        <f>ROUND(F332*G332,2)</f>
        <v>11.39</v>
      </c>
      <c r="J332" s="217">
        <f>H332/$H$94</f>
        <v>1.4058883467174E-5</v>
      </c>
      <c r="K332" s="4"/>
    </row>
    <row r="333" spans="1:12">
      <c r="A333" s="7">
        <v>318</v>
      </c>
      <c r="B333" s="210"/>
      <c r="C333" s="130" t="s">
        <v>752</v>
      </c>
      <c r="D333" s="8" t="s">
        <v>753</v>
      </c>
      <c r="E333" s="2" t="s">
        <v>267</v>
      </c>
      <c r="F333" s="178">
        <v>0.0218</v>
      </c>
      <c r="G333" s="98">
        <v>496.4</v>
      </c>
      <c r="H333" s="98">
        <f>ROUND(F333*G333,2)</f>
        <v>10.82</v>
      </c>
      <c r="J333" s="217">
        <f>H333/$H$94</f>
        <v>1.3355322134752E-5</v>
      </c>
      <c r="K333" s="4"/>
    </row>
    <row r="334" spans="1:12" customHeight="1" ht="25.5">
      <c r="A334" s="7">
        <v>319</v>
      </c>
      <c r="B334" s="210"/>
      <c r="C334" s="130" t="s">
        <v>754</v>
      </c>
      <c r="D334" s="8" t="s">
        <v>755</v>
      </c>
      <c r="E334" s="2" t="s">
        <v>267</v>
      </c>
      <c r="F334" s="178">
        <v>0.008</v>
      </c>
      <c r="G334" s="98">
        <v>1287</v>
      </c>
      <c r="H334" s="98">
        <f>ROUND(F334*G334,2)</f>
        <v>10.3</v>
      </c>
      <c r="J334" s="217">
        <f>H334/$H$94</f>
        <v>1.2713476708682E-5</v>
      </c>
      <c r="K334" s="4"/>
    </row>
    <row r="335" spans="1:12">
      <c r="A335" s="7">
        <v>320</v>
      </c>
      <c r="B335" s="210"/>
      <c r="C335" s="130" t="s">
        <v>756</v>
      </c>
      <c r="D335" s="8" t="s">
        <v>757</v>
      </c>
      <c r="E335" s="2" t="s">
        <v>280</v>
      </c>
      <c r="F335" s="178">
        <v>0.0003</v>
      </c>
      <c r="G335" s="98">
        <v>32830</v>
      </c>
      <c r="H335" s="98">
        <f>ROUND(F335*G335,2)</f>
        <v>9.85</v>
      </c>
      <c r="J335" s="217">
        <f>H335/$H$94</f>
        <v>1.2158033551507E-5</v>
      </c>
      <c r="K335" s="4"/>
    </row>
    <row r="336" spans="1:12">
      <c r="A336" s="7">
        <v>321</v>
      </c>
      <c r="B336" s="210"/>
      <c r="C336" s="130" t="s">
        <v>758</v>
      </c>
      <c r="D336" s="8" t="s">
        <v>759</v>
      </c>
      <c r="E336" s="2" t="s">
        <v>267</v>
      </c>
      <c r="F336" s="178">
        <v>0.2443</v>
      </c>
      <c r="G336" s="98">
        <v>38.51</v>
      </c>
      <c r="H336" s="98">
        <f>ROUND(F336*G336,2)</f>
        <v>9.41</v>
      </c>
      <c r="J336" s="217">
        <f>H336/$H$94</f>
        <v>1.1614933575602E-5</v>
      </c>
      <c r="K336" s="4"/>
    </row>
    <row r="337" spans="1:12">
      <c r="A337" s="7">
        <v>322</v>
      </c>
      <c r="B337" s="210"/>
      <c r="C337" s="130" t="s">
        <v>760</v>
      </c>
      <c r="D337" s="8" t="s">
        <v>761</v>
      </c>
      <c r="E337" s="2" t="s">
        <v>280</v>
      </c>
      <c r="F337" s="178">
        <v>0.0006</v>
      </c>
      <c r="G337" s="98">
        <v>13560</v>
      </c>
      <c r="H337" s="98">
        <f>ROUND(F337*G337,2)</f>
        <v>8.14</v>
      </c>
      <c r="J337" s="217">
        <f>H337/$H$94</f>
        <v>1.004734955424E-5</v>
      </c>
      <c r="K337" s="4"/>
    </row>
    <row r="338" spans="1:12">
      <c r="A338" s="7">
        <v>323</v>
      </c>
      <c r="B338" s="210"/>
      <c r="C338" s="130" t="s">
        <v>762</v>
      </c>
      <c r="D338" s="8" t="s">
        <v>763</v>
      </c>
      <c r="E338" s="2" t="s">
        <v>280</v>
      </c>
      <c r="F338" s="178">
        <v>0.0044</v>
      </c>
      <c r="G338" s="98">
        <v>1836</v>
      </c>
      <c r="H338" s="98">
        <f>ROUND(F338*G338,2)</f>
        <v>8.08</v>
      </c>
      <c r="J338" s="217">
        <f>H338/$H$94</f>
        <v>9.9732904666168E-6</v>
      </c>
      <c r="K338" s="4"/>
    </row>
    <row r="339" spans="1:12">
      <c r="A339" s="7">
        <v>324</v>
      </c>
      <c r="B339" s="210"/>
      <c r="C339" s="130" t="s">
        <v>764</v>
      </c>
      <c r="D339" s="8" t="s">
        <v>765</v>
      </c>
      <c r="E339" s="2" t="s">
        <v>404</v>
      </c>
      <c r="F339" s="178">
        <v>0.0912</v>
      </c>
      <c r="G339" s="98">
        <v>86</v>
      </c>
      <c r="H339" s="98">
        <f>ROUND(F339*G339,2)</f>
        <v>7.84</v>
      </c>
      <c r="J339" s="217">
        <f>H339/$H$94</f>
        <v>9.6770541161232E-6</v>
      </c>
      <c r="K339" s="4"/>
    </row>
    <row r="340" spans="1:12">
      <c r="A340" s="7">
        <v>325</v>
      </c>
      <c r="B340" s="210"/>
      <c r="C340" s="130" t="s">
        <v>766</v>
      </c>
      <c r="D340" s="8" t="s">
        <v>767</v>
      </c>
      <c r="E340" s="2" t="s">
        <v>280</v>
      </c>
      <c r="F340" s="178">
        <v>0.001</v>
      </c>
      <c r="G340" s="98">
        <v>7640</v>
      </c>
      <c r="H340" s="98">
        <f>ROUND(F340*G340,2)</f>
        <v>7.64</v>
      </c>
      <c r="J340" s="217">
        <f>H340/$H$94</f>
        <v>9.4301904907119E-6</v>
      </c>
      <c r="K340" s="4"/>
    </row>
    <row r="341" spans="1:12">
      <c r="A341" s="7">
        <v>326</v>
      </c>
      <c r="B341" s="210"/>
      <c r="C341" s="130" t="s">
        <v>768</v>
      </c>
      <c r="D341" s="8" t="s">
        <v>769</v>
      </c>
      <c r="E341" s="2" t="s">
        <v>280</v>
      </c>
      <c r="F341" s="178">
        <v>0.0004</v>
      </c>
      <c r="G341" s="98">
        <v>17796.96</v>
      </c>
      <c r="H341" s="98">
        <f>ROUND(F341*G341,2)</f>
        <v>7.12</v>
      </c>
      <c r="J341" s="217">
        <f>H341/$H$94</f>
        <v>8.7883450646425E-6</v>
      </c>
      <c r="K341" s="4"/>
    </row>
    <row r="342" spans="1:12">
      <c r="A342" s="7">
        <v>327</v>
      </c>
      <c r="B342" s="210"/>
      <c r="C342" s="130" t="s">
        <v>770</v>
      </c>
      <c r="D342" s="8" t="s">
        <v>771</v>
      </c>
      <c r="E342" s="2" t="s">
        <v>399</v>
      </c>
      <c r="F342" s="178">
        <v>0.16</v>
      </c>
      <c r="G342" s="98">
        <v>41.7</v>
      </c>
      <c r="H342" s="98">
        <f>ROUND(F342*G342,2)</f>
        <v>6.67</v>
      </c>
      <c r="J342" s="217">
        <f>H342/$H$94</f>
        <v>8.2329019074671E-6</v>
      </c>
      <c r="K342" s="4"/>
    </row>
    <row r="343" spans="1:12">
      <c r="A343" s="7">
        <v>328</v>
      </c>
      <c r="B343" s="210"/>
      <c r="C343" s="130" t="s">
        <v>772</v>
      </c>
      <c r="D343" s="8" t="s">
        <v>773</v>
      </c>
      <c r="E343" s="2" t="s">
        <v>280</v>
      </c>
      <c r="F343" s="178">
        <v>0.0003</v>
      </c>
      <c r="G343" s="98">
        <v>20775</v>
      </c>
      <c r="H343" s="98">
        <f>ROUND(F343*G343,2)</f>
        <v>6.23</v>
      </c>
      <c r="J343" s="217">
        <f>H343/$H$94</f>
        <v>7.6898019315622E-6</v>
      </c>
      <c r="K343" s="4"/>
    </row>
    <row r="344" spans="1:12" customHeight="1" ht="25.5">
      <c r="A344" s="7">
        <v>329</v>
      </c>
      <c r="B344" s="210"/>
      <c r="C344" s="130" t="s">
        <v>774</v>
      </c>
      <c r="D344" s="8" t="s">
        <v>775</v>
      </c>
      <c r="E344" s="2" t="s">
        <v>280</v>
      </c>
      <c r="F344" s="178">
        <v>0.001</v>
      </c>
      <c r="G344" s="98">
        <v>6210</v>
      </c>
      <c r="H344" s="98">
        <f>ROUND(F344*G344,2)</f>
        <v>6.21</v>
      </c>
      <c r="J344" s="217">
        <f>H344/$H$94</f>
        <v>7.6651155690211E-6</v>
      </c>
      <c r="K344" s="4"/>
    </row>
    <row r="345" spans="1:12" customHeight="1" ht="50.95">
      <c r="A345" s="7">
        <v>330</v>
      </c>
      <c r="B345" s="210"/>
      <c r="C345" s="130" t="s">
        <v>776</v>
      </c>
      <c r="D345" s="8" t="s">
        <v>777</v>
      </c>
      <c r="E345" s="2" t="s">
        <v>305</v>
      </c>
      <c r="F345" s="178">
        <v>0.1134</v>
      </c>
      <c r="G345" s="98">
        <v>50.24</v>
      </c>
      <c r="H345" s="98">
        <f>ROUND(F345*G345,2)</f>
        <v>5.7</v>
      </c>
      <c r="J345" s="217">
        <f>H345/$H$94</f>
        <v>7.0356133242223E-6</v>
      </c>
      <c r="K345" s="4"/>
    </row>
    <row r="346" spans="1:12" customHeight="1" ht="25.5">
      <c r="A346" s="7">
        <v>331</v>
      </c>
      <c r="B346" s="210"/>
      <c r="C346" s="130" t="s">
        <v>778</v>
      </c>
      <c r="D346" s="8" t="s">
        <v>779</v>
      </c>
      <c r="E346" s="2" t="s">
        <v>399</v>
      </c>
      <c r="F346" s="178">
        <v>0.2265</v>
      </c>
      <c r="G346" s="98">
        <v>23.09</v>
      </c>
      <c r="H346" s="98">
        <f>ROUND(F346*G346,2)</f>
        <v>5.23</v>
      </c>
      <c r="J346" s="217">
        <f>H346/$H$94</f>
        <v>6.4554838045057E-6</v>
      </c>
      <c r="K346" s="4"/>
    </row>
    <row r="347" spans="1:12">
      <c r="A347" s="7">
        <v>332</v>
      </c>
      <c r="B347" s="210"/>
      <c r="C347" s="130" t="s">
        <v>780</v>
      </c>
      <c r="D347" s="8" t="s">
        <v>781</v>
      </c>
      <c r="E347" s="2" t="s">
        <v>399</v>
      </c>
      <c r="F347" s="178">
        <v>0.47</v>
      </c>
      <c r="G347" s="98">
        <v>10.57</v>
      </c>
      <c r="H347" s="98">
        <f>ROUND(F347*G347,2)</f>
        <v>4.97</v>
      </c>
      <c r="J347" s="217">
        <f>H347/$H$94</f>
        <v>6.134561091471E-6</v>
      </c>
      <c r="K347" s="4"/>
    </row>
    <row r="348" spans="1:12">
      <c r="A348" s="7">
        <v>333</v>
      </c>
      <c r="B348" s="210"/>
      <c r="C348" s="130" t="s">
        <v>782</v>
      </c>
      <c r="D348" s="8" t="s">
        <v>783</v>
      </c>
      <c r="E348" s="2" t="s">
        <v>399</v>
      </c>
      <c r="F348" s="178">
        <v>0.1756</v>
      </c>
      <c r="G348" s="98">
        <v>27.74</v>
      </c>
      <c r="H348" s="98">
        <f>ROUND(F348*G348,2)</f>
        <v>4.87</v>
      </c>
      <c r="J348" s="217">
        <f>H348/$H$94</f>
        <v>6.0111292787653E-6</v>
      </c>
      <c r="K348" s="4"/>
    </row>
    <row r="349" spans="1:12">
      <c r="A349" s="7">
        <v>334</v>
      </c>
      <c r="B349" s="210"/>
      <c r="C349" s="130" t="s">
        <v>784</v>
      </c>
      <c r="D349" s="8" t="s">
        <v>785</v>
      </c>
      <c r="E349" s="2" t="s">
        <v>399</v>
      </c>
      <c r="F349" s="178">
        <v>0.124</v>
      </c>
      <c r="G349" s="98">
        <v>35.7</v>
      </c>
      <c r="H349" s="98">
        <f>ROUND(F349*G349,2)</f>
        <v>4.43</v>
      </c>
      <c r="J349" s="217">
        <f>H349/$H$94</f>
        <v>5.4680293028605E-6</v>
      </c>
      <c r="K349" s="4"/>
    </row>
    <row r="350" spans="1:12" customHeight="1" ht="25.5">
      <c r="A350" s="7">
        <v>335</v>
      </c>
      <c r="B350" s="210"/>
      <c r="C350" s="130" t="s">
        <v>786</v>
      </c>
      <c r="D350" s="8" t="s">
        <v>787</v>
      </c>
      <c r="E350" s="2" t="s">
        <v>280</v>
      </c>
      <c r="F350" s="178">
        <v>0.0008</v>
      </c>
      <c r="G350" s="98">
        <v>5000</v>
      </c>
      <c r="H350" s="98">
        <f>ROUND(F350*G350,2)</f>
        <v>4</v>
      </c>
      <c r="J350" s="217">
        <f>H350/$H$94</f>
        <v>4.9372725082261E-6</v>
      </c>
      <c r="K350" s="4"/>
    </row>
    <row r="351" spans="1:12">
      <c r="A351" s="7">
        <v>336</v>
      </c>
      <c r="B351" s="210"/>
      <c r="C351" s="130" t="s">
        <v>788</v>
      </c>
      <c r="D351" s="8" t="s">
        <v>789</v>
      </c>
      <c r="E351" s="2" t="s">
        <v>280</v>
      </c>
      <c r="F351" s="178">
        <v>0.0002</v>
      </c>
      <c r="G351" s="98">
        <v>15255</v>
      </c>
      <c r="H351" s="98">
        <f>ROUND(F351*G351,2)</f>
        <v>3.05</v>
      </c>
      <c r="J351" s="217">
        <f>H351/$H$94</f>
        <v>3.7646702875224E-6</v>
      </c>
      <c r="K351" s="4"/>
    </row>
    <row r="352" spans="1:12">
      <c r="A352" s="7">
        <v>337</v>
      </c>
      <c r="B352" s="210"/>
      <c r="C352" s="130" t="s">
        <v>790</v>
      </c>
      <c r="D352" s="8" t="s">
        <v>791</v>
      </c>
      <c r="E352" s="2" t="s">
        <v>280</v>
      </c>
      <c r="F352" s="178">
        <v>0.0004</v>
      </c>
      <c r="G352" s="98">
        <v>6667</v>
      </c>
      <c r="H352" s="98">
        <f>ROUND(F352*G352,2)</f>
        <v>2.67</v>
      </c>
      <c r="J352" s="217">
        <f>H352/$H$94</f>
        <v>3.2956293992409E-6</v>
      </c>
      <c r="K352" s="4"/>
    </row>
    <row r="353" spans="1:12">
      <c r="A353" s="7">
        <v>338</v>
      </c>
      <c r="B353" s="210"/>
      <c r="C353" s="130" t="s">
        <v>792</v>
      </c>
      <c r="D353" s="8" t="s">
        <v>793</v>
      </c>
      <c r="E353" s="2" t="s">
        <v>280</v>
      </c>
      <c r="F353" s="178">
        <v>0.0003</v>
      </c>
      <c r="G353" s="98">
        <v>8475</v>
      </c>
      <c r="H353" s="98">
        <f>ROUND(F353*G353,2)</f>
        <v>2.54</v>
      </c>
      <c r="J353" s="217">
        <f>H353/$H$94</f>
        <v>3.1351680427236E-6</v>
      </c>
      <c r="K353" s="4"/>
    </row>
    <row r="354" spans="1:12">
      <c r="A354" s="7">
        <v>339</v>
      </c>
      <c r="B354" s="210"/>
      <c r="C354" s="130" t="s">
        <v>794</v>
      </c>
      <c r="D354" s="8" t="s">
        <v>795</v>
      </c>
      <c r="E354" s="2" t="s">
        <v>280</v>
      </c>
      <c r="F354" s="178">
        <v>0.0003</v>
      </c>
      <c r="G354" s="98">
        <v>8105.71</v>
      </c>
      <c r="H354" s="98">
        <f>ROUND(F354*G354,2)</f>
        <v>2.43</v>
      </c>
      <c r="J354" s="217">
        <f>H354/$H$94</f>
        <v>2.9993930487474E-6</v>
      </c>
      <c r="K354" s="4"/>
    </row>
    <row r="355" spans="1:12" customHeight="1" ht="25.5">
      <c r="A355" s="7">
        <v>340</v>
      </c>
      <c r="B355" s="210"/>
      <c r="C355" s="130" t="s">
        <v>796</v>
      </c>
      <c r="D355" s="8" t="s">
        <v>797</v>
      </c>
      <c r="E355" s="2" t="s">
        <v>267</v>
      </c>
      <c r="F355" s="178">
        <v>0.0147</v>
      </c>
      <c r="G355" s="98">
        <v>108.4</v>
      </c>
      <c r="H355" s="98">
        <f>ROUND(F355*G355,2)</f>
        <v>1.59</v>
      </c>
      <c r="J355" s="217">
        <f>H355/$H$94</f>
        <v>1.9625658220199E-6</v>
      </c>
      <c r="K355" s="4"/>
    </row>
    <row r="356" spans="1:12">
      <c r="A356" s="7">
        <v>341</v>
      </c>
      <c r="B356" s="210"/>
      <c r="C356" s="130" t="s">
        <v>798</v>
      </c>
      <c r="D356" s="8" t="s">
        <v>799</v>
      </c>
      <c r="E356" s="2" t="s">
        <v>298</v>
      </c>
      <c r="F356" s="178">
        <v>0.2487</v>
      </c>
      <c r="G356" s="98">
        <v>6.08</v>
      </c>
      <c r="H356" s="98">
        <f>ROUND(F356*G356,2)</f>
        <v>1.51</v>
      </c>
      <c r="J356" s="217">
        <f>H356/$H$94</f>
        <v>1.8638203718554E-6</v>
      </c>
      <c r="K356" s="4"/>
    </row>
    <row r="357" spans="1:12" customHeight="1" ht="25.5">
      <c r="A357" s="7">
        <v>342</v>
      </c>
      <c r="B357" s="210"/>
      <c r="C357" s="130" t="s">
        <v>800</v>
      </c>
      <c r="D357" s="8" t="s">
        <v>801</v>
      </c>
      <c r="E357" s="2" t="s">
        <v>280</v>
      </c>
      <c r="F357" s="178">
        <v>0.0001</v>
      </c>
      <c r="G357" s="98">
        <v>14690</v>
      </c>
      <c r="H357" s="98">
        <f>ROUND(F357*G357,2)</f>
        <v>1.47</v>
      </c>
      <c r="J357" s="217">
        <f>H357/$H$94</f>
        <v>1.8144476467731E-6</v>
      </c>
      <c r="K357" s="4"/>
    </row>
    <row r="358" spans="1:12">
      <c r="A358" s="7">
        <v>343</v>
      </c>
      <c r="B358" s="210"/>
      <c r="C358" s="130" t="s">
        <v>802</v>
      </c>
      <c r="D358" s="8" t="s">
        <v>803</v>
      </c>
      <c r="E358" s="2" t="s">
        <v>399</v>
      </c>
      <c r="F358" s="178">
        <v>0.625</v>
      </c>
      <c r="G358" s="98">
        <v>1.82</v>
      </c>
      <c r="H358" s="98">
        <f>ROUND(F358*G358,2)</f>
        <v>1.14</v>
      </c>
      <c r="J358" s="217">
        <f>H358/$H$94</f>
        <v>1.4071226648445E-6</v>
      </c>
      <c r="K358" s="4"/>
    </row>
    <row r="359" spans="1:12">
      <c r="A359" s="7">
        <v>344</v>
      </c>
      <c r="B359" s="210"/>
      <c r="C359" s="130" t="s">
        <v>804</v>
      </c>
      <c r="D359" s="8" t="s">
        <v>805</v>
      </c>
      <c r="E359" s="2" t="s">
        <v>524</v>
      </c>
      <c r="F359" s="178">
        <v>0.004</v>
      </c>
      <c r="G359" s="98">
        <v>160</v>
      </c>
      <c r="H359" s="98">
        <f>ROUND(F359*G359,2)</f>
        <v>0.64</v>
      </c>
      <c r="J359" s="217">
        <f>H359/$H$94</f>
        <v>7.8996360131618E-7</v>
      </c>
      <c r="K359" s="4"/>
    </row>
    <row r="360" spans="1:12">
      <c r="A360" s="7">
        <v>345</v>
      </c>
      <c r="B360" s="210"/>
      <c r="C360" s="130" t="s">
        <v>806</v>
      </c>
      <c r="D360" s="8" t="s">
        <v>807</v>
      </c>
      <c r="E360" s="2" t="s">
        <v>399</v>
      </c>
      <c r="F360" s="178">
        <v>0.1198</v>
      </c>
      <c r="G360" s="98">
        <v>2.15</v>
      </c>
      <c r="H360" s="98">
        <f>ROUND(F360*G360,2)</f>
        <v>0.26</v>
      </c>
      <c r="J360" s="217">
        <f>H360/$H$94</f>
        <v>3.209227130347E-7</v>
      </c>
      <c r="K360" s="4"/>
    </row>
    <row r="361" spans="1:12" customHeight="1" ht="38.25">
      <c r="A361" s="7">
        <v>346</v>
      </c>
      <c r="B361" s="210"/>
      <c r="C361" s="130" t="s">
        <v>808</v>
      </c>
      <c r="D361" s="8" t="s">
        <v>809</v>
      </c>
      <c r="E361" s="2" t="s">
        <v>267</v>
      </c>
      <c r="F361" s="178">
        <v>0.0005</v>
      </c>
      <c r="G361" s="98">
        <v>74.58</v>
      </c>
      <c r="H361" s="98">
        <f>ROUND(F361*G361,2)</f>
        <v>0.04</v>
      </c>
      <c r="J361" s="217">
        <f>H361/$H$94</f>
        <v>4.9372725082261E-8</v>
      </c>
      <c r="K361" s="4"/>
    </row>
    <row r="362" spans="1:12">
      <c r="J362" s="208"/>
    </row>
    <row r="364" spans="1:12">
      <c r="B364" s="112" t="s">
        <v>76</v>
      </c>
    </row>
    <row r="365" spans="1:12">
      <c r="B365" s="144" t="s">
        <v>77</v>
      </c>
    </row>
    <row r="367" spans="1:12">
      <c r="B367" s="112" t="s">
        <v>78</v>
      </c>
    </row>
    <row r="368" spans="1:12">
      <c r="B368" s="144" t="s">
        <v>79</v>
      </c>
    </row>
  </sheetData>
  <mergeCells>
    <mergeCell ref="A36:E36"/>
    <mergeCell ref="A94:E94"/>
    <mergeCell ref="A11:E11"/>
    <mergeCell ref="A38:E38"/>
    <mergeCell ref="A2:H2"/>
    <mergeCell ref="A3:H3"/>
    <mergeCell ref="A6:H6"/>
    <mergeCell ref="A8:A9"/>
    <mergeCell ref="B8:B9"/>
    <mergeCell ref="C8:C9"/>
    <mergeCell ref="D8:D9"/>
    <mergeCell ref="E8:E9"/>
    <mergeCell ref="F8:F9"/>
    <mergeCell ref="G8:H8"/>
    <mergeCell ref="A83:E83"/>
    <mergeCell ref="C4:H4"/>
  </mergeCells>
  <printOptions gridLines="false" gridLinesSet="true"/>
  <pageMargins left="0.7" right="0.7" top="0.75" bottom="0.75" header="0.3" footer="0.3"/>
  <pageSetup paperSize="9" orientation="portrait" scale="54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50"/>
  <sheetViews>
    <sheetView tabSelected="1" workbookViewId="0" view="pageBreakPreview" showGridLines="true" showRowColHeaders="1" topLeftCell="A25">
      <selection activeCell="D33" sqref="D33"/>
    </sheetView>
  </sheetViews>
  <sheetFormatPr defaultRowHeight="14.4" defaultColWidth="9.125" outlineLevelRow="0" outlineLevelCol="0"/>
  <cols>
    <col min="1" max="1" width="4.125" customWidth="true" style="0"/>
    <col min="2" max="2" width="36.25" customWidth="true" style="0"/>
    <col min="3" max="3" width="18.875" customWidth="true" style="0"/>
    <col min="4" max="4" width="18.25" customWidth="true" style="0"/>
    <col min="5" max="5" width="18.875" customWidth="true" style="0"/>
    <col min="7" max="7" width="13.375" customWidth="true" style="0"/>
    <col min="12" max="12" width="13.625" customWidth="true" style="0"/>
  </cols>
  <sheetData>
    <row r="1" spans="1:12">
      <c r="B1" s="4"/>
      <c r="C1" s="4"/>
      <c r="D1" s="4"/>
      <c r="E1" s="4"/>
    </row>
    <row r="2" spans="1:12">
      <c r="B2" s="4"/>
      <c r="C2" s="4"/>
      <c r="D2" s="4"/>
      <c r="E2" s="47" t="s">
        <v>810</v>
      </c>
    </row>
    <row r="3" spans="1:12">
      <c r="B3" s="4"/>
      <c r="C3" s="4"/>
      <c r="D3" s="4"/>
      <c r="E3" s="4"/>
    </row>
    <row r="4" spans="1:12">
      <c r="B4" s="4"/>
      <c r="C4" s="4"/>
      <c r="D4" s="4"/>
      <c r="E4" s="4"/>
    </row>
    <row r="5" spans="1:12">
      <c r="B5" s="246" t="s">
        <v>811</v>
      </c>
      <c r="C5" s="246"/>
      <c r="D5" s="246"/>
      <c r="E5" s="246"/>
    </row>
    <row r="6" spans="1:12">
      <c r="B6" s="164"/>
      <c r="C6" s="4"/>
      <c r="D6" s="4"/>
      <c r="E6" s="4"/>
    </row>
    <row r="7" spans="1:12" customHeight="1" ht="25.5">
      <c r="B7" s="277" t="s">
        <v>812</v>
      </c>
      <c r="C7" s="277"/>
      <c r="D7" s="277"/>
      <c r="E7" s="277"/>
    </row>
    <row r="8" spans="1:12">
      <c r="B8" s="278" t="s">
        <v>50</v>
      </c>
      <c r="C8" s="278"/>
      <c r="D8" s="278"/>
      <c r="E8" s="278"/>
    </row>
    <row r="9" spans="1:12">
      <c r="B9" s="164"/>
      <c r="C9" s="4"/>
      <c r="D9" s="4"/>
      <c r="E9" s="4"/>
    </row>
    <row r="10" spans="1:12" customHeight="1" ht="50.95">
      <c r="B10" s="2" t="s">
        <v>813</v>
      </c>
      <c r="C10" s="2" t="s">
        <v>814</v>
      </c>
      <c r="D10" s="2" t="s">
        <v>815</v>
      </c>
      <c r="E10" s="2" t="s">
        <v>816</v>
      </c>
    </row>
    <row r="11" spans="1:12">
      <c r="B11" s="99" t="s">
        <v>817</v>
      </c>
      <c r="C11" s="159">
        <f>'Прил.5 Расчет СМР и ОБ'!J15</f>
        <v>2288543.28</v>
      </c>
      <c r="D11" s="160">
        <f>C11/$C$24</f>
        <v>0.17022020502503</v>
      </c>
      <c r="E11" s="160">
        <f>C11/$C$40</f>
        <v>0.095231773766351</v>
      </c>
    </row>
    <row r="12" spans="1:12">
      <c r="B12" s="99" t="s">
        <v>818</v>
      </c>
      <c r="C12" s="159">
        <f>'Прил.5 Расчет СМР и ОБ'!J29</f>
        <v>349175.61</v>
      </c>
      <c r="D12" s="160">
        <f>C12/$C$24</f>
        <v>0.025971431016127</v>
      </c>
      <c r="E12" s="160">
        <f>C12/$C$40</f>
        <v>0.014530034448921</v>
      </c>
    </row>
    <row r="13" spans="1:12">
      <c r="B13" s="99" t="s">
        <v>819</v>
      </c>
      <c r="C13" s="159">
        <f>'Прил.5 Расчет СМР и ОБ'!J65</f>
        <v>60622.76</v>
      </c>
      <c r="D13" s="160">
        <f>C13/$C$24</f>
        <v>0.004509077336035</v>
      </c>
      <c r="E13" s="160">
        <f>C13/$C$40</f>
        <v>0.0025226584158862</v>
      </c>
    </row>
    <row r="14" spans="1:12">
      <c r="B14" s="99" t="s">
        <v>820</v>
      </c>
      <c r="C14" s="159">
        <f>C13+C12</f>
        <v>409798.37</v>
      </c>
      <c r="D14" s="160">
        <f>C14/$C$24</f>
        <v>0.030480508352162</v>
      </c>
      <c r="E14" s="160">
        <f>C14/$C$40</f>
        <v>0.017052692864808</v>
      </c>
    </row>
    <row r="15" spans="1:12">
      <c r="B15" s="99" t="s">
        <v>821</v>
      </c>
      <c r="C15" s="159">
        <f>'Прил.5 Расчет СМР и ОБ'!J17</f>
        <v>37032.19</v>
      </c>
      <c r="D15" s="160">
        <f>C15/$C$24</f>
        <v>0.0027544276874353</v>
      </c>
      <c r="E15" s="160">
        <f>C15/$C$40</f>
        <v>0.0015409982284244</v>
      </c>
    </row>
    <row r="16" spans="1:12">
      <c r="B16" s="99" t="s">
        <v>822</v>
      </c>
      <c r="C16" s="159">
        <f>'Прил.5 Расчет СМР и ОБ'!J130</f>
        <v>5541690.22</v>
      </c>
      <c r="D16" s="160">
        <f>C16/$C$24</f>
        <v>0.41218693728773</v>
      </c>
      <c r="E16" s="160">
        <f>C16/$C$40</f>
        <v>0.2306030189275</v>
      </c>
    </row>
    <row r="17" spans="1:12">
      <c r="B17" s="99" t="s">
        <v>823</v>
      </c>
      <c r="C17" s="159">
        <f>'Прил.5 Расчет СМР и ОБ'!J353</f>
        <v>972024.95</v>
      </c>
      <c r="D17" s="160">
        <f>C17/$C$24</f>
        <v>0.072298517456242</v>
      </c>
      <c r="E17" s="160">
        <f>C17/$C$40</f>
        <v>0.040448289067816</v>
      </c>
      <c r="G17" s="163"/>
    </row>
    <row r="18" spans="1:12">
      <c r="B18" s="99" t="s">
        <v>824</v>
      </c>
      <c r="C18" s="159">
        <f>C17+C16</f>
        <v>6513715.17</v>
      </c>
      <c r="D18" s="160">
        <f>C18/$C$24</f>
        <v>0.48448545474397</v>
      </c>
      <c r="E18" s="160">
        <f>C18/$C$40</f>
        <v>0.27105130799531</v>
      </c>
    </row>
    <row r="19" spans="1:12">
      <c r="B19" s="99" t="s">
        <v>825</v>
      </c>
      <c r="C19" s="159">
        <f>C18+C14+C11</f>
        <v>9212056.82</v>
      </c>
      <c r="D19" s="160"/>
      <c r="E19" s="99"/>
    </row>
    <row r="20" spans="1:12">
      <c r="B20" s="99" t="s">
        <v>826</v>
      </c>
      <c r="C20" s="159">
        <f>ROUND(C21*(C11+C15),2)</f>
        <v>1674414.34</v>
      </c>
      <c r="D20" s="160">
        <f>C20/$C$24</f>
        <v>0.12454173567198</v>
      </c>
      <c r="E20" s="160">
        <f>C20/$C$40</f>
        <v>0.069676395902818</v>
      </c>
    </row>
    <row r="21" spans="1:12">
      <c r="B21" s="99" t="s">
        <v>827</v>
      </c>
      <c r="C21" s="162">
        <f>'Прил.5 Расчет СМР и ОБ'!D357</f>
        <v>0.72</v>
      </c>
      <c r="D21" s="160"/>
      <c r="E21" s="99"/>
    </row>
    <row r="22" spans="1:12">
      <c r="B22" s="99" t="s">
        <v>828</v>
      </c>
      <c r="C22" s="159">
        <f>ROUND(C23*(C11+C15),2)</f>
        <v>2558133.02</v>
      </c>
      <c r="D22" s="160">
        <f>C22/$C$24</f>
        <v>0.19027209620685</v>
      </c>
      <c r="E22" s="160">
        <f>C22/$C$40</f>
        <v>0.10645004931909</v>
      </c>
    </row>
    <row r="23" spans="1:12">
      <c r="B23" s="99" t="s">
        <v>829</v>
      </c>
      <c r="C23" s="162">
        <f>'Прил.5 Расчет СМР и ОБ'!D356</f>
        <v>1.1</v>
      </c>
      <c r="D23" s="160"/>
      <c r="E23" s="99"/>
    </row>
    <row r="24" spans="1:12">
      <c r="B24" s="99" t="s">
        <v>830</v>
      </c>
      <c r="C24" s="159">
        <f>C19+C20+C22</f>
        <v>13444604.18</v>
      </c>
      <c r="D24" s="160">
        <f>C24/$C$24</f>
        <v>1</v>
      </c>
      <c r="E24" s="160">
        <f>C24/$C$40</f>
        <v>0.55946221984838</v>
      </c>
    </row>
    <row r="25" spans="1:12" customHeight="1" ht="25.5">
      <c r="B25" s="99" t="s">
        <v>831</v>
      </c>
      <c r="C25" s="159">
        <f>'Прил.5 Расчет СМР и ОБ'!J81</f>
        <v>8052449.64</v>
      </c>
      <c r="D25" s="160"/>
      <c r="E25" s="160">
        <f>C25/$C$40</f>
        <v>0.33508173914955</v>
      </c>
    </row>
    <row r="26" spans="1:12" customHeight="1" ht="25.5">
      <c r="B26" s="99" t="s">
        <v>832</v>
      </c>
      <c r="C26" s="159">
        <f>'Прил.5 Расчет СМР и ОБ'!J82</f>
        <v>8052449.64</v>
      </c>
      <c r="D26" s="160"/>
      <c r="E26" s="160">
        <f>C26/$C$40</f>
        <v>0.33508173914955</v>
      </c>
    </row>
    <row r="27" spans="1:12">
      <c r="B27" s="99" t="s">
        <v>833</v>
      </c>
      <c r="C27" s="24">
        <f>C24+C25</f>
        <v>21497053.82</v>
      </c>
      <c r="D27" s="160"/>
      <c r="E27" s="160">
        <f>C27/$C$40</f>
        <v>0.89454395899793</v>
      </c>
      <c r="G27" s="161"/>
    </row>
    <row r="28" spans="1:12" customHeight="1" ht="32.95">
      <c r="B28" s="99" t="s">
        <v>834</v>
      </c>
      <c r="C28" s="99"/>
      <c r="D28" s="99"/>
      <c r="E28" s="99"/>
    </row>
    <row r="29" spans="1:12" customHeight="1" ht="25.5">
      <c r="B29" s="99" t="s">
        <v>835</v>
      </c>
      <c r="C29" s="24">
        <f>ROUND(C24*3.9%,2)</f>
        <v>524339.56</v>
      </c>
      <c r="D29" s="99"/>
      <c r="E29" s="160">
        <f>C29/$C$40</f>
        <v>0.021819026448417</v>
      </c>
    </row>
    <row r="30" spans="1:12" customHeight="1" ht="38.25">
      <c r="B30" s="99" t="s">
        <v>836</v>
      </c>
      <c r="C30" s="24">
        <f>ROUND((C24+C29)*2.1%,2)</f>
        <v>293347.82</v>
      </c>
      <c r="D30" s="99"/>
      <c r="E30" s="160">
        <f>C30/$C$40</f>
        <v>0.012206906232987</v>
      </c>
    </row>
    <row r="31" spans="1:12">
      <c r="B31" s="99" t="s">
        <v>837</v>
      </c>
      <c r="C31" s="24">
        <v>483146.9784</v>
      </c>
      <c r="D31" s="99"/>
      <c r="E31" s="160">
        <f>C31/$C$40</f>
        <v>0.020104904348973</v>
      </c>
    </row>
    <row r="32" spans="1:12" customHeight="1" ht="25.5">
      <c r="B32" s="99" t="s">
        <v>838</v>
      </c>
      <c r="C32" s="24">
        <v>0</v>
      </c>
      <c r="D32" s="99"/>
      <c r="E32" s="160">
        <f>C32/$C$40</f>
        <v>0</v>
      </c>
    </row>
    <row r="33" spans="1:12" customHeight="1" ht="25.5">
      <c r="B33" s="99" t="s">
        <v>839</v>
      </c>
      <c r="C33" s="24">
        <f>ROUND(C27*0%,2)</f>
        <v>0</v>
      </c>
      <c r="D33" s="99"/>
      <c r="E33" s="160">
        <f>C33/$C$40</f>
        <v>0</v>
      </c>
    </row>
    <row r="34" spans="1:12" customHeight="1" ht="50.95">
      <c r="B34" s="99" t="s">
        <v>840</v>
      </c>
      <c r="C34" s="24">
        <v>0</v>
      </c>
      <c r="D34" s="99"/>
      <c r="E34" s="160">
        <f>C34/$C$40</f>
        <v>0</v>
      </c>
    </row>
    <row r="35" spans="1:12" customHeight="1" ht="76.75">
      <c r="B35" s="99" t="s">
        <v>841</v>
      </c>
      <c r="C35" s="24">
        <f>ROUND(C27*0%,2)</f>
        <v>0</v>
      </c>
      <c r="D35" s="99"/>
      <c r="E35" s="160">
        <f>C35/$C$40</f>
        <v>0</v>
      </c>
    </row>
    <row r="36" spans="1:12" customHeight="1" ht="25.5">
      <c r="B36" s="99" t="s">
        <v>842</v>
      </c>
      <c r="C36" s="24">
        <f>ROUND((C27+C32+C33+C34+C35+C29+C31+C30)*2.14%,2)</f>
        <v>487874.81</v>
      </c>
      <c r="D36" s="99"/>
      <c r="E36" s="160">
        <f>C36/$C$40</f>
        <v>0.020301640759104</v>
      </c>
      <c r="L36" s="161"/>
    </row>
    <row r="37" spans="1:12">
      <c r="B37" s="99" t="s">
        <v>843</v>
      </c>
      <c r="C37" s="24">
        <f>ROUND((C27+C32+C33+C34+C35+C29+C31+C30)*0.2%,2)</f>
        <v>45595.78</v>
      </c>
      <c r="D37" s="99"/>
      <c r="E37" s="160">
        <f>C37/$C$40</f>
        <v>0.0018973497436589</v>
      </c>
      <c r="L37" s="161"/>
    </row>
    <row r="38" spans="1:12" customHeight="1" ht="38.25">
      <c r="B38" s="99" t="s">
        <v>844</v>
      </c>
      <c r="C38" s="159">
        <f>C27+C32+C33+C34+C35+C29+C31+C30+C36+C37</f>
        <v>23331358.7684</v>
      </c>
      <c r="D38" s="99"/>
      <c r="E38" s="160">
        <f>C38/$C$40</f>
        <v>0.97087378653107</v>
      </c>
    </row>
    <row r="39" spans="1:12" customHeight="1" ht="13.75">
      <c r="B39" s="99" t="s">
        <v>845</v>
      </c>
      <c r="C39" s="159">
        <f>ROUND(C38*3%,2)</f>
        <v>699940.76</v>
      </c>
      <c r="D39" s="99"/>
      <c r="E39" s="160">
        <f>C39/$C$38</f>
        <v>0.029999999869189</v>
      </c>
    </row>
    <row r="40" spans="1:12">
      <c r="B40" s="99" t="s">
        <v>846</v>
      </c>
      <c r="C40" s="159">
        <f>C39+C38</f>
        <v>24031299.5284</v>
      </c>
      <c r="D40" s="99"/>
      <c r="E40" s="160">
        <f>C40/$C$40</f>
        <v>1</v>
      </c>
    </row>
    <row r="41" spans="1:12">
      <c r="B41" s="99" t="s">
        <v>847</v>
      </c>
      <c r="C41" s="159">
        <f>C40/'Прил.5 Расчет СМР и ОБ'!E360</f>
        <v>24031299.5284</v>
      </c>
      <c r="D41" s="99"/>
      <c r="E41" s="99"/>
    </row>
    <row r="42" spans="1:12">
      <c r="B42" s="158"/>
      <c r="C42" s="4"/>
      <c r="D42" s="4"/>
      <c r="E42" s="4"/>
    </row>
    <row r="43" spans="1:12">
      <c r="B43" s="158" t="s">
        <v>848</v>
      </c>
      <c r="C43" s="4"/>
      <c r="D43" s="4"/>
      <c r="E43" s="4"/>
    </row>
    <row r="44" spans="1:12">
      <c r="B44" s="158" t="s">
        <v>849</v>
      </c>
      <c r="C44" s="4"/>
      <c r="D44" s="4"/>
      <c r="E44" s="4"/>
    </row>
    <row r="45" spans="1:12">
      <c r="B45" s="158"/>
      <c r="C45" s="4"/>
      <c r="D45" s="4"/>
      <c r="E45" s="4"/>
    </row>
    <row r="46" spans="1:12">
      <c r="B46" s="158" t="s">
        <v>850</v>
      </c>
      <c r="C46" s="4"/>
      <c r="D46" s="4"/>
      <c r="E46" s="4"/>
    </row>
    <row r="47" spans="1:12">
      <c r="B47" s="278" t="s">
        <v>851</v>
      </c>
      <c r="C47" s="278"/>
      <c r="D47" s="4"/>
      <c r="E47" s="4"/>
    </row>
    <row r="49" spans="1:12">
      <c r="B49" s="4"/>
      <c r="C49" s="4"/>
      <c r="D49" s="4"/>
      <c r="E49" s="4"/>
    </row>
    <row r="50" spans="1:12">
      <c r="B50" s="4"/>
      <c r="C50" s="4"/>
      <c r="D50" s="4"/>
      <c r="E50" s="4"/>
    </row>
  </sheetData>
  <mergeCells>
    <mergeCell ref="B5:E5"/>
    <mergeCell ref="B7:E7"/>
    <mergeCell ref="B8:E8"/>
    <mergeCell ref="B47:C47"/>
  </mergeCells>
  <printOptions gridLines="false" gridLinesSet="true"/>
  <pageMargins left="0.7" right="0.7" top="0.75" bottom="0.75" header="0.3" footer="0.3"/>
  <pageSetup paperSize="9" orientation="portrait" scale="88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N366"/>
  <sheetViews>
    <sheetView tabSelected="0" workbookViewId="0" view="pageBreakPreview" showGridLines="true" showRowColHeaders="1">
      <selection activeCell="D6" sqref="D6:J6"/>
    </sheetView>
  </sheetViews>
  <sheetFormatPr defaultRowHeight="14.4" defaultColWidth="9.125" outlineLevelRow="1" outlineLevelCol="0"/>
  <cols>
    <col min="1" max="1" width="5.75" customWidth="true" style="12"/>
    <col min="2" max="2" width="22.625" customWidth="true" style="12"/>
    <col min="3" max="3" width="39.125" customWidth="true" style="12"/>
    <col min="4" max="4" width="13.625" customWidth="true" style="12"/>
    <col min="5" max="5" width="12.75" customWidth="true" style="12"/>
    <col min="6" max="6" width="14.625" customWidth="true" style="12"/>
    <col min="7" max="7" width="13.375" customWidth="true" style="12"/>
    <col min="8" max="8" width="12.75" customWidth="true" style="12"/>
    <col min="9" max="9" width="13.875" customWidth="true" style="12"/>
    <col min="10" max="10" width="17.625" customWidth="true" style="12"/>
    <col min="11" max="11" width="10.875" customWidth="true" style="12"/>
    <col min="12" max="12" width="13.875" customWidth="true" style="12"/>
  </cols>
  <sheetData>
    <row r="1" spans="1:14">
      <c r="M1" s="12"/>
      <c r="N1" s="12"/>
    </row>
    <row r="2" spans="1:14" customHeight="1" ht="15.8">
      <c r="H2" s="296" t="s">
        <v>852</v>
      </c>
      <c r="I2" s="296"/>
      <c r="J2" s="296"/>
      <c r="M2" s="12"/>
      <c r="N2" s="12"/>
    </row>
    <row r="3" spans="1:14">
      <c r="M3" s="12"/>
      <c r="N3" s="12"/>
    </row>
    <row r="4" spans="1:14" customHeight="1" ht="12.75" s="4" customFormat="1">
      <c r="A4" s="246" t="s">
        <v>853</v>
      </c>
      <c r="B4" s="246"/>
      <c r="C4" s="246"/>
      <c r="D4" s="246"/>
      <c r="E4" s="246"/>
      <c r="F4" s="246"/>
      <c r="G4" s="246"/>
      <c r="H4" s="246"/>
      <c r="I4" s="246"/>
      <c r="J4" s="246"/>
    </row>
    <row r="5" spans="1:14" customHeight="1" ht="12.75" s="4" customFormat="1">
      <c r="A5" s="127"/>
      <c r="B5" s="127"/>
      <c r="C5" s="30"/>
      <c r="D5" s="127"/>
      <c r="E5" s="127"/>
      <c r="F5" s="127"/>
      <c r="G5" s="127"/>
      <c r="H5" s="127"/>
      <c r="I5" s="127"/>
      <c r="J5" s="127"/>
    </row>
    <row r="6" spans="1:14" customHeight="1" ht="12.75" s="4" customFormat="1">
      <c r="A6" s="141" t="s">
        <v>854</v>
      </c>
      <c r="B6" s="140"/>
      <c r="C6" s="140"/>
      <c r="D6" s="300" t="s">
        <v>855</v>
      </c>
      <c r="E6" s="249"/>
      <c r="F6" s="249"/>
      <c r="G6" s="249"/>
      <c r="H6" s="249"/>
      <c r="I6" s="249"/>
      <c r="J6" s="249"/>
    </row>
    <row r="7" spans="1:14" customHeight="1" ht="12.75" s="4" customFormat="1">
      <c r="A7" s="249" t="s">
        <v>50</v>
      </c>
      <c r="B7" s="277"/>
      <c r="C7" s="277"/>
      <c r="D7" s="277"/>
      <c r="E7" s="277"/>
      <c r="F7" s="277"/>
      <c r="G7" s="277"/>
      <c r="H7" s="277"/>
      <c r="I7" s="44"/>
      <c r="J7" s="44"/>
    </row>
    <row r="8" spans="1:14" customHeight="1" ht="13.75" s="4" customFormat="1">
      <c r="A8" s="249"/>
      <c r="B8" s="277"/>
      <c r="C8" s="277"/>
      <c r="D8" s="277"/>
      <c r="E8" s="277"/>
      <c r="F8" s="277"/>
      <c r="G8" s="277"/>
      <c r="H8" s="277"/>
    </row>
    <row r="9" spans="1:14" customHeight="1" ht="13.1" s="4" customFormat="1"/>
    <row r="10" spans="1:14" customHeight="1" ht="27">
      <c r="A10" s="280" t="s">
        <v>13</v>
      </c>
      <c r="B10" s="280" t="s">
        <v>100</v>
      </c>
      <c r="C10" s="280" t="s">
        <v>813</v>
      </c>
      <c r="D10" s="280" t="s">
        <v>102</v>
      </c>
      <c r="E10" s="287" t="s">
        <v>856</v>
      </c>
      <c r="F10" s="297" t="s">
        <v>104</v>
      </c>
      <c r="G10" s="298"/>
      <c r="H10" s="287" t="s">
        <v>857</v>
      </c>
      <c r="I10" s="297" t="s">
        <v>858</v>
      </c>
      <c r="J10" s="298"/>
      <c r="M10" s="12"/>
      <c r="N10" s="12"/>
    </row>
    <row r="11" spans="1:14" customHeight="1" ht="28.55">
      <c r="A11" s="280"/>
      <c r="B11" s="280"/>
      <c r="C11" s="280"/>
      <c r="D11" s="280"/>
      <c r="E11" s="299"/>
      <c r="F11" s="2" t="s">
        <v>859</v>
      </c>
      <c r="G11" s="2" t="s">
        <v>106</v>
      </c>
      <c r="H11" s="299"/>
      <c r="I11" s="2" t="s">
        <v>859</v>
      </c>
      <c r="J11" s="2" t="s">
        <v>106</v>
      </c>
      <c r="M11" s="12"/>
      <c r="N11" s="12"/>
    </row>
    <row r="12" spans="1:14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28">
        <v>9</v>
      </c>
      <c r="J12" s="128">
        <v>10</v>
      </c>
      <c r="M12" s="12"/>
      <c r="N12" s="12"/>
    </row>
    <row r="13" spans="1:14">
      <c r="A13" s="2"/>
      <c r="B13" s="284" t="s">
        <v>860</v>
      </c>
      <c r="C13" s="279"/>
      <c r="D13" s="280"/>
      <c r="E13" s="281"/>
      <c r="F13" s="282"/>
      <c r="G13" s="282"/>
      <c r="H13" s="285"/>
      <c r="I13" s="132"/>
      <c r="J13" s="132"/>
    </row>
    <row r="14" spans="1:14" customHeight="1" ht="25.5">
      <c r="A14" s="2">
        <v>1</v>
      </c>
      <c r="B14" s="171" t="s">
        <v>150</v>
      </c>
      <c r="C14" s="8" t="s">
        <v>151</v>
      </c>
      <c r="D14" s="2" t="s">
        <v>861</v>
      </c>
      <c r="E14" s="184">
        <f>G14/F14</f>
        <v>5399.5838779956</v>
      </c>
      <c r="F14" s="42">
        <v>9.18</v>
      </c>
      <c r="G14" s="27">
        <v>49568.18</v>
      </c>
      <c r="H14" s="135">
        <f>G14/G15</f>
        <v>1</v>
      </c>
      <c r="I14" s="27">
        <f>ФОТр.тек.!E13</f>
        <v>423.83697188533</v>
      </c>
      <c r="J14" s="27">
        <f>ROUND(I14*E14,2)</f>
        <v>2288543.28</v>
      </c>
    </row>
    <row r="15" spans="1:14" customHeight="1" ht="25.5" s="12" customFormat="1">
      <c r="A15" s="2"/>
      <c r="B15" s="2"/>
      <c r="C15" s="129" t="s">
        <v>862</v>
      </c>
      <c r="D15" s="2" t="s">
        <v>861</v>
      </c>
      <c r="E15" s="133">
        <f>SUM(E14:E14)</f>
        <v>5399.5838779956</v>
      </c>
      <c r="F15" s="27"/>
      <c r="G15" s="27">
        <f>SUM(G14:G14)</f>
        <v>49568.18</v>
      </c>
      <c r="H15" s="131">
        <f>H14</f>
        <v>1</v>
      </c>
      <c r="I15" s="207"/>
      <c r="J15" s="27">
        <f>SUM(J14:J14)</f>
        <v>2288543.28</v>
      </c>
    </row>
    <row r="16" spans="1:14" customHeight="1" ht="14.3" s="12" customFormat="1">
      <c r="A16" s="2"/>
      <c r="B16" s="279" t="s">
        <v>158</v>
      </c>
      <c r="C16" s="279"/>
      <c r="D16" s="280"/>
      <c r="E16" s="281"/>
      <c r="F16" s="282"/>
      <c r="G16" s="282"/>
      <c r="H16" s="285"/>
      <c r="I16" s="132"/>
      <c r="J16" s="132"/>
    </row>
    <row r="17" spans="1:14" customHeight="1" ht="14.3" s="12" customFormat="1">
      <c r="A17" s="2">
        <v>2</v>
      </c>
      <c r="B17" s="2">
        <v>2</v>
      </c>
      <c r="C17" s="8" t="s">
        <v>158</v>
      </c>
      <c r="D17" s="2" t="s">
        <v>861</v>
      </c>
      <c r="E17" s="2">
        <v>305.95</v>
      </c>
      <c r="F17" s="27">
        <f>G17/E17</f>
        <v>2.732962902435</v>
      </c>
      <c r="G17" s="27">
        <v>836.15</v>
      </c>
      <c r="H17" s="131">
        <v>1</v>
      </c>
      <c r="I17" s="27">
        <f>ROUND(F17*'Прил. 10'!$D$11,2)</f>
        <v>121.04</v>
      </c>
      <c r="J17" s="27">
        <f>ROUND(I17*E17,2)</f>
        <v>37032.19</v>
      </c>
    </row>
    <row r="18" spans="1:14" customHeight="1" ht="14.3" s="12" customFormat="1">
      <c r="A18" s="2"/>
      <c r="B18" s="284" t="s">
        <v>160</v>
      </c>
      <c r="C18" s="279"/>
      <c r="D18" s="280"/>
      <c r="E18" s="281"/>
      <c r="F18" s="282"/>
      <c r="G18" s="282"/>
      <c r="H18" s="285"/>
      <c r="I18" s="132"/>
      <c r="J18" s="132"/>
    </row>
    <row r="19" spans="1:14" customHeight="1" ht="14.3" s="12" customFormat="1">
      <c r="A19" s="128"/>
      <c r="B19" s="286" t="s">
        <v>863</v>
      </c>
      <c r="C19" s="286"/>
      <c r="D19" s="287"/>
      <c r="E19" s="288"/>
      <c r="F19" s="289"/>
      <c r="G19" s="289"/>
      <c r="H19" s="290"/>
      <c r="I19" s="185"/>
      <c r="J19" s="185"/>
    </row>
    <row r="20" spans="1:14" customHeight="1" ht="25.5" s="12" customFormat="1">
      <c r="A20" s="2">
        <v>2</v>
      </c>
      <c r="B20" s="171" t="s">
        <v>161</v>
      </c>
      <c r="C20" s="8" t="s">
        <v>162</v>
      </c>
      <c r="D20" s="2" t="s">
        <v>163</v>
      </c>
      <c r="E20" s="2">
        <v>71.74</v>
      </c>
      <c r="F20" s="42">
        <v>96.89</v>
      </c>
      <c r="G20" s="27">
        <f>ROUND(E20*F20,2)</f>
        <v>6950.89</v>
      </c>
      <c r="H20" s="135">
        <f>G20/$G$66</f>
        <v>0.22847461281799</v>
      </c>
      <c r="I20" s="27">
        <f>ROUND(F20*'Прил. 10'!$D$12,2)</f>
        <v>1305.11</v>
      </c>
      <c r="J20" s="27">
        <f>ROUND(I20*E20,2)</f>
        <v>93628.59</v>
      </c>
    </row>
    <row r="21" spans="1:14" customHeight="1" ht="14.3" s="12" customFormat="1">
      <c r="A21" s="2">
        <v>3</v>
      </c>
      <c r="B21" s="171" t="s">
        <v>164</v>
      </c>
      <c r="C21" s="8" t="s">
        <v>165</v>
      </c>
      <c r="D21" s="2" t="s">
        <v>163</v>
      </c>
      <c r="E21" s="2">
        <v>57.64</v>
      </c>
      <c r="F21" s="42">
        <v>86.4</v>
      </c>
      <c r="G21" s="27">
        <f>ROUND(E21*F21,2)</f>
        <v>4980.1</v>
      </c>
      <c r="H21" s="186">
        <f>G21/$G$66</f>
        <v>0.16369506916306</v>
      </c>
      <c r="I21" s="142">
        <f>ROUND(F21*'Прил. 10'!$D$12,2)</f>
        <v>1163.81</v>
      </c>
      <c r="J21" s="142">
        <f>ROUND(I21*E21,2)</f>
        <v>67082.01</v>
      </c>
    </row>
    <row r="22" spans="1:14" customHeight="1" ht="25.5" s="12" customFormat="1">
      <c r="A22" s="2">
        <v>4</v>
      </c>
      <c r="B22" s="171" t="s">
        <v>166</v>
      </c>
      <c r="C22" s="8" t="s">
        <v>167</v>
      </c>
      <c r="D22" s="2" t="s">
        <v>163</v>
      </c>
      <c r="E22" s="171">
        <v>41.12</v>
      </c>
      <c r="F22" s="42">
        <v>87.49</v>
      </c>
      <c r="G22" s="27">
        <f>ROUND(E22*F22,2)</f>
        <v>3597.59</v>
      </c>
      <c r="H22" s="186">
        <f>G22/$G$66</f>
        <v>0.11825219250022</v>
      </c>
      <c r="I22" s="142">
        <f>ROUND(F22*'Прил. 10'!$D$12,2)</f>
        <v>1178.49</v>
      </c>
      <c r="J22" s="142">
        <f>ROUND(I22*E22,2)</f>
        <v>48459.51</v>
      </c>
    </row>
    <row r="23" spans="1:14" customHeight="1" ht="25.5" s="12" customFormat="1">
      <c r="A23" s="2">
        <v>5</v>
      </c>
      <c r="B23" s="171" t="s">
        <v>168</v>
      </c>
      <c r="C23" s="8" t="s">
        <v>169</v>
      </c>
      <c r="D23" s="2" t="s">
        <v>163</v>
      </c>
      <c r="E23" s="2">
        <v>20.34</v>
      </c>
      <c r="F23" s="42">
        <v>131.44</v>
      </c>
      <c r="G23" s="27">
        <f>ROUND(E23*F23,2)</f>
        <v>2673.49</v>
      </c>
      <c r="H23" s="186">
        <f>G23/$G$66</f>
        <v>0.087877177256835</v>
      </c>
      <c r="I23" s="142">
        <f>ROUND(F23*'Прил. 10'!$D$12,2)</f>
        <v>1770.5</v>
      </c>
      <c r="J23" s="142">
        <f>ROUND(I23*E23,2)</f>
        <v>36011.97</v>
      </c>
    </row>
    <row r="24" spans="1:14" customHeight="1" ht="25.5" s="12" customFormat="1">
      <c r="A24" s="2">
        <v>6</v>
      </c>
      <c r="B24" s="171" t="s">
        <v>170</v>
      </c>
      <c r="C24" s="8" t="s">
        <v>171</v>
      </c>
      <c r="D24" s="2" t="s">
        <v>163</v>
      </c>
      <c r="E24" s="2">
        <v>39.36</v>
      </c>
      <c r="F24" s="42">
        <v>65.71</v>
      </c>
      <c r="G24" s="27">
        <f>ROUND(E24*F24,2)</f>
        <v>2586.35</v>
      </c>
      <c r="H24" s="186">
        <f>G24/$G$66</f>
        <v>0.085012899767051</v>
      </c>
      <c r="I24" s="142">
        <f>ROUND(F24*'Прил. 10'!$D$12,2)</f>
        <v>885.11</v>
      </c>
      <c r="J24" s="142">
        <f>ROUND(I24*E24,2)</f>
        <v>34837.93</v>
      </c>
    </row>
    <row r="25" spans="1:14" customHeight="1" ht="25.5" s="12" customFormat="1">
      <c r="A25" s="2">
        <v>7</v>
      </c>
      <c r="B25" s="171" t="s">
        <v>172</v>
      </c>
      <c r="C25" s="8" t="s">
        <v>173</v>
      </c>
      <c r="D25" s="2" t="s">
        <v>163</v>
      </c>
      <c r="E25" s="2">
        <v>20.46</v>
      </c>
      <c r="F25" s="42">
        <v>111.99</v>
      </c>
      <c r="G25" s="27">
        <f>ROUND(E25*F25,2)</f>
        <v>2291.32</v>
      </c>
      <c r="H25" s="186">
        <f>G25/$G$66</f>
        <v>0.075315312117169</v>
      </c>
      <c r="I25" s="142">
        <f>ROUND(F25*'Прил. 10'!$D$12,2)</f>
        <v>1508.51</v>
      </c>
      <c r="J25" s="142">
        <f>ROUND(I25*E25,2)</f>
        <v>30864.11</v>
      </c>
    </row>
    <row r="26" spans="1:14" customHeight="1" ht="25.5" s="12" customFormat="1">
      <c r="A26" s="2">
        <v>8</v>
      </c>
      <c r="B26" s="171" t="s">
        <v>174</v>
      </c>
      <c r="C26" s="8" t="s">
        <v>175</v>
      </c>
      <c r="D26" s="2" t="s">
        <v>163</v>
      </c>
      <c r="E26" s="2">
        <v>163.68</v>
      </c>
      <c r="F26" s="42">
        <v>8.1</v>
      </c>
      <c r="G26" s="27">
        <f>ROUND(E26*F26,2)</f>
        <v>1325.81</v>
      </c>
      <c r="H26" s="186">
        <f>G26/$G$66</f>
        <v>0.043579156974174</v>
      </c>
      <c r="I26" s="142">
        <f>ROUND(F26*'Прил. 10'!$D$12,2)</f>
        <v>109.11</v>
      </c>
      <c r="J26" s="142">
        <f>ROUND(I26*E26,2)</f>
        <v>17859.12</v>
      </c>
    </row>
    <row r="27" spans="1:14" customHeight="1" ht="25.5" s="12" customFormat="1">
      <c r="A27" s="2">
        <v>9</v>
      </c>
      <c r="B27" s="171" t="s">
        <v>176</v>
      </c>
      <c r="C27" s="8" t="s">
        <v>177</v>
      </c>
      <c r="D27" s="2" t="s">
        <v>163</v>
      </c>
      <c r="E27" s="2">
        <v>4.79</v>
      </c>
      <c r="F27" s="42">
        <v>175.56</v>
      </c>
      <c r="G27" s="27">
        <f>ROUND(E27*F27,2)</f>
        <v>840.93</v>
      </c>
      <c r="H27" s="186">
        <f>G27/$G$66</f>
        <v>0.027641231001646</v>
      </c>
      <c r="I27" s="142">
        <f>ROUND(F27*'Прил. 10'!$D$12,2)</f>
        <v>2364.79</v>
      </c>
      <c r="J27" s="142">
        <f>ROUND(I27*E27,2)</f>
        <v>11327.34</v>
      </c>
    </row>
    <row r="28" spans="1:14" customHeight="1" ht="25.5" s="12" customFormat="1">
      <c r="A28" s="2">
        <v>10</v>
      </c>
      <c r="B28" s="171" t="s">
        <v>178</v>
      </c>
      <c r="C28" s="8" t="s">
        <v>179</v>
      </c>
      <c r="D28" s="2" t="s">
        <v>163</v>
      </c>
      <c r="E28" s="171">
        <v>5.5</v>
      </c>
      <c r="F28" s="42">
        <v>122.9</v>
      </c>
      <c r="G28" s="27">
        <f>ROUND(E28*F28,2)</f>
        <v>675.95</v>
      </c>
      <c r="H28" s="188">
        <f>G28/$G$66</f>
        <v>0.022218365494824</v>
      </c>
      <c r="I28" s="189">
        <f>ROUND(F28*'Прил. 10'!$D$12,2)</f>
        <v>1655.46</v>
      </c>
      <c r="J28" s="189">
        <f>ROUND(I28*E28,2)</f>
        <v>9105.03</v>
      </c>
    </row>
    <row r="29" spans="1:14" customHeight="1" ht="14.3" s="12" customFormat="1">
      <c r="A29" s="128"/>
      <c r="B29" s="201"/>
      <c r="C29" s="108" t="s">
        <v>864</v>
      </c>
      <c r="D29" s="128"/>
      <c r="E29" s="187"/>
      <c r="F29" s="42"/>
      <c r="G29" s="27">
        <f>SUM(G20:G28)</f>
        <v>25922.43</v>
      </c>
      <c r="H29" s="135">
        <f>G29/G66</f>
        <v>0.85206601709297</v>
      </c>
      <c r="I29" s="27"/>
      <c r="J29" s="27">
        <f>SUM(J20:J28)</f>
        <v>349175.61</v>
      </c>
    </row>
    <row r="30" spans="1:14" customHeight="1" ht="14.3" outlineLevel="1" s="12" customFormat="1">
      <c r="A30" s="2">
        <v>11</v>
      </c>
      <c r="B30" s="171" t="s">
        <v>180</v>
      </c>
      <c r="C30" s="8" t="s">
        <v>181</v>
      </c>
      <c r="D30" s="2" t="s">
        <v>163</v>
      </c>
      <c r="E30" s="171">
        <v>16.91</v>
      </c>
      <c r="F30" s="42">
        <v>30</v>
      </c>
      <c r="G30" s="27">
        <f>ROUND(E30*F30,2)</f>
        <v>507.3</v>
      </c>
      <c r="H30" s="135">
        <f>G30/$G$66</f>
        <v>0.016674867690694</v>
      </c>
      <c r="I30" s="27">
        <f>ROUND(F30*'Прил. 10'!$D$12,2)</f>
        <v>404.1</v>
      </c>
      <c r="J30" s="27">
        <f>ROUND(I30*E30,2)</f>
        <v>6833.33</v>
      </c>
    </row>
    <row r="31" spans="1:14" customHeight="1" ht="50.95" outlineLevel="1" s="12" customFormat="1">
      <c r="A31" s="2">
        <v>12</v>
      </c>
      <c r="B31" s="171" t="s">
        <v>182</v>
      </c>
      <c r="C31" s="8" t="s">
        <v>183</v>
      </c>
      <c r="D31" s="2" t="s">
        <v>163</v>
      </c>
      <c r="E31" s="171">
        <v>5.04</v>
      </c>
      <c r="F31" s="42">
        <v>90</v>
      </c>
      <c r="G31" s="142">
        <f>ROUND(E31*F31,2)</f>
        <v>453.6</v>
      </c>
      <c r="H31" s="186">
        <f>G31/$G$66</f>
        <v>0.014909757509361</v>
      </c>
      <c r="I31" s="142">
        <f>ROUND(F31*'Прил. 10'!$D$12,2)</f>
        <v>1212.3</v>
      </c>
      <c r="J31" s="142">
        <f>ROUND(I31*E31,2)</f>
        <v>6109.99</v>
      </c>
    </row>
    <row r="32" spans="1:14" customHeight="1" ht="25.5" outlineLevel="1" s="12" customFormat="1">
      <c r="A32" s="2">
        <v>13</v>
      </c>
      <c r="B32" s="171" t="s">
        <v>184</v>
      </c>
      <c r="C32" s="8" t="s">
        <v>185</v>
      </c>
      <c r="D32" s="2" t="s">
        <v>163</v>
      </c>
      <c r="E32" s="171">
        <v>1.92</v>
      </c>
      <c r="F32" s="42">
        <v>197.01</v>
      </c>
      <c r="G32" s="142">
        <f>ROUND(E32*F32,2)</f>
        <v>378.26</v>
      </c>
      <c r="H32" s="186">
        <f>G32/$G$66</f>
        <v>0.01243334408177</v>
      </c>
      <c r="I32" s="142">
        <f>ROUND(F32*'Прил. 10'!$D$12,2)</f>
        <v>2653.72</v>
      </c>
      <c r="J32" s="142">
        <f>ROUND(I32*E32,2)</f>
        <v>5095.14</v>
      </c>
    </row>
    <row r="33" spans="1:14" customHeight="1" ht="25.5" outlineLevel="1" s="12" customFormat="1">
      <c r="A33" s="2">
        <v>14</v>
      </c>
      <c r="B33" s="171" t="s">
        <v>186</v>
      </c>
      <c r="C33" s="8" t="s">
        <v>187</v>
      </c>
      <c r="D33" s="2" t="s">
        <v>163</v>
      </c>
      <c r="E33" s="171">
        <v>3.1</v>
      </c>
      <c r="F33" s="42">
        <v>120.04</v>
      </c>
      <c r="G33" s="142">
        <f>ROUND(E33*F33,2)</f>
        <v>372.12</v>
      </c>
      <c r="H33" s="186">
        <f>G33/$G$66</f>
        <v>0.012231523290086</v>
      </c>
      <c r="I33" s="142">
        <f>ROUND(F33*'Прил. 10'!$D$12,2)</f>
        <v>1616.94</v>
      </c>
      <c r="J33" s="142">
        <f>ROUND(I33*E33,2)</f>
        <v>5012.51</v>
      </c>
    </row>
    <row r="34" spans="1:14" customHeight="1" ht="25.5" outlineLevel="1" s="12" customFormat="1">
      <c r="A34" s="2">
        <v>15</v>
      </c>
      <c r="B34" s="171" t="s">
        <v>188</v>
      </c>
      <c r="C34" s="8" t="s">
        <v>189</v>
      </c>
      <c r="D34" s="2" t="s">
        <v>163</v>
      </c>
      <c r="E34" s="171">
        <v>5.18</v>
      </c>
      <c r="F34" s="42">
        <v>65.25</v>
      </c>
      <c r="G34" s="142">
        <f>ROUND(E34*F34,2)</f>
        <v>338</v>
      </c>
      <c r="H34" s="186">
        <f>G34/$G$66</f>
        <v>0.011110004493307</v>
      </c>
      <c r="I34" s="142">
        <f>ROUND(F34*'Прил. 10'!$D$12,2)</f>
        <v>878.92</v>
      </c>
      <c r="J34" s="142">
        <f>ROUND(I34*E34,2)</f>
        <v>4552.81</v>
      </c>
    </row>
    <row r="35" spans="1:14" customHeight="1" ht="25.5" outlineLevel="1" s="12" customFormat="1">
      <c r="A35" s="2">
        <v>16</v>
      </c>
      <c r="B35" s="171" t="s">
        <v>190</v>
      </c>
      <c r="C35" s="8" t="s">
        <v>191</v>
      </c>
      <c r="D35" s="2" t="s">
        <v>163</v>
      </c>
      <c r="E35" s="171">
        <v>23.29</v>
      </c>
      <c r="F35" s="42">
        <v>12.31</v>
      </c>
      <c r="G35" s="142">
        <f>ROUND(E35*F35,2)</f>
        <v>286.7</v>
      </c>
      <c r="H35" s="186">
        <f>G35/$G$66</f>
        <v>0.0094237819178432</v>
      </c>
      <c r="I35" s="142">
        <f>ROUND(F35*'Прил. 10'!$D$12,2)</f>
        <v>165.82</v>
      </c>
      <c r="J35" s="142">
        <f>ROUND(I35*E35,2)</f>
        <v>3861.95</v>
      </c>
    </row>
    <row r="36" spans="1:14" customHeight="1" ht="38.25" outlineLevel="1" s="12" customFormat="1">
      <c r="A36" s="2">
        <v>17</v>
      </c>
      <c r="B36" s="171" t="s">
        <v>192</v>
      </c>
      <c r="C36" s="8" t="s">
        <v>193</v>
      </c>
      <c r="D36" s="2" t="s">
        <v>163</v>
      </c>
      <c r="E36" s="171">
        <v>7.02</v>
      </c>
      <c r="F36" s="42">
        <v>31.26</v>
      </c>
      <c r="G36" s="142">
        <f>ROUND(E36*F36,2)</f>
        <v>219.45</v>
      </c>
      <c r="H36" s="186">
        <f>G36/$G$66</f>
        <v>0.0072132854617045</v>
      </c>
      <c r="I36" s="142">
        <f>ROUND(F36*'Прил. 10'!$D$12,2)</f>
        <v>421.07</v>
      </c>
      <c r="J36" s="142">
        <f>ROUND(I36*E36,2)</f>
        <v>2955.91</v>
      </c>
    </row>
    <row r="37" spans="1:14" customHeight="1" ht="14.3" outlineLevel="1" s="12" customFormat="1">
      <c r="A37" s="2">
        <v>18</v>
      </c>
      <c r="B37" s="171" t="s">
        <v>194</v>
      </c>
      <c r="C37" s="8" t="s">
        <v>195</v>
      </c>
      <c r="D37" s="2" t="s">
        <v>163</v>
      </c>
      <c r="E37" s="171">
        <v>1.75</v>
      </c>
      <c r="F37" s="42">
        <v>120.24</v>
      </c>
      <c r="G37" s="142">
        <f>ROUND(E37*F37,2)</f>
        <v>210.42</v>
      </c>
      <c r="H37" s="186">
        <f>G37/$G$66</f>
        <v>0.00691647084462</v>
      </c>
      <c r="I37" s="142">
        <f>ROUND(F37*'Прил. 10'!$D$12,2)</f>
        <v>1619.63</v>
      </c>
      <c r="J37" s="142">
        <f>ROUND(I37*E37,2)</f>
        <v>2834.35</v>
      </c>
    </row>
    <row r="38" spans="1:14" customHeight="1" ht="14.3" outlineLevel="1" s="12" customFormat="1">
      <c r="A38" s="2">
        <v>19</v>
      </c>
      <c r="B38" s="171">
        <v>134041</v>
      </c>
      <c r="C38" s="8" t="s">
        <v>196</v>
      </c>
      <c r="D38" s="2" t="s">
        <v>163</v>
      </c>
      <c r="E38" s="171">
        <v>69.58</v>
      </c>
      <c r="F38" s="42">
        <v>3</v>
      </c>
      <c r="G38" s="142">
        <f>ROUND(E38*F38,2)</f>
        <v>208.74</v>
      </c>
      <c r="H38" s="186">
        <f>G38/$G$66</f>
        <v>0.0068612495205113</v>
      </c>
      <c r="I38" s="142">
        <f>ROUND(F38*'Прил. 10'!$D$12,2)</f>
        <v>40.41</v>
      </c>
      <c r="J38" s="142">
        <f>ROUND(I38*E38,2)</f>
        <v>2811.73</v>
      </c>
    </row>
    <row r="39" spans="1:14" customHeight="1" ht="14.3" outlineLevel="1" s="12" customFormat="1">
      <c r="A39" s="2">
        <v>20</v>
      </c>
      <c r="B39" s="171" t="s">
        <v>197</v>
      </c>
      <c r="C39" s="8" t="s">
        <v>198</v>
      </c>
      <c r="D39" s="2" t="s">
        <v>163</v>
      </c>
      <c r="E39" s="171">
        <v>2.25</v>
      </c>
      <c r="F39" s="42">
        <v>89.99</v>
      </c>
      <c r="G39" s="142">
        <f>ROUND(E39*F39,2)</f>
        <v>202.48</v>
      </c>
      <c r="H39" s="186">
        <f>G39/$G$66</f>
        <v>0.0066554843485346</v>
      </c>
      <c r="I39" s="142">
        <f>ROUND(F39*'Прил. 10'!$D$12,2)</f>
        <v>1212.17</v>
      </c>
      <c r="J39" s="142">
        <f>ROUND(I39*E39,2)</f>
        <v>2727.38</v>
      </c>
    </row>
    <row r="40" spans="1:14" customHeight="1" ht="14.3" outlineLevel="1" s="12" customFormat="1">
      <c r="A40" s="2">
        <v>21</v>
      </c>
      <c r="B40" s="171" t="s">
        <v>199</v>
      </c>
      <c r="C40" s="8" t="s">
        <v>200</v>
      </c>
      <c r="D40" s="2" t="s">
        <v>163</v>
      </c>
      <c r="E40" s="171">
        <v>13.73</v>
      </c>
      <c r="F40" s="42">
        <v>14.15</v>
      </c>
      <c r="G40" s="142">
        <f>ROUND(E40*F40,2)</f>
        <v>194.28</v>
      </c>
      <c r="H40" s="186">
        <f>G40/$G$66</f>
        <v>0.0063859516951467</v>
      </c>
      <c r="I40" s="142">
        <f>ROUND(F40*'Прил. 10'!$D$12,2)</f>
        <v>190.6</v>
      </c>
      <c r="J40" s="142">
        <f>ROUND(I40*E40,2)</f>
        <v>2616.94</v>
      </c>
    </row>
    <row r="41" spans="1:14" customHeight="1" ht="14.3" outlineLevel="1" s="12" customFormat="1">
      <c r="A41" s="2">
        <v>22</v>
      </c>
      <c r="B41" s="171" t="s">
        <v>201</v>
      </c>
      <c r="C41" s="8" t="s">
        <v>202</v>
      </c>
      <c r="D41" s="2" t="s">
        <v>163</v>
      </c>
      <c r="E41" s="171">
        <v>2.25</v>
      </c>
      <c r="F41" s="42">
        <v>79.07</v>
      </c>
      <c r="G41" s="142">
        <f>ROUND(E41*F41,2)</f>
        <v>177.91</v>
      </c>
      <c r="H41" s="186">
        <f>G41/$G$66</f>
        <v>0.0058478724834443</v>
      </c>
      <c r="I41" s="142">
        <f>ROUND(F41*'Прил. 10'!$D$12,2)</f>
        <v>1065.07</v>
      </c>
      <c r="J41" s="142">
        <f>ROUND(I41*E41,2)</f>
        <v>2396.41</v>
      </c>
    </row>
    <row r="42" spans="1:14" customHeight="1" ht="25.5" outlineLevel="1" s="12" customFormat="1">
      <c r="A42" s="2">
        <v>23</v>
      </c>
      <c r="B42" s="171" t="s">
        <v>203</v>
      </c>
      <c r="C42" s="8" t="s">
        <v>204</v>
      </c>
      <c r="D42" s="2" t="s">
        <v>163</v>
      </c>
      <c r="E42" s="171">
        <v>5.81</v>
      </c>
      <c r="F42" s="42">
        <v>29.6</v>
      </c>
      <c r="G42" s="142">
        <f>ROUND(E42*F42,2)</f>
        <v>171.98</v>
      </c>
      <c r="H42" s="186">
        <f>G42/$G$66</f>
        <v>0.0056529543572747</v>
      </c>
      <c r="I42" s="142">
        <f>ROUND(F42*'Прил. 10'!$D$12,2)</f>
        <v>398.71</v>
      </c>
      <c r="J42" s="142">
        <f>ROUND(I42*E42,2)</f>
        <v>2316.51</v>
      </c>
    </row>
    <row r="43" spans="1:14" customHeight="1" ht="25.5" outlineLevel="1" s="12" customFormat="1">
      <c r="A43" s="2">
        <v>24</v>
      </c>
      <c r="B43" s="171" t="s">
        <v>205</v>
      </c>
      <c r="C43" s="8" t="s">
        <v>206</v>
      </c>
      <c r="D43" s="2" t="s">
        <v>163</v>
      </c>
      <c r="E43" s="171">
        <v>0.55</v>
      </c>
      <c r="F43" s="42">
        <v>312.21</v>
      </c>
      <c r="G43" s="142">
        <f>ROUND(E43*F43,2)</f>
        <v>171.72</v>
      </c>
      <c r="H43" s="186">
        <f>G43/$G$66</f>
        <v>0.0056444081999722</v>
      </c>
      <c r="I43" s="142">
        <f>ROUND(F43*'Прил. 10'!$D$12,2)</f>
        <v>4205.47</v>
      </c>
      <c r="J43" s="142">
        <f>ROUND(I43*E43,2)</f>
        <v>2313.01</v>
      </c>
    </row>
    <row r="44" spans="1:14" customHeight="1" ht="25.5" outlineLevel="1" s="12" customFormat="1">
      <c r="A44" s="2">
        <v>25</v>
      </c>
      <c r="B44" s="171" t="s">
        <v>207</v>
      </c>
      <c r="C44" s="8" t="s">
        <v>208</v>
      </c>
      <c r="D44" s="2" t="s">
        <v>163</v>
      </c>
      <c r="E44" s="171">
        <v>1.45</v>
      </c>
      <c r="F44" s="42">
        <v>102.51</v>
      </c>
      <c r="G44" s="142">
        <f>ROUND(E44*F44,2)</f>
        <v>148.64</v>
      </c>
      <c r="H44" s="186">
        <f>G44/$G$66</f>
        <v>0.0048857723901926</v>
      </c>
      <c r="I44" s="142">
        <f>ROUND(F44*'Прил. 10'!$D$12,2)</f>
        <v>1380.81</v>
      </c>
      <c r="J44" s="142">
        <f>ROUND(I44*E44,2)</f>
        <v>2002.17</v>
      </c>
    </row>
    <row r="45" spans="1:14" customHeight="1" ht="14.3" outlineLevel="1" s="12" customFormat="1">
      <c r="A45" s="2">
        <v>26</v>
      </c>
      <c r="B45" s="171" t="s">
        <v>209</v>
      </c>
      <c r="C45" s="8" t="s">
        <v>210</v>
      </c>
      <c r="D45" s="2" t="s">
        <v>163</v>
      </c>
      <c r="E45" s="171">
        <v>36.19</v>
      </c>
      <c r="F45" s="42">
        <v>1.9</v>
      </c>
      <c r="G45" s="142">
        <f>ROUND(E45*F45,2)</f>
        <v>68.76</v>
      </c>
      <c r="H45" s="186">
        <f>G45/$G$66</f>
        <v>0.002260129908165</v>
      </c>
      <c r="I45" s="142">
        <f>ROUND(F45*'Прил. 10'!$D$12,2)</f>
        <v>25.59</v>
      </c>
      <c r="J45" s="142">
        <f>ROUND(I45*E45,2)</f>
        <v>926.1</v>
      </c>
    </row>
    <row r="46" spans="1:14" customHeight="1" ht="25.5" outlineLevel="1" s="12" customFormat="1">
      <c r="A46" s="2">
        <v>27</v>
      </c>
      <c r="B46" s="171" t="s">
        <v>211</v>
      </c>
      <c r="C46" s="8" t="s">
        <v>212</v>
      </c>
      <c r="D46" s="2" t="s">
        <v>163</v>
      </c>
      <c r="E46" s="171">
        <v>18.63</v>
      </c>
      <c r="F46" s="42">
        <v>3.28</v>
      </c>
      <c r="G46" s="142">
        <f>ROUND(E46*F46,2)</f>
        <v>61.11</v>
      </c>
      <c r="H46" s="186">
        <f>G46/$G$66</f>
        <v>0.0020086756644555</v>
      </c>
      <c r="I46" s="142">
        <f>ROUND(F46*'Прил. 10'!$D$12,2)</f>
        <v>44.18</v>
      </c>
      <c r="J46" s="142">
        <f>ROUND(I46*E46,2)</f>
        <v>823.07</v>
      </c>
    </row>
    <row r="47" spans="1:14" customHeight="1" ht="25.5" outlineLevel="1" s="12" customFormat="1">
      <c r="A47" s="2">
        <v>28</v>
      </c>
      <c r="B47" s="171" t="s">
        <v>213</v>
      </c>
      <c r="C47" s="8" t="s">
        <v>214</v>
      </c>
      <c r="D47" s="2" t="s">
        <v>163</v>
      </c>
      <c r="E47" s="171">
        <v>8.1</v>
      </c>
      <c r="F47" s="42">
        <v>6.66</v>
      </c>
      <c r="G47" s="142">
        <f>ROUND(E47*F47,2)</f>
        <v>53.95</v>
      </c>
      <c r="H47" s="186">
        <f>G47/$G$66</f>
        <v>0.0017733276402778</v>
      </c>
      <c r="I47" s="142">
        <f>ROUND(F47*'Прил. 10'!$D$12,2)</f>
        <v>89.71</v>
      </c>
      <c r="J47" s="142">
        <f>ROUND(I47*E47,2)</f>
        <v>726.65</v>
      </c>
    </row>
    <row r="48" spans="1:14" customHeight="1" ht="14.3" outlineLevel="1" s="12" customFormat="1">
      <c r="A48" s="2">
        <v>29</v>
      </c>
      <c r="B48" s="171">
        <v>330206</v>
      </c>
      <c r="C48" s="8" t="s">
        <v>215</v>
      </c>
      <c r="D48" s="2" t="s">
        <v>163</v>
      </c>
      <c r="E48" s="171">
        <v>20.01</v>
      </c>
      <c r="F48" s="42">
        <v>1.95</v>
      </c>
      <c r="G48" s="142">
        <f>ROUND(E48*F48,2)</f>
        <v>39.02</v>
      </c>
      <c r="H48" s="186">
        <f>G48/$G$66</f>
        <v>0.0012825809920971</v>
      </c>
      <c r="I48" s="142">
        <f>ROUND(F48*'Прил. 10'!$D$12,2)</f>
        <v>26.27</v>
      </c>
      <c r="J48" s="142">
        <f>ROUND(I48*E48,2)</f>
        <v>525.66</v>
      </c>
    </row>
    <row r="49" spans="1:14" customHeight="1" ht="25.5" outlineLevel="1" s="12" customFormat="1">
      <c r="A49" s="2">
        <v>30</v>
      </c>
      <c r="B49" s="171" t="s">
        <v>216</v>
      </c>
      <c r="C49" s="8" t="s">
        <v>217</v>
      </c>
      <c r="D49" s="2" t="s">
        <v>163</v>
      </c>
      <c r="E49" s="171">
        <v>5.07</v>
      </c>
      <c r="F49" s="42">
        <v>6.9</v>
      </c>
      <c r="G49" s="142">
        <f>ROUND(E49*F49,2)</f>
        <v>34.98</v>
      </c>
      <c r="H49" s="186">
        <f>G49/$G$66</f>
        <v>0.0011497868555499</v>
      </c>
      <c r="I49" s="142">
        <f>ROUND(F49*'Прил. 10'!$D$12,2)</f>
        <v>92.94</v>
      </c>
      <c r="J49" s="142">
        <f>ROUND(I49*E49,2)</f>
        <v>471.21</v>
      </c>
    </row>
    <row r="50" spans="1:14" customHeight="1" ht="14.3" outlineLevel="1" s="12" customFormat="1">
      <c r="A50" s="2">
        <v>31</v>
      </c>
      <c r="B50" s="171" t="s">
        <v>218</v>
      </c>
      <c r="C50" s="8" t="s">
        <v>219</v>
      </c>
      <c r="D50" s="2" t="s">
        <v>163</v>
      </c>
      <c r="E50" s="171">
        <v>29.05</v>
      </c>
      <c r="F50" s="42">
        <v>1.2</v>
      </c>
      <c r="G50" s="142">
        <f>ROUND(E50*F50,2)</f>
        <v>34.86</v>
      </c>
      <c r="H50" s="186">
        <f>G50/$G$66</f>
        <v>0.0011458424752564</v>
      </c>
      <c r="I50" s="142">
        <f>ROUND(F50*'Прил. 10'!$D$12,2)</f>
        <v>16.16</v>
      </c>
      <c r="J50" s="142">
        <f>ROUND(I50*E50,2)</f>
        <v>469.45</v>
      </c>
    </row>
    <row r="51" spans="1:14" customHeight="1" ht="38.25" outlineLevel="1" s="12" customFormat="1">
      <c r="A51" s="2">
        <v>32</v>
      </c>
      <c r="B51" s="171" t="s">
        <v>220</v>
      </c>
      <c r="C51" s="8" t="s">
        <v>221</v>
      </c>
      <c r="D51" s="2" t="s">
        <v>163</v>
      </c>
      <c r="E51" s="171">
        <v>0.36</v>
      </c>
      <c r="F51" s="42">
        <v>90.4</v>
      </c>
      <c r="G51" s="142">
        <f>ROUND(E51*F51,2)</f>
        <v>32.54</v>
      </c>
      <c r="H51" s="186">
        <f>G51/$G$66</f>
        <v>0.0010695844562491</v>
      </c>
      <c r="I51" s="142">
        <f>ROUND(F51*'Прил. 10'!$D$12,2)</f>
        <v>1217.69</v>
      </c>
      <c r="J51" s="142">
        <f>ROUND(I51*E51,2)</f>
        <v>438.37</v>
      </c>
    </row>
    <row r="52" spans="1:14" customHeight="1" ht="25.5" outlineLevel="1" s="12" customFormat="1">
      <c r="A52" s="2">
        <v>33</v>
      </c>
      <c r="B52" s="171" t="s">
        <v>222</v>
      </c>
      <c r="C52" s="8" t="s">
        <v>223</v>
      </c>
      <c r="D52" s="2" t="s">
        <v>163</v>
      </c>
      <c r="E52" s="171">
        <v>0.4</v>
      </c>
      <c r="F52" s="42">
        <v>73.12</v>
      </c>
      <c r="G52" s="142">
        <f>ROUND(E52*F52,2)</f>
        <v>29.25</v>
      </c>
      <c r="H52" s="186">
        <f>G52/$G$66</f>
        <v>0.00096144269653614</v>
      </c>
      <c r="I52" s="142">
        <f>ROUND(F52*'Прил. 10'!$D$12,2)</f>
        <v>984.93</v>
      </c>
      <c r="J52" s="142">
        <f>ROUND(I52*E52,2)</f>
        <v>393.97</v>
      </c>
    </row>
    <row r="53" spans="1:14" customHeight="1" ht="14.3" outlineLevel="1" s="12" customFormat="1">
      <c r="A53" s="2">
        <v>34</v>
      </c>
      <c r="B53" s="171" t="s">
        <v>224</v>
      </c>
      <c r="C53" s="8" t="s">
        <v>225</v>
      </c>
      <c r="D53" s="2" t="s">
        <v>163</v>
      </c>
      <c r="E53" s="171">
        <v>45.39</v>
      </c>
      <c r="F53" s="42">
        <v>0.5</v>
      </c>
      <c r="G53" s="142">
        <f>ROUND(E53*F53,2)</f>
        <v>22.7</v>
      </c>
      <c r="H53" s="186">
        <f>G53/$G$66</f>
        <v>0.00074614527218361</v>
      </c>
      <c r="I53" s="142">
        <f>ROUND(F53*'Прил. 10'!$D$12,2)</f>
        <v>6.74</v>
      </c>
      <c r="J53" s="142">
        <f>ROUND(I53*E53,2)</f>
        <v>305.93</v>
      </c>
    </row>
    <row r="54" spans="1:14" customHeight="1" ht="25.5" outlineLevel="1" s="12" customFormat="1">
      <c r="A54" s="2">
        <v>35</v>
      </c>
      <c r="B54" s="171" t="s">
        <v>226</v>
      </c>
      <c r="C54" s="8" t="s">
        <v>227</v>
      </c>
      <c r="D54" s="2" t="s">
        <v>163</v>
      </c>
      <c r="E54" s="171">
        <v>21.82</v>
      </c>
      <c r="F54" s="42">
        <v>0.9</v>
      </c>
      <c r="G54" s="142">
        <f>ROUND(E54*F54,2)</f>
        <v>19.64</v>
      </c>
      <c r="H54" s="186">
        <f>G54/$G$66</f>
        <v>0.00064556357469982</v>
      </c>
      <c r="I54" s="142">
        <f>ROUND(F54*'Прил. 10'!$D$12,2)</f>
        <v>12.12</v>
      </c>
      <c r="J54" s="142">
        <f>ROUND(I54*E54,2)</f>
        <v>264.46</v>
      </c>
    </row>
    <row r="55" spans="1:14" customHeight="1" ht="50.95" outlineLevel="1" s="12" customFormat="1">
      <c r="A55" s="2">
        <v>36</v>
      </c>
      <c r="B55" s="171" t="s">
        <v>228</v>
      </c>
      <c r="C55" s="8" t="s">
        <v>229</v>
      </c>
      <c r="D55" s="2" t="s">
        <v>163</v>
      </c>
      <c r="E55" s="171">
        <v>2.15</v>
      </c>
      <c r="F55" s="42">
        <v>7.77</v>
      </c>
      <c r="G55" s="142">
        <f>ROUND(E55*F55,2)</f>
        <v>16.71</v>
      </c>
      <c r="H55" s="186">
        <f>G55/$G$66</f>
        <v>0.00054925495586732</v>
      </c>
      <c r="I55" s="142">
        <f>ROUND(F55*'Прил. 10'!$D$12,2)</f>
        <v>104.66</v>
      </c>
      <c r="J55" s="142">
        <f>ROUND(I55*E55,2)</f>
        <v>225.02</v>
      </c>
    </row>
    <row r="56" spans="1:14" customHeight="1" ht="14.3" outlineLevel="1" s="12" customFormat="1">
      <c r="A56" s="2">
        <v>37</v>
      </c>
      <c r="B56" s="171" t="s">
        <v>230</v>
      </c>
      <c r="C56" s="8" t="s">
        <v>231</v>
      </c>
      <c r="D56" s="2" t="s">
        <v>163</v>
      </c>
      <c r="E56" s="171">
        <v>4.32</v>
      </c>
      <c r="F56" s="42">
        <v>2.7</v>
      </c>
      <c r="G56" s="142">
        <f>ROUND(E56*F56,2)</f>
        <v>11.66</v>
      </c>
      <c r="H56" s="186">
        <f>G56/$G$66</f>
        <v>0.0003832622851833</v>
      </c>
      <c r="I56" s="142">
        <f>ROUND(F56*'Прил. 10'!$D$12,2)</f>
        <v>36.37</v>
      </c>
      <c r="J56" s="142">
        <f>ROUND(I56*E56,2)</f>
        <v>157.12</v>
      </c>
    </row>
    <row r="57" spans="1:14" customHeight="1" ht="25.5" outlineLevel="1" s="12" customFormat="1">
      <c r="A57" s="2">
        <v>38</v>
      </c>
      <c r="B57" s="171" t="s">
        <v>232</v>
      </c>
      <c r="C57" s="8" t="s">
        <v>233</v>
      </c>
      <c r="D57" s="2" t="s">
        <v>163</v>
      </c>
      <c r="E57" s="171">
        <v>0.61</v>
      </c>
      <c r="F57" s="42">
        <v>16.44</v>
      </c>
      <c r="G57" s="142">
        <f>ROUND(E57*F57,2)</f>
        <v>10.03</v>
      </c>
      <c r="H57" s="186">
        <f>G57/$G$66</f>
        <v>0.00032968445286351</v>
      </c>
      <c r="I57" s="142">
        <f>ROUND(F57*'Прил. 10'!$D$12,2)</f>
        <v>221.45</v>
      </c>
      <c r="J57" s="142">
        <f>ROUND(I57*E57,2)</f>
        <v>135.08</v>
      </c>
    </row>
    <row r="58" spans="1:14" customHeight="1" ht="14.3" outlineLevel="1" s="12" customFormat="1">
      <c r="A58" s="2">
        <v>39</v>
      </c>
      <c r="B58" s="171">
        <v>331531</v>
      </c>
      <c r="C58" s="8" t="s">
        <v>234</v>
      </c>
      <c r="D58" s="2" t="s">
        <v>163</v>
      </c>
      <c r="E58" s="171">
        <v>7.55</v>
      </c>
      <c r="F58" s="42">
        <v>0.95</v>
      </c>
      <c r="G58" s="142">
        <f>ROUND(E58*F58,2)</f>
        <v>7.17</v>
      </c>
      <c r="H58" s="186">
        <f>G58/$G$66</f>
        <v>0.00023567672253553</v>
      </c>
      <c r="I58" s="142">
        <f>ROUND(F58*'Прил. 10'!$D$12,2)</f>
        <v>12.8</v>
      </c>
      <c r="J58" s="142">
        <f>ROUND(I58*E58,2)</f>
        <v>96.64</v>
      </c>
    </row>
    <row r="59" spans="1:14" customHeight="1" ht="25.5" outlineLevel="1" s="12" customFormat="1">
      <c r="A59" s="2">
        <v>40</v>
      </c>
      <c r="B59" s="171" t="s">
        <v>235</v>
      </c>
      <c r="C59" s="8" t="s">
        <v>236</v>
      </c>
      <c r="D59" s="2" t="s">
        <v>163</v>
      </c>
      <c r="E59" s="171">
        <v>12.38</v>
      </c>
      <c r="F59" s="42">
        <v>0.55</v>
      </c>
      <c r="G59" s="142">
        <f>ROUND(E59*F59,2)</f>
        <v>6.81</v>
      </c>
      <c r="H59" s="186">
        <f>G59/$G$66</f>
        <v>0.00022384358165508</v>
      </c>
      <c r="I59" s="142">
        <f>ROUND(F59*'Прил. 10'!$D$12,2)</f>
        <v>7.41</v>
      </c>
      <c r="J59" s="142">
        <f>ROUND(I59*E59,2)</f>
        <v>91.74</v>
      </c>
    </row>
    <row r="60" spans="1:14" customHeight="1" ht="38.25" outlineLevel="1" s="12" customFormat="1">
      <c r="A60" s="2">
        <v>41</v>
      </c>
      <c r="B60" s="171" t="s">
        <v>237</v>
      </c>
      <c r="C60" s="8" t="s">
        <v>238</v>
      </c>
      <c r="D60" s="2" t="s">
        <v>163</v>
      </c>
      <c r="E60" s="171">
        <v>0.69</v>
      </c>
      <c r="F60" s="42">
        <v>6.82</v>
      </c>
      <c r="G60" s="142">
        <f>ROUND(E60*F60,2)</f>
        <v>4.71</v>
      </c>
      <c r="H60" s="186">
        <f>G60/$G$66</f>
        <v>0.00015481692651915</v>
      </c>
      <c r="I60" s="142">
        <f>ROUND(F60*'Прил. 10'!$D$12,2)</f>
        <v>91.87</v>
      </c>
      <c r="J60" s="142">
        <f>ROUND(I60*E60,2)</f>
        <v>63.39</v>
      </c>
    </row>
    <row r="61" spans="1:14" customHeight="1" ht="25.5" outlineLevel="1" s="12" customFormat="1">
      <c r="A61" s="2">
        <v>42</v>
      </c>
      <c r="B61" s="171" t="s">
        <v>239</v>
      </c>
      <c r="C61" s="8" t="s">
        <v>240</v>
      </c>
      <c r="D61" s="2" t="s">
        <v>163</v>
      </c>
      <c r="E61" s="171">
        <v>0.02</v>
      </c>
      <c r="F61" s="42">
        <v>89.54</v>
      </c>
      <c r="G61" s="142">
        <f>ROUND(E61*F61,2)</f>
        <v>1.79</v>
      </c>
      <c r="H61" s="186">
        <f>G61/$G$66</f>
        <v>5.8837006044434E-5</v>
      </c>
      <c r="I61" s="142">
        <f>ROUND(F61*'Прил. 10'!$D$12,2)</f>
        <v>1206.1</v>
      </c>
      <c r="J61" s="142">
        <f>ROUND(I61*E61,2)</f>
        <v>24.12</v>
      </c>
    </row>
    <row r="62" spans="1:14" customHeight="1" ht="25.5" outlineLevel="1" s="12" customFormat="1">
      <c r="A62" s="2">
        <v>43</v>
      </c>
      <c r="B62" s="171" t="s">
        <v>241</v>
      </c>
      <c r="C62" s="8" t="s">
        <v>242</v>
      </c>
      <c r="D62" s="2" t="s">
        <v>163</v>
      </c>
      <c r="E62" s="171">
        <v>2.02</v>
      </c>
      <c r="F62" s="42">
        <v>0.7</v>
      </c>
      <c r="G62" s="142">
        <f>ROUND(E62*F62,2)</f>
        <v>1.41</v>
      </c>
      <c r="H62" s="186">
        <f>G62/$G$66</f>
        <v>4.6346468448409E-5</v>
      </c>
      <c r="I62" s="142">
        <f>ROUND(F62*'Прил. 10'!$D$12,2)</f>
        <v>9.43</v>
      </c>
      <c r="J62" s="142">
        <f>ROUND(I62*E62,2)</f>
        <v>19.05</v>
      </c>
    </row>
    <row r="63" spans="1:14" customHeight="1" ht="25.5" outlineLevel="1" s="12" customFormat="1">
      <c r="A63" s="2">
        <v>44</v>
      </c>
      <c r="B63" s="171" t="s">
        <v>243</v>
      </c>
      <c r="C63" s="8" t="s">
        <v>244</v>
      </c>
      <c r="D63" s="2" t="s">
        <v>163</v>
      </c>
      <c r="E63" s="171">
        <v>1.38</v>
      </c>
      <c r="F63" s="42">
        <v>0.9</v>
      </c>
      <c r="G63" s="142">
        <f>ROUND(E63*F63,2)</f>
        <v>1.24</v>
      </c>
      <c r="H63" s="186">
        <f>G63/$G$66</f>
        <v>4.0758596365977E-5</v>
      </c>
      <c r="I63" s="142">
        <f>ROUND(F63*'Прил. 10'!$D$12,2)</f>
        <v>12.12</v>
      </c>
      <c r="J63" s="142">
        <f>ROUND(I63*E63,2)</f>
        <v>16.73</v>
      </c>
    </row>
    <row r="64" spans="1:14" customHeight="1" ht="25.5" outlineLevel="1" s="12" customFormat="1">
      <c r="A64" s="2">
        <v>45</v>
      </c>
      <c r="B64" s="171" t="s">
        <v>245</v>
      </c>
      <c r="C64" s="8" t="s">
        <v>246</v>
      </c>
      <c r="D64" s="2" t="s">
        <v>163</v>
      </c>
      <c r="E64" s="171">
        <v>0.22</v>
      </c>
      <c r="F64" s="42">
        <v>2.99</v>
      </c>
      <c r="G64" s="142">
        <f>ROUND(E64*F64,2)</f>
        <v>0.66</v>
      </c>
      <c r="H64" s="186">
        <f>G64/$G$66</f>
        <v>2.1694091614149E-5</v>
      </c>
      <c r="I64" s="142">
        <f>ROUND(F64*'Прил. 10'!$D$12,2)</f>
        <v>40.28</v>
      </c>
      <c r="J64" s="142">
        <f>ROUND(I64*E64,2)</f>
        <v>8.86</v>
      </c>
    </row>
    <row r="65" spans="1:14" customHeight="1" ht="14.3" s="12" customFormat="1">
      <c r="A65" s="2"/>
      <c r="B65" s="2"/>
      <c r="C65" s="8" t="s">
        <v>865</v>
      </c>
      <c r="D65" s="2"/>
      <c r="E65" s="130"/>
      <c r="F65" s="27"/>
      <c r="G65" s="134">
        <f>SUM(G30:G64)</f>
        <v>4500.6</v>
      </c>
      <c r="H65" s="135">
        <f>G65/G66</f>
        <v>0.14793398290703</v>
      </c>
      <c r="I65" s="27"/>
      <c r="J65" s="134">
        <f>SUM(J30:J64)</f>
        <v>60622.76</v>
      </c>
    </row>
    <row r="66" spans="1:14" customHeight="1" ht="25.5" s="12" customFormat="1">
      <c r="A66" s="2"/>
      <c r="B66" s="2"/>
      <c r="C66" s="129" t="s">
        <v>866</v>
      </c>
      <c r="D66" s="2"/>
      <c r="E66" s="130"/>
      <c r="F66" s="27"/>
      <c r="G66" s="27">
        <f>G65+G29</f>
        <v>30423.03</v>
      </c>
      <c r="H66" s="136">
        <v>1</v>
      </c>
      <c r="I66" s="137"/>
      <c r="J66" s="27">
        <f>J65+J29</f>
        <v>409798.37</v>
      </c>
    </row>
    <row r="67" spans="1:14" customHeight="1" ht="14.3" s="12" customFormat="1">
      <c r="A67" s="2"/>
      <c r="B67" s="284" t="s">
        <v>43</v>
      </c>
      <c r="C67" s="284"/>
      <c r="D67" s="291"/>
      <c r="E67" s="292"/>
      <c r="F67" s="293"/>
      <c r="G67" s="293"/>
      <c r="H67" s="294"/>
      <c r="I67" s="132"/>
      <c r="J67" s="132"/>
    </row>
    <row r="68" spans="1:14">
      <c r="A68" s="128"/>
      <c r="B68" s="286" t="s">
        <v>867</v>
      </c>
      <c r="C68" s="286"/>
      <c r="D68" s="287"/>
      <c r="E68" s="288"/>
      <c r="F68" s="289"/>
      <c r="G68" s="289"/>
      <c r="H68" s="290"/>
      <c r="I68" s="185"/>
      <c r="J68" s="185"/>
    </row>
    <row r="69" spans="1:14" customHeight="1" ht="50.95">
      <c r="A69" s="2">
        <v>46</v>
      </c>
      <c r="B69" s="171" t="s">
        <v>247</v>
      </c>
      <c r="C69" s="8" t="s">
        <v>248</v>
      </c>
      <c r="D69" s="2" t="s">
        <v>249</v>
      </c>
      <c r="E69" s="171">
        <v>135</v>
      </c>
      <c r="F69" s="42">
        <v>6243.65</v>
      </c>
      <c r="G69" s="27">
        <f>ROUND(E69*F69,2)</f>
        <v>842892.75</v>
      </c>
      <c r="H69" s="135">
        <f>G69/$G$81</f>
        <v>0.65526752317738</v>
      </c>
      <c r="I69" s="27">
        <f>ROUND(F69*'Прил. 10'!$D$14,2)</f>
        <v>39085.25</v>
      </c>
      <c r="J69" s="27">
        <f>ROUND(I69*E69,2)</f>
        <v>5276508.75</v>
      </c>
    </row>
    <row r="70" spans="1:14">
      <c r="A70" s="2">
        <v>47</v>
      </c>
      <c r="B70" s="171" t="s">
        <v>250</v>
      </c>
      <c r="C70" s="8" t="s">
        <v>251</v>
      </c>
      <c r="D70" s="2" t="s">
        <v>252</v>
      </c>
      <c r="E70" s="171">
        <v>3</v>
      </c>
      <c r="F70" s="42">
        <v>65947.2</v>
      </c>
      <c r="G70" s="27">
        <f>ROUND(E70*F70,2)</f>
        <v>197841.6</v>
      </c>
      <c r="H70" s="135">
        <f>G70/$G$81</f>
        <v>0.15380269341912</v>
      </c>
      <c r="I70" s="27">
        <f>ROUND(F70*'Прил. 10'!$D$14,2)</f>
        <v>412829.47</v>
      </c>
      <c r="J70" s="27">
        <f>ROUND(I70*E70,2)</f>
        <v>1238488.41</v>
      </c>
    </row>
    <row r="71" spans="1:14" customHeight="1" ht="63.7">
      <c r="A71" s="2">
        <v>48</v>
      </c>
      <c r="B71" s="171" t="s">
        <v>253</v>
      </c>
      <c r="C71" s="8" t="s">
        <v>254</v>
      </c>
      <c r="D71" s="2" t="s">
        <v>252</v>
      </c>
      <c r="E71" s="171">
        <v>1</v>
      </c>
      <c r="F71" s="42">
        <v>123565.74</v>
      </c>
      <c r="G71" s="27">
        <f>E71*F71</f>
        <v>123565.74</v>
      </c>
      <c r="H71" s="135">
        <f>G71/$G$81</f>
        <v>0.09606040198991</v>
      </c>
      <c r="I71" s="27">
        <f>ROUND(F71*'Прил. 10'!$D$14,2)</f>
        <v>773521.53</v>
      </c>
      <c r="J71" s="27">
        <f>ROUND(I71*E71,2)</f>
        <v>773521.53</v>
      </c>
    </row>
    <row r="72" spans="1:14">
      <c r="A72" s="192"/>
      <c r="B72" s="192"/>
      <c r="C72" s="194" t="s">
        <v>868</v>
      </c>
      <c r="D72" s="192"/>
      <c r="E72" s="195"/>
      <c r="F72" s="196"/>
      <c r="G72" s="189">
        <f>SUM(G69:G71)</f>
        <v>1164300.09</v>
      </c>
      <c r="H72" s="135">
        <f>G72/$G$81</f>
        <v>0.90513061858641</v>
      </c>
      <c r="I72" s="193"/>
      <c r="J72" s="189">
        <f>SUM(J69:J71)</f>
        <v>7288518.69</v>
      </c>
    </row>
    <row r="73" spans="1:14" customHeight="1" ht="38.25" outlineLevel="1">
      <c r="A73" s="2">
        <v>49</v>
      </c>
      <c r="B73" s="171" t="s">
        <v>255</v>
      </c>
      <c r="C73" s="8" t="s">
        <v>256</v>
      </c>
      <c r="D73" s="2" t="s">
        <v>249</v>
      </c>
      <c r="E73" s="171">
        <v>6</v>
      </c>
      <c r="F73" s="98">
        <v>13334.64</v>
      </c>
      <c r="G73" s="27">
        <f>ROUND(E73*F73,2)</f>
        <v>80007.84</v>
      </c>
      <c r="H73" s="135">
        <f>G73/$G$81</f>
        <v>0.062198351037629</v>
      </c>
      <c r="I73" s="27">
        <f>ROUND(F73*'Прил. 10'!$D$14,2)</f>
        <v>83474.85</v>
      </c>
      <c r="J73" s="27">
        <f>ROUND(I73*E73,2)</f>
        <v>500849.1</v>
      </c>
    </row>
    <row r="74" spans="1:14" customHeight="1" ht="38.25" outlineLevel="1">
      <c r="A74" s="2">
        <v>50</v>
      </c>
      <c r="B74" s="171" t="s">
        <v>257</v>
      </c>
      <c r="C74" s="8" t="s">
        <v>258</v>
      </c>
      <c r="D74" s="7" t="s">
        <v>249</v>
      </c>
      <c r="E74" s="7">
        <v>6</v>
      </c>
      <c r="F74" s="180">
        <v>3365.95</v>
      </c>
      <c r="G74" s="27">
        <f>E74*F74</f>
        <v>20195.7</v>
      </c>
      <c r="H74" s="135">
        <f>G74/$G$81</f>
        <v>0.015700201855851</v>
      </c>
      <c r="I74" s="27">
        <f>ROUND(F74*'Прил. 10'!$D$14,2)</f>
        <v>21070.85</v>
      </c>
      <c r="J74" s="27">
        <f>ROUND(I74*E74,2)</f>
        <v>126425.1</v>
      </c>
    </row>
    <row r="75" spans="1:14" outlineLevel="1">
      <c r="A75" s="2">
        <v>51</v>
      </c>
      <c r="B75" s="171" t="s">
        <v>257</v>
      </c>
      <c r="C75" s="8" t="s">
        <v>259</v>
      </c>
      <c r="D75" s="2" t="s">
        <v>249</v>
      </c>
      <c r="E75" s="171">
        <v>1</v>
      </c>
      <c r="F75" s="42">
        <v>13671.52</v>
      </c>
      <c r="G75" s="27">
        <f>E75*F75</f>
        <v>13671.52</v>
      </c>
      <c r="H75" s="135">
        <f>G75/$G$81</f>
        <v>0.010628283430448</v>
      </c>
      <c r="I75" s="27">
        <f>ROUND(F75*'Прил. 10'!$D$14,2)</f>
        <v>85583.72</v>
      </c>
      <c r="J75" s="27">
        <f>ROUND(I75*E75,2)</f>
        <v>85583.72</v>
      </c>
    </row>
    <row r="76" spans="1:14" customHeight="1" ht="25.5" outlineLevel="1">
      <c r="A76" s="2">
        <v>52</v>
      </c>
      <c r="B76" s="171" t="s">
        <v>257</v>
      </c>
      <c r="C76" s="8" t="s">
        <v>260</v>
      </c>
      <c r="D76" s="2" t="s">
        <v>249</v>
      </c>
      <c r="E76" s="171">
        <v>1</v>
      </c>
      <c r="F76" s="42">
        <v>5609.93</v>
      </c>
      <c r="G76" s="27">
        <f>E76*F76</f>
        <v>5609.93</v>
      </c>
      <c r="H76" s="135">
        <f>G76/$G$81</f>
        <v>0.0043611775475569</v>
      </c>
      <c r="I76" s="27">
        <f>ROUND(F76*'Прил. 10'!$D$14,2)</f>
        <v>35118.16</v>
      </c>
      <c r="J76" s="27">
        <f>ROUND(I76*E76,2)</f>
        <v>35118.16</v>
      </c>
    </row>
    <row r="77" spans="1:14" outlineLevel="1">
      <c r="A77" s="2">
        <v>53</v>
      </c>
      <c r="B77" s="171" t="s">
        <v>257</v>
      </c>
      <c r="C77" s="8" t="s">
        <v>261</v>
      </c>
      <c r="D77" s="2" t="s">
        <v>249</v>
      </c>
      <c r="E77" s="171">
        <v>2</v>
      </c>
      <c r="F77" s="42">
        <v>822.3</v>
      </c>
      <c r="G77" s="27">
        <f>E77*F77</f>
        <v>1644.6</v>
      </c>
      <c r="H77" s="135">
        <f>G77/$G$81</f>
        <v>0.00127851730676</v>
      </c>
      <c r="I77" s="27">
        <f>ROUND(F77*'Прил. 10'!$D$14,2)</f>
        <v>5147.6</v>
      </c>
      <c r="J77" s="27">
        <f>ROUND(I77*E77,2)</f>
        <v>10295.2</v>
      </c>
    </row>
    <row r="78" spans="1:14" customHeight="1" ht="38.25" outlineLevel="1">
      <c r="A78" s="2">
        <v>54</v>
      </c>
      <c r="B78" s="171" t="s">
        <v>257</v>
      </c>
      <c r="C78" s="8" t="s">
        <v>262</v>
      </c>
      <c r="D78" s="7" t="s">
        <v>249</v>
      </c>
      <c r="E78" s="7">
        <v>1</v>
      </c>
      <c r="F78" s="180">
        <v>824.95</v>
      </c>
      <c r="G78" s="27">
        <f>E78*F78</f>
        <v>824.95</v>
      </c>
      <c r="H78" s="135">
        <f>G78/$G$81</f>
        <v>0.00064131877186651</v>
      </c>
      <c r="I78" s="27">
        <f>ROUND(F78*'Прил. 10'!$D$14,2)</f>
        <v>5164.19</v>
      </c>
      <c r="J78" s="27">
        <f>ROUND(I78*E78,2)</f>
        <v>5164.19</v>
      </c>
    </row>
    <row r="79" spans="1:14" customHeight="1" ht="25.5" outlineLevel="1">
      <c r="A79" s="2">
        <v>55</v>
      </c>
      <c r="B79" s="171" t="s">
        <v>257</v>
      </c>
      <c r="C79" s="8" t="s">
        <v>263</v>
      </c>
      <c r="D79" s="7" t="s">
        <v>249</v>
      </c>
      <c r="E79" s="7">
        <v>1</v>
      </c>
      <c r="F79" s="180">
        <v>79.15</v>
      </c>
      <c r="G79" s="27">
        <f>E79*F79</f>
        <v>79.15</v>
      </c>
      <c r="H79" s="135">
        <f>G79/$G$81</f>
        <v>6.1531463474434E-5</v>
      </c>
      <c r="I79" s="27">
        <f>ROUND(F79*'Прил. 10'!$D$14,2)</f>
        <v>495.48</v>
      </c>
      <c r="J79" s="27">
        <f>ROUND(I79*E79,2)</f>
        <v>495.48</v>
      </c>
    </row>
    <row r="80" spans="1:14">
      <c r="A80" s="192"/>
      <c r="B80" s="179"/>
      <c r="C80" s="190" t="s">
        <v>869</v>
      </c>
      <c r="D80" s="179"/>
      <c r="E80" s="197"/>
      <c r="F80" s="191"/>
      <c r="G80" s="142">
        <f>SUM(G73:G79)</f>
        <v>122033.69</v>
      </c>
      <c r="H80" s="135">
        <f>G80/$G$81</f>
        <v>0.094869381413586</v>
      </c>
      <c r="I80" s="193"/>
      <c r="J80" s="189">
        <f>SUM(J73:J79)</f>
        <v>763930.95</v>
      </c>
    </row>
    <row r="81" spans="1:14">
      <c r="A81" s="128"/>
      <c r="B81" s="128"/>
      <c r="C81" s="173" t="s">
        <v>870</v>
      </c>
      <c r="D81" s="128"/>
      <c r="E81" s="174"/>
      <c r="F81" s="175"/>
      <c r="G81" s="176">
        <f>G72+G80</f>
        <v>1286333.78</v>
      </c>
      <c r="H81" s="135">
        <f>G81/$G$81</f>
        <v>1</v>
      </c>
      <c r="I81" s="177"/>
      <c r="J81" s="176">
        <f>J72+J80</f>
        <v>8052449.64</v>
      </c>
    </row>
    <row r="82" spans="1:14" customHeight="1" ht="25.5">
      <c r="A82" s="2"/>
      <c r="B82" s="2"/>
      <c r="C82" s="8" t="s">
        <v>871</v>
      </c>
      <c r="D82" s="2"/>
      <c r="E82" s="178"/>
      <c r="F82" s="98"/>
      <c r="G82" s="27">
        <f>'Прил.6 Расчет ОБ'!G22</f>
        <v>0</v>
      </c>
      <c r="H82" s="135"/>
      <c r="I82" s="27"/>
      <c r="J82" s="27">
        <f>J81</f>
        <v>8052449.64</v>
      </c>
    </row>
    <row r="83" spans="1:14" customHeight="1" ht="14.3" s="12" customFormat="1">
      <c r="A83" s="2"/>
      <c r="B83" s="284" t="s">
        <v>264</v>
      </c>
      <c r="C83" s="284"/>
      <c r="D83" s="291"/>
      <c r="E83" s="292"/>
      <c r="F83" s="293"/>
      <c r="G83" s="293"/>
      <c r="H83" s="295"/>
      <c r="I83" s="132"/>
      <c r="J83" s="132"/>
    </row>
    <row r="84" spans="1:14" customHeight="1" ht="14.3" s="12" customFormat="1">
      <c r="A84" s="2"/>
      <c r="B84" s="279" t="s">
        <v>872</v>
      </c>
      <c r="C84" s="279"/>
      <c r="D84" s="280"/>
      <c r="E84" s="281"/>
      <c r="F84" s="282"/>
      <c r="G84" s="282"/>
      <c r="H84" s="283"/>
      <c r="I84" s="132"/>
      <c r="J84" s="132"/>
    </row>
    <row r="85" spans="1:14" customHeight="1" ht="38.25" s="12" customFormat="1">
      <c r="A85" s="2">
        <v>56</v>
      </c>
      <c r="B85" s="130" t="s">
        <v>265</v>
      </c>
      <c r="C85" s="8" t="s">
        <v>266</v>
      </c>
      <c r="D85" s="2" t="s">
        <v>267</v>
      </c>
      <c r="E85" s="178">
        <v>140.68</v>
      </c>
      <c r="F85" s="98">
        <v>700</v>
      </c>
      <c r="G85" s="142">
        <f>ROUND(E85*F85,2)</f>
        <v>98476</v>
      </c>
      <c r="H85" s="135">
        <f>G85/$G$354</f>
        <v>0.12155071188002</v>
      </c>
      <c r="I85" s="180">
        <f>ROUND(F85*'Прил. 10'!$D$13,2)</f>
        <v>5628</v>
      </c>
      <c r="J85" s="180">
        <f>ROUND(I85*E85,2)</f>
        <v>791747.04</v>
      </c>
    </row>
    <row r="86" spans="1:14" customHeight="1" ht="63.7" s="12" customFormat="1">
      <c r="A86" s="2">
        <v>57</v>
      </c>
      <c r="B86" s="130" t="s">
        <v>268</v>
      </c>
      <c r="C86" s="8" t="s">
        <v>269</v>
      </c>
      <c r="D86" s="2" t="s">
        <v>270</v>
      </c>
      <c r="E86" s="178">
        <v>11</v>
      </c>
      <c r="F86" s="98">
        <v>7081.2</v>
      </c>
      <c r="G86" s="142">
        <f>ROUND(E86*F86,2)</f>
        <v>77893.2</v>
      </c>
      <c r="H86" s="135">
        <f>G86/$G$354</f>
        <v>0.09614498873444</v>
      </c>
      <c r="I86" s="180">
        <f>ROUND(F86*'Прил. 10'!$D$13,2)</f>
        <v>56932.85</v>
      </c>
      <c r="J86" s="180">
        <f>ROUND(I86*E86,2)</f>
        <v>626261.35</v>
      </c>
    </row>
    <row r="87" spans="1:14" customHeight="1" ht="25.5" s="12" customFormat="1">
      <c r="A87" s="2">
        <v>58</v>
      </c>
      <c r="B87" s="130" t="s">
        <v>271</v>
      </c>
      <c r="C87" s="8" t="s">
        <v>272</v>
      </c>
      <c r="D87" s="2" t="s">
        <v>273</v>
      </c>
      <c r="E87" s="178">
        <v>30.55</v>
      </c>
      <c r="F87" s="98">
        <v>2027</v>
      </c>
      <c r="G87" s="142">
        <f>ROUND(E87*F87,2)</f>
        <v>61924.85</v>
      </c>
      <c r="H87" s="135">
        <f>G87/$G$354</f>
        <v>0.076434964870257</v>
      </c>
      <c r="I87" s="180">
        <f>ROUND(F87*'Прил. 10'!$D$13,2)</f>
        <v>16297.08</v>
      </c>
      <c r="J87" s="180">
        <f>ROUND(I87*E87,2)</f>
        <v>497875.79</v>
      </c>
    </row>
    <row r="88" spans="1:14" customHeight="1" ht="38.25" s="12" customFormat="1">
      <c r="A88" s="2">
        <v>59</v>
      </c>
      <c r="B88" s="130" t="s">
        <v>274</v>
      </c>
      <c r="C88" s="8" t="s">
        <v>275</v>
      </c>
      <c r="D88" s="2" t="s">
        <v>273</v>
      </c>
      <c r="E88" s="178">
        <v>15.45</v>
      </c>
      <c r="F88" s="98">
        <v>2420</v>
      </c>
      <c r="G88" s="142">
        <f>ROUND(E88*F88,2)</f>
        <v>37389</v>
      </c>
      <c r="H88" s="135">
        <f>G88/$G$354</f>
        <v>0.046149920452517</v>
      </c>
      <c r="I88" s="180">
        <f>ROUND(F88*'Прил. 10'!$D$13,2)</f>
        <v>19456.8</v>
      </c>
      <c r="J88" s="180">
        <f>ROUND(I88*E88,2)</f>
        <v>300607.56</v>
      </c>
    </row>
    <row r="89" spans="1:14" customHeight="1" ht="38.25" s="12" customFormat="1">
      <c r="A89" s="2">
        <v>60</v>
      </c>
      <c r="B89" s="130" t="s">
        <v>276</v>
      </c>
      <c r="C89" s="8" t="s">
        <v>277</v>
      </c>
      <c r="D89" s="2" t="s">
        <v>267</v>
      </c>
      <c r="E89" s="178">
        <v>10.009</v>
      </c>
      <c r="F89" s="98">
        <v>3580.59</v>
      </c>
      <c r="G89" s="142">
        <f>ROUND(E89*F89,2)</f>
        <v>35838.13</v>
      </c>
      <c r="H89" s="135">
        <f>G89/$G$354</f>
        <v>0.044235653498809</v>
      </c>
      <c r="I89" s="180">
        <f>ROUND(F89*'Прил. 10'!$D$13,2)</f>
        <v>28787.94</v>
      </c>
      <c r="J89" s="180">
        <f>ROUND(I89*E89,2)</f>
        <v>288138.49</v>
      </c>
    </row>
    <row r="90" spans="1:14" customHeight="1" ht="38.25" s="12" customFormat="1">
      <c r="A90" s="2">
        <v>61</v>
      </c>
      <c r="B90" s="130" t="s">
        <v>278</v>
      </c>
      <c r="C90" s="8" t="s">
        <v>279</v>
      </c>
      <c r="D90" s="2" t="s">
        <v>280</v>
      </c>
      <c r="E90" s="178">
        <v>3.82</v>
      </c>
      <c r="F90" s="98">
        <v>7956.21</v>
      </c>
      <c r="G90" s="142">
        <f>ROUND(E90*F90,2)</f>
        <v>30392.72</v>
      </c>
      <c r="H90" s="135">
        <f>G90/$G$354</f>
        <v>0.037514285226554</v>
      </c>
      <c r="I90" s="180">
        <f>ROUND(F90*'Прил. 10'!$D$13,2)</f>
        <v>63967.93</v>
      </c>
      <c r="J90" s="180">
        <f>ROUND(I90*E90,2)</f>
        <v>244357.49</v>
      </c>
    </row>
    <row r="91" spans="1:14" customHeight="1" ht="38.25" s="12" customFormat="1">
      <c r="A91" s="2">
        <v>62</v>
      </c>
      <c r="B91" s="130" t="s">
        <v>281</v>
      </c>
      <c r="C91" s="8" t="s">
        <v>282</v>
      </c>
      <c r="D91" s="2" t="s">
        <v>280</v>
      </c>
      <c r="E91" s="178">
        <v>3.23</v>
      </c>
      <c r="F91" s="98">
        <v>7997.23</v>
      </c>
      <c r="G91" s="142">
        <f>ROUND(E91*F91,2)</f>
        <v>25831.05</v>
      </c>
      <c r="H91" s="135">
        <f>G91/$G$354</f>
        <v>0.031883733255904</v>
      </c>
      <c r="I91" s="180">
        <f>ROUND(F91*'Прил. 10'!$D$13,2)</f>
        <v>64297.73</v>
      </c>
      <c r="J91" s="180">
        <f>ROUND(I91*E91,2)</f>
        <v>207681.67</v>
      </c>
    </row>
    <row r="92" spans="1:14" customHeight="1" ht="63.7" s="12" customFormat="1">
      <c r="A92" s="2">
        <v>63</v>
      </c>
      <c r="B92" s="130" t="s">
        <v>283</v>
      </c>
      <c r="C92" s="8" t="s">
        <v>284</v>
      </c>
      <c r="D92" s="2" t="s">
        <v>270</v>
      </c>
      <c r="E92" s="178">
        <v>8</v>
      </c>
      <c r="F92" s="98">
        <v>2836.68</v>
      </c>
      <c r="G92" s="142">
        <f>ROUND(E92*F92,2)</f>
        <v>22693.44</v>
      </c>
      <c r="H92" s="135">
        <f>G92/$G$354</f>
        <v>0.02801092435727</v>
      </c>
      <c r="I92" s="180">
        <f>ROUND(F92*'Прил. 10'!$D$13,2)</f>
        <v>22806.91</v>
      </c>
      <c r="J92" s="180">
        <f>ROUND(I92*E92,2)</f>
        <v>182455.28</v>
      </c>
    </row>
    <row r="93" spans="1:14" customHeight="1" ht="25.5" s="12" customFormat="1">
      <c r="A93" s="2">
        <v>64</v>
      </c>
      <c r="B93" s="209" t="s">
        <v>285</v>
      </c>
      <c r="C93" s="190" t="s">
        <v>286</v>
      </c>
      <c r="D93" s="179" t="s">
        <v>287</v>
      </c>
      <c r="E93" s="197">
        <v>0.24</v>
      </c>
      <c r="F93" s="191">
        <v>91691.59</v>
      </c>
      <c r="G93" s="142">
        <f>ROUND(E93*F93,2)</f>
        <v>22005.98</v>
      </c>
      <c r="H93" s="135">
        <f>G93/$G$354</f>
        <v>0.027162380017644</v>
      </c>
      <c r="I93" s="180">
        <f>ROUND(F93*'Прил. 10'!$D$13,2)</f>
        <v>737200.38</v>
      </c>
      <c r="J93" s="180">
        <f>ROUND(I93*E93,2)</f>
        <v>176928.09</v>
      </c>
    </row>
    <row r="94" spans="1:14" customHeight="1" ht="25.5" s="12" customFormat="1">
      <c r="A94" s="2">
        <v>65</v>
      </c>
      <c r="B94" s="130" t="s">
        <v>288</v>
      </c>
      <c r="C94" s="8" t="s">
        <v>289</v>
      </c>
      <c r="D94" s="2" t="s">
        <v>280</v>
      </c>
      <c r="E94" s="178">
        <v>2.88</v>
      </c>
      <c r="F94" s="98">
        <v>6508.75</v>
      </c>
      <c r="G94" s="142">
        <f>ROUND(E94*F94,2)</f>
        <v>18745.2</v>
      </c>
      <c r="H94" s="135">
        <f>G94/$G$354</f>
        <v>0.0231375401553</v>
      </c>
      <c r="I94" s="180">
        <f>ROUND(F94*'Прил. 10'!$D$13,2)</f>
        <v>52330.35</v>
      </c>
      <c r="J94" s="180">
        <f>ROUND(I94*E94,2)</f>
        <v>150711.41</v>
      </c>
    </row>
    <row r="95" spans="1:14" customHeight="1" ht="63.7" s="12" customFormat="1">
      <c r="A95" s="2">
        <v>66</v>
      </c>
      <c r="B95" s="130" t="s">
        <v>290</v>
      </c>
      <c r="C95" s="8" t="s">
        <v>291</v>
      </c>
      <c r="D95" s="2" t="s">
        <v>280</v>
      </c>
      <c r="E95" s="178">
        <v>1.303</v>
      </c>
      <c r="F95" s="98">
        <v>11255</v>
      </c>
      <c r="G95" s="142">
        <f>ROUND(E95*F95,2)</f>
        <v>14665.27</v>
      </c>
      <c r="H95" s="135">
        <f>G95/$G$354</f>
        <v>0.018101608599178</v>
      </c>
      <c r="I95" s="180">
        <f>ROUND(F95*'Прил. 10'!$D$13,2)</f>
        <v>90490.2</v>
      </c>
      <c r="J95" s="180">
        <f>ROUND(I95*E95,2)</f>
        <v>117908.73</v>
      </c>
    </row>
    <row r="96" spans="1:14" customHeight="1" ht="25.5" s="12" customFormat="1">
      <c r="A96" s="2">
        <v>67</v>
      </c>
      <c r="B96" s="130" t="s">
        <v>292</v>
      </c>
      <c r="C96" s="8" t="s">
        <v>293</v>
      </c>
      <c r="D96" s="2" t="s">
        <v>267</v>
      </c>
      <c r="E96" s="178">
        <v>27.9</v>
      </c>
      <c r="F96" s="98">
        <v>519.8</v>
      </c>
      <c r="G96" s="142">
        <f>ROUND(E96*F96,2)</f>
        <v>14502.42</v>
      </c>
      <c r="H96" s="135">
        <f>G96/$G$354</f>
        <v>0.017900599892187</v>
      </c>
      <c r="I96" s="180">
        <f>ROUND(F96*'Прил. 10'!$D$13,2)</f>
        <v>4179.19</v>
      </c>
      <c r="J96" s="180">
        <f>ROUND(I96*E96,2)</f>
        <v>116599.4</v>
      </c>
    </row>
    <row r="97" spans="1:14" customHeight="1" ht="25.5" s="12" customFormat="1">
      <c r="A97" s="2">
        <v>68</v>
      </c>
      <c r="B97" s="130" t="s">
        <v>294</v>
      </c>
      <c r="C97" s="8" t="s">
        <v>295</v>
      </c>
      <c r="D97" s="2" t="s">
        <v>287</v>
      </c>
      <c r="E97" s="178">
        <v>0.9</v>
      </c>
      <c r="F97" s="98">
        <v>14498.24</v>
      </c>
      <c r="G97" s="142">
        <f>ROUND(E97*F97,2)</f>
        <v>13048.42</v>
      </c>
      <c r="H97" s="135">
        <f>G97/$G$354</f>
        <v>0.016105901335447</v>
      </c>
      <c r="I97" s="180">
        <f>ROUND(F97*'Прил. 10'!$D$13,2)</f>
        <v>116565.85</v>
      </c>
      <c r="J97" s="180">
        <f>ROUND(I97*E97,2)</f>
        <v>104909.27</v>
      </c>
    </row>
    <row r="98" spans="1:14" customHeight="1" ht="25.5" s="12" customFormat="1">
      <c r="A98" s="2">
        <v>69</v>
      </c>
      <c r="B98" s="130" t="s">
        <v>296</v>
      </c>
      <c r="C98" s="8" t="s">
        <v>297</v>
      </c>
      <c r="D98" s="2" t="s">
        <v>298</v>
      </c>
      <c r="E98" s="178">
        <v>201.8</v>
      </c>
      <c r="F98" s="98">
        <v>63.29</v>
      </c>
      <c r="G98" s="142">
        <f>ROUND(E98*F98,2)</f>
        <v>12771.92</v>
      </c>
      <c r="H98" s="135">
        <f>G98/$G$354</f>
        <v>0.015764612373316</v>
      </c>
      <c r="I98" s="180">
        <f>ROUND(F98*'Прил. 10'!$D$13,2)</f>
        <v>508.85</v>
      </c>
      <c r="J98" s="180">
        <f>ROUND(I98*E98,2)</f>
        <v>102685.93</v>
      </c>
    </row>
    <row r="99" spans="1:14" customHeight="1" ht="38.25" s="12" customFormat="1">
      <c r="A99" s="2">
        <v>70</v>
      </c>
      <c r="B99" s="130" t="s">
        <v>299</v>
      </c>
      <c r="C99" s="8" t="s">
        <v>300</v>
      </c>
      <c r="D99" s="2" t="s">
        <v>267</v>
      </c>
      <c r="E99" s="178">
        <v>2.966</v>
      </c>
      <c r="F99" s="98">
        <v>4183.5</v>
      </c>
      <c r="G99" s="142">
        <f>ROUND(E99*F99,2)</f>
        <v>12408.26</v>
      </c>
      <c r="H99" s="135">
        <f>G99/$G$354</f>
        <v>0.015315740243231</v>
      </c>
      <c r="I99" s="180">
        <f>ROUND(F99*'Прил. 10'!$D$13,2)</f>
        <v>33635.34</v>
      </c>
      <c r="J99" s="180">
        <f>ROUND(I99*E99,2)</f>
        <v>99762.42</v>
      </c>
    </row>
    <row r="100" spans="1:14" customHeight="1" ht="38.25" s="12" customFormat="1">
      <c r="A100" s="2">
        <v>71</v>
      </c>
      <c r="B100" s="130" t="s">
        <v>301</v>
      </c>
      <c r="C100" s="8" t="s">
        <v>302</v>
      </c>
      <c r="D100" s="2" t="s">
        <v>270</v>
      </c>
      <c r="E100" s="178">
        <v>696</v>
      </c>
      <c r="F100" s="98">
        <v>17.32</v>
      </c>
      <c r="G100" s="142">
        <f>ROUND(E100*F100,2)</f>
        <v>12054.72</v>
      </c>
      <c r="H100" s="135">
        <f>G100/$G$354</f>
        <v>0.014879359412591</v>
      </c>
      <c r="I100" s="180">
        <f>ROUND(F100*'Прил. 10'!$D$13,2)</f>
        <v>139.25</v>
      </c>
      <c r="J100" s="180">
        <f>ROUND(I100*E100,2)</f>
        <v>96918</v>
      </c>
    </row>
    <row r="101" spans="1:14" customHeight="1" ht="25.5" s="12" customFormat="1">
      <c r="A101" s="2">
        <v>72</v>
      </c>
      <c r="B101" s="130" t="s">
        <v>303</v>
      </c>
      <c r="C101" s="8" t="s">
        <v>304</v>
      </c>
      <c r="D101" s="2" t="s">
        <v>305</v>
      </c>
      <c r="E101" s="178">
        <v>300</v>
      </c>
      <c r="F101" s="98">
        <v>39.8</v>
      </c>
      <c r="G101" s="142">
        <f>ROUND(E101*F101,2)</f>
        <v>11940</v>
      </c>
      <c r="H101" s="135">
        <f>G101/$G$354</f>
        <v>0.014737758437055</v>
      </c>
      <c r="I101" s="180">
        <f>ROUND(F101*'Прил. 10'!$D$13,2)</f>
        <v>319.99</v>
      </c>
      <c r="J101" s="180">
        <f>ROUND(I101*E101,2)</f>
        <v>95997</v>
      </c>
    </row>
    <row r="102" spans="1:14" customHeight="1" ht="25.5" s="12" customFormat="1">
      <c r="A102" s="2">
        <v>73</v>
      </c>
      <c r="B102" s="130" t="s">
        <v>306</v>
      </c>
      <c r="C102" s="8" t="s">
        <v>307</v>
      </c>
      <c r="D102" s="2" t="s">
        <v>280</v>
      </c>
      <c r="E102" s="178">
        <v>1.684</v>
      </c>
      <c r="F102" s="98">
        <v>6780</v>
      </c>
      <c r="G102" s="142">
        <f>ROUND(E102*F102,2)</f>
        <v>11417.52</v>
      </c>
      <c r="H102" s="135">
        <f>G102/$G$354</f>
        <v>0.014092851902031</v>
      </c>
      <c r="I102" s="180">
        <f>ROUND(F102*'Прил. 10'!$D$13,2)</f>
        <v>54511.2</v>
      </c>
      <c r="J102" s="180">
        <f>ROUND(I102*E102,2)</f>
        <v>91796.86</v>
      </c>
    </row>
    <row r="103" spans="1:14" customHeight="1" ht="25.5" s="12" customFormat="1">
      <c r="A103" s="2">
        <v>74</v>
      </c>
      <c r="B103" s="130" t="s">
        <v>308</v>
      </c>
      <c r="C103" s="8" t="s">
        <v>309</v>
      </c>
      <c r="D103" s="2" t="s">
        <v>280</v>
      </c>
      <c r="E103" s="178">
        <v>1.187984</v>
      </c>
      <c r="F103" s="98">
        <v>9380.49</v>
      </c>
      <c r="G103" s="142">
        <f>ROUND(E103*F103,2)</f>
        <v>11143.87</v>
      </c>
      <c r="H103" s="135">
        <f>G103/$G$354</f>
        <v>0.013755080746562</v>
      </c>
      <c r="I103" s="180">
        <f>ROUND(F103*'Прил. 10'!$D$13,2)</f>
        <v>75419.14</v>
      </c>
      <c r="J103" s="180">
        <f>ROUND(I103*E103,2)</f>
        <v>89596.73</v>
      </c>
    </row>
    <row r="104" spans="1:14" customHeight="1" ht="63.7" s="12" customFormat="1">
      <c r="A104" s="2">
        <v>75</v>
      </c>
      <c r="B104" s="130" t="s">
        <v>310</v>
      </c>
      <c r="C104" s="8" t="s">
        <v>311</v>
      </c>
      <c r="D104" s="2" t="s">
        <v>312</v>
      </c>
      <c r="E104" s="178">
        <v>50</v>
      </c>
      <c r="F104" s="98">
        <v>213.45</v>
      </c>
      <c r="G104" s="142">
        <f>ROUND(E104*F104,2)</f>
        <v>10672.5</v>
      </c>
      <c r="H104" s="135">
        <f>G104/$G$354</f>
        <v>0.013173260211011</v>
      </c>
      <c r="I104" s="180">
        <f>ROUND(F104*'Прил. 10'!$D$13,2)</f>
        <v>1716.14</v>
      </c>
      <c r="J104" s="180">
        <f>ROUND(I104*E104,2)</f>
        <v>85807</v>
      </c>
    </row>
    <row r="105" spans="1:14" customHeight="1" ht="38.25" s="12" customFormat="1">
      <c r="A105" s="2">
        <v>76</v>
      </c>
      <c r="B105" s="130" t="s">
        <v>313</v>
      </c>
      <c r="C105" s="8" t="s">
        <v>314</v>
      </c>
      <c r="D105" s="2" t="s">
        <v>315</v>
      </c>
      <c r="E105" s="178">
        <v>12</v>
      </c>
      <c r="F105" s="98">
        <v>797.59</v>
      </c>
      <c r="G105" s="142">
        <f>ROUND(E105*F105,2)</f>
        <v>9571.08</v>
      </c>
      <c r="H105" s="135">
        <f>G105/$G$354</f>
        <v>0.011813757539508</v>
      </c>
      <c r="I105" s="180">
        <f>ROUND(F105*'Прил. 10'!$D$13,2)</f>
        <v>6412.62</v>
      </c>
      <c r="J105" s="180">
        <f>ROUND(I105*E105,2)</f>
        <v>76951.44</v>
      </c>
    </row>
    <row r="106" spans="1:14" customHeight="1" ht="76.75" s="12" customFormat="1">
      <c r="A106" s="2">
        <v>77</v>
      </c>
      <c r="B106" s="130" t="s">
        <v>316</v>
      </c>
      <c r="C106" s="8" t="s">
        <v>317</v>
      </c>
      <c r="D106" s="2" t="s">
        <v>298</v>
      </c>
      <c r="E106" s="178">
        <v>8.1</v>
      </c>
      <c r="F106" s="98">
        <v>1150.24</v>
      </c>
      <c r="G106" s="142">
        <f>ROUND(E106*F106,2)</f>
        <v>9316.94</v>
      </c>
      <c r="H106" s="135">
        <f>G106/$G$354</f>
        <v>0.011500067930698</v>
      </c>
      <c r="I106" s="180">
        <f>ROUND(F106*'Прил. 10'!$D$13,2)</f>
        <v>9247.93</v>
      </c>
      <c r="J106" s="180">
        <f>ROUND(I106*E106,2)</f>
        <v>74908.23</v>
      </c>
    </row>
    <row r="107" spans="1:14" customHeight="1" ht="25.5" s="12" customFormat="1">
      <c r="A107" s="2">
        <v>78</v>
      </c>
      <c r="B107" s="130" t="s">
        <v>318</v>
      </c>
      <c r="C107" s="8" t="s">
        <v>319</v>
      </c>
      <c r="D107" s="2" t="s">
        <v>287</v>
      </c>
      <c r="E107" s="178">
        <v>0.12</v>
      </c>
      <c r="F107" s="98">
        <v>70866.82</v>
      </c>
      <c r="G107" s="142">
        <f>ROUND(E107*F107,2)</f>
        <v>8504.02</v>
      </c>
      <c r="H107" s="135">
        <f>G107/$G$354</f>
        <v>0.010496666038851</v>
      </c>
      <c r="I107" s="180">
        <f>ROUND(F107*'Прил. 10'!$D$13,2)</f>
        <v>569769.23</v>
      </c>
      <c r="J107" s="180">
        <f>ROUND(I107*E107,2)</f>
        <v>68372.31</v>
      </c>
    </row>
    <row r="108" spans="1:14" customHeight="1" ht="38.25" s="12" customFormat="1">
      <c r="A108" s="2">
        <v>79</v>
      </c>
      <c r="B108" s="130" t="s">
        <v>320</v>
      </c>
      <c r="C108" s="8" t="s">
        <v>321</v>
      </c>
      <c r="D108" s="2" t="s">
        <v>267</v>
      </c>
      <c r="E108" s="178">
        <v>13.92</v>
      </c>
      <c r="F108" s="98">
        <v>562.74</v>
      </c>
      <c r="G108" s="142">
        <f>ROUND(E108*F108,2)</f>
        <v>7833.34</v>
      </c>
      <c r="H108" s="135">
        <f>G108/$G$354</f>
        <v>0.0096688335573971</v>
      </c>
      <c r="I108" s="180">
        <f>ROUND(F108*'Прил. 10'!$D$13,2)</f>
        <v>4524.43</v>
      </c>
      <c r="J108" s="180">
        <f>ROUND(I108*E108,2)</f>
        <v>62980.07</v>
      </c>
    </row>
    <row r="109" spans="1:14" customHeight="1" ht="25.5" s="12" customFormat="1">
      <c r="A109" s="2">
        <v>80</v>
      </c>
      <c r="B109" s="130" t="s">
        <v>322</v>
      </c>
      <c r="C109" s="8" t="s">
        <v>323</v>
      </c>
      <c r="D109" s="2" t="s">
        <v>280</v>
      </c>
      <c r="E109" s="178">
        <v>1.15</v>
      </c>
      <c r="F109" s="98">
        <v>6726.18</v>
      </c>
      <c r="G109" s="142">
        <f>ROUND(E109*F109,2)</f>
        <v>7735.11</v>
      </c>
      <c r="H109" s="135">
        <f>G109/$G$354</f>
        <v>0.0095475864877763</v>
      </c>
      <c r="I109" s="180">
        <f>ROUND(F109*'Прил. 10'!$D$13,2)</f>
        <v>54078.49</v>
      </c>
      <c r="J109" s="180">
        <f>ROUND(I109*E109,2)</f>
        <v>62190.26</v>
      </c>
    </row>
    <row r="110" spans="1:14" customHeight="1" ht="63.7" s="12" customFormat="1">
      <c r="A110" s="2">
        <v>81</v>
      </c>
      <c r="B110" s="130" t="s">
        <v>324</v>
      </c>
      <c r="C110" s="8" t="s">
        <v>325</v>
      </c>
      <c r="D110" s="2" t="s">
        <v>312</v>
      </c>
      <c r="E110" s="178">
        <v>60</v>
      </c>
      <c r="F110" s="98">
        <v>120</v>
      </c>
      <c r="G110" s="142">
        <f>ROUND(E110*F110,2)</f>
        <v>7200</v>
      </c>
      <c r="H110" s="135">
        <f>G110/$G$354</f>
        <v>0.0088870905148071</v>
      </c>
      <c r="I110" s="180">
        <f>ROUND(F110*'Прил. 10'!$D$13,2)</f>
        <v>964.8</v>
      </c>
      <c r="J110" s="180">
        <f>ROUND(I110*E110,2)</f>
        <v>57888</v>
      </c>
    </row>
    <row r="111" spans="1:14" customHeight="1" ht="63.7" s="12" customFormat="1">
      <c r="A111" s="2">
        <v>82</v>
      </c>
      <c r="B111" s="130" t="s">
        <v>326</v>
      </c>
      <c r="C111" s="8" t="s">
        <v>327</v>
      </c>
      <c r="D111" s="2" t="s">
        <v>312</v>
      </c>
      <c r="E111" s="178">
        <v>18.6</v>
      </c>
      <c r="F111" s="98">
        <v>353.94</v>
      </c>
      <c r="G111" s="142">
        <f>ROUND(E111*F111,2)</f>
        <v>6583.28</v>
      </c>
      <c r="H111" s="135">
        <f>G111/$G$354</f>
        <v>0.0081258618394888</v>
      </c>
      <c r="I111" s="180">
        <f>ROUND(F111*'Прил. 10'!$D$13,2)</f>
        <v>2845.68</v>
      </c>
      <c r="J111" s="180">
        <f>ROUND(I111*E111,2)</f>
        <v>52929.65</v>
      </c>
    </row>
    <row r="112" spans="1:14" customHeight="1" ht="25.5" s="12" customFormat="1">
      <c r="A112" s="2">
        <v>83</v>
      </c>
      <c r="B112" s="130" t="s">
        <v>328</v>
      </c>
      <c r="C112" s="8" t="s">
        <v>329</v>
      </c>
      <c r="D112" s="2" t="s">
        <v>280</v>
      </c>
      <c r="E112" s="178">
        <v>0.5537</v>
      </c>
      <c r="F112" s="98">
        <v>10196.65</v>
      </c>
      <c r="G112" s="142">
        <f>ROUND(E112*F112,2)</f>
        <v>5645.89</v>
      </c>
      <c r="H112" s="135">
        <f>G112/$G$354</f>
        <v>0.0069688243703672</v>
      </c>
      <c r="I112" s="180">
        <f>ROUND(F112*'Прил. 10'!$D$13,2)</f>
        <v>81981.07</v>
      </c>
      <c r="J112" s="180">
        <f>ROUND(I112*E112,2)</f>
        <v>45392.92</v>
      </c>
    </row>
    <row r="113" spans="1:14" customHeight="1" ht="25.5" s="12" customFormat="1">
      <c r="A113" s="2">
        <v>84</v>
      </c>
      <c r="B113" s="130" t="s">
        <v>330</v>
      </c>
      <c r="C113" s="8" t="s">
        <v>331</v>
      </c>
      <c r="D113" s="2" t="s">
        <v>267</v>
      </c>
      <c r="E113" s="178">
        <v>2.434783</v>
      </c>
      <c r="F113" s="98">
        <v>2318.82</v>
      </c>
      <c r="G113" s="142">
        <f>ROUND(E113*F113,2)</f>
        <v>5645.82</v>
      </c>
      <c r="H113" s="135">
        <f>G113/$G$354</f>
        <v>0.0069687379680983</v>
      </c>
      <c r="I113" s="180">
        <f>ROUND(F113*'Прил. 10'!$D$13,2)</f>
        <v>18643.31</v>
      </c>
      <c r="J113" s="180">
        <f>ROUND(I113*E113,2)</f>
        <v>45392.41</v>
      </c>
    </row>
    <row r="114" spans="1:14" customHeight="1" ht="63.7" s="12" customFormat="1">
      <c r="A114" s="2">
        <v>85</v>
      </c>
      <c r="B114" s="130" t="s">
        <v>332</v>
      </c>
      <c r="C114" s="8" t="s">
        <v>333</v>
      </c>
      <c r="D114" s="2" t="s">
        <v>270</v>
      </c>
      <c r="E114" s="178">
        <v>9</v>
      </c>
      <c r="F114" s="98">
        <v>609.27</v>
      </c>
      <c r="G114" s="142">
        <f>ROUND(E114*F114,2)</f>
        <v>5483.43</v>
      </c>
      <c r="H114" s="135">
        <f>G114/$G$354</f>
        <v>0.0067682970474456</v>
      </c>
      <c r="I114" s="180">
        <f>ROUND(F114*'Прил. 10'!$D$13,2)</f>
        <v>4898.53</v>
      </c>
      <c r="J114" s="180">
        <f>ROUND(I114*E114,2)</f>
        <v>44086.77</v>
      </c>
    </row>
    <row r="115" spans="1:14" customHeight="1" ht="38.25" s="12" customFormat="1">
      <c r="A115" s="2">
        <v>86</v>
      </c>
      <c r="B115" s="130" t="s">
        <v>334</v>
      </c>
      <c r="C115" s="8" t="s">
        <v>335</v>
      </c>
      <c r="D115" s="2" t="s">
        <v>280</v>
      </c>
      <c r="E115" s="178">
        <v>0.9639</v>
      </c>
      <c r="F115" s="98">
        <v>5586.97</v>
      </c>
      <c r="G115" s="142">
        <f>ROUND(E115*F115,2)</f>
        <v>5385.28</v>
      </c>
      <c r="H115" s="135">
        <f>G115/$G$354</f>
        <v>0.006647148723275</v>
      </c>
      <c r="I115" s="180">
        <f>ROUND(F115*'Прил. 10'!$D$13,2)</f>
        <v>44919.24</v>
      </c>
      <c r="J115" s="180">
        <f>ROUND(I115*E115,2)</f>
        <v>43297.66</v>
      </c>
    </row>
    <row r="116" spans="1:14" customHeight="1" ht="38.25" s="12" customFormat="1">
      <c r="A116" s="2">
        <v>87</v>
      </c>
      <c r="B116" s="130" t="s">
        <v>336</v>
      </c>
      <c r="C116" s="8" t="s">
        <v>337</v>
      </c>
      <c r="D116" s="2" t="s">
        <v>298</v>
      </c>
      <c r="E116" s="178">
        <v>73.44</v>
      </c>
      <c r="F116" s="98">
        <v>67.8</v>
      </c>
      <c r="G116" s="142">
        <f>ROUND(E116*F116,2)</f>
        <v>4979.23</v>
      </c>
      <c r="H116" s="135">
        <f>G116/$G$354</f>
        <v>0.0061459538477837</v>
      </c>
      <c r="I116" s="180">
        <f>ROUND(F116*'Прил. 10'!$D$13,2)</f>
        <v>545.11</v>
      </c>
      <c r="J116" s="180">
        <f>ROUND(I116*E116,2)</f>
        <v>40032.88</v>
      </c>
    </row>
    <row r="117" spans="1:14" customHeight="1" ht="38.25" s="12" customFormat="1">
      <c r="A117" s="2">
        <v>88</v>
      </c>
      <c r="B117" s="130" t="s">
        <v>338</v>
      </c>
      <c r="C117" s="8" t="s">
        <v>339</v>
      </c>
      <c r="D117" s="2" t="s">
        <v>280</v>
      </c>
      <c r="E117" s="178">
        <v>0.8073</v>
      </c>
      <c r="F117" s="98">
        <v>5838.61</v>
      </c>
      <c r="G117" s="142">
        <f>ROUND(E117*F117,2)</f>
        <v>4713.51</v>
      </c>
      <c r="H117" s="135">
        <f>G117/$G$354</f>
        <v>0.0058179708350623</v>
      </c>
      <c r="I117" s="180">
        <f>ROUND(F117*'Прил. 10'!$D$13,2)</f>
        <v>46942.42</v>
      </c>
      <c r="J117" s="180">
        <f>ROUND(I117*E117,2)</f>
        <v>37896.62</v>
      </c>
    </row>
    <row r="118" spans="1:14" customHeight="1" ht="38.25" s="12" customFormat="1">
      <c r="A118" s="2">
        <v>89</v>
      </c>
      <c r="B118" s="130" t="s">
        <v>340</v>
      </c>
      <c r="C118" s="8" t="s">
        <v>341</v>
      </c>
      <c r="D118" s="2" t="s">
        <v>315</v>
      </c>
      <c r="E118" s="178">
        <v>16</v>
      </c>
      <c r="F118" s="98">
        <v>286.15</v>
      </c>
      <c r="G118" s="142">
        <f>ROUND(E118*F118,2)</f>
        <v>4578.4</v>
      </c>
      <c r="H118" s="135">
        <f>G118/$G$354</f>
        <v>0.0056512021129156</v>
      </c>
      <c r="I118" s="180">
        <f>ROUND(F118*'Прил. 10'!$D$13,2)</f>
        <v>2300.65</v>
      </c>
      <c r="J118" s="180">
        <f>ROUND(I118*E118,2)</f>
        <v>36810.4</v>
      </c>
    </row>
    <row r="119" spans="1:14" customHeight="1" ht="14.3" s="12" customFormat="1">
      <c r="A119" s="2">
        <v>90</v>
      </c>
      <c r="B119" s="130" t="s">
        <v>342</v>
      </c>
      <c r="C119" s="8" t="s">
        <v>343</v>
      </c>
      <c r="D119" s="2" t="s">
        <v>312</v>
      </c>
      <c r="E119" s="178">
        <v>696</v>
      </c>
      <c r="F119" s="98">
        <v>6.42</v>
      </c>
      <c r="G119" s="142">
        <f>ROUND(E119*F119,2)</f>
        <v>4468.32</v>
      </c>
      <c r="H119" s="135">
        <f>G119/$G$354</f>
        <v>0.0055153283734893</v>
      </c>
      <c r="I119" s="180">
        <f>ROUND(F119*'Прил. 10'!$D$13,2)</f>
        <v>51.62</v>
      </c>
      <c r="J119" s="180">
        <f>ROUND(I119*E119,2)</f>
        <v>35927.52</v>
      </c>
    </row>
    <row r="120" spans="1:14" customHeight="1" ht="38.25" s="12" customFormat="1">
      <c r="A120" s="2">
        <v>91</v>
      </c>
      <c r="B120" s="130" t="s">
        <v>344</v>
      </c>
      <c r="C120" s="8" t="s">
        <v>345</v>
      </c>
      <c r="D120" s="2" t="s">
        <v>270</v>
      </c>
      <c r="E120" s="178">
        <v>1</v>
      </c>
      <c r="F120" s="98">
        <v>4293.11</v>
      </c>
      <c r="G120" s="142">
        <f>ROUND(E120*F120,2)</f>
        <v>4293.11</v>
      </c>
      <c r="H120" s="135">
        <f>G120/$G$354</f>
        <v>0.0052990634944477</v>
      </c>
      <c r="I120" s="180">
        <f>ROUND(F120*'Прил. 10'!$D$13,2)</f>
        <v>34516.6</v>
      </c>
      <c r="J120" s="180">
        <f>ROUND(I120*E120,2)</f>
        <v>34516.6</v>
      </c>
    </row>
    <row r="121" spans="1:14" customHeight="1" ht="14.3" s="12" customFormat="1">
      <c r="A121" s="2">
        <v>92</v>
      </c>
      <c r="B121" s="130" t="s">
        <v>346</v>
      </c>
      <c r="C121" s="8" t="s">
        <v>347</v>
      </c>
      <c r="D121" s="2" t="s">
        <v>298</v>
      </c>
      <c r="E121" s="178">
        <v>440.4</v>
      </c>
      <c r="F121" s="98">
        <v>8.6</v>
      </c>
      <c r="G121" s="142">
        <f>ROUND(E121*F121,2)</f>
        <v>3787.44</v>
      </c>
      <c r="H121" s="135">
        <f>G121/$G$354</f>
        <v>0.004674905847139</v>
      </c>
      <c r="I121" s="180">
        <f>ROUND(F121*'Прил. 10'!$D$13,2)</f>
        <v>69.14</v>
      </c>
      <c r="J121" s="180">
        <f>ROUND(I121*E121,2)</f>
        <v>30449.26</v>
      </c>
    </row>
    <row r="122" spans="1:14" customHeight="1" ht="25.5" s="12" customFormat="1">
      <c r="A122" s="2">
        <v>93</v>
      </c>
      <c r="B122" s="130" t="s">
        <v>348</v>
      </c>
      <c r="C122" s="8" t="s">
        <v>349</v>
      </c>
      <c r="D122" s="2" t="s">
        <v>305</v>
      </c>
      <c r="E122" s="178">
        <v>12.18</v>
      </c>
      <c r="F122" s="98">
        <v>308.3</v>
      </c>
      <c r="G122" s="142">
        <f>ROUND(E122*F122,2)</f>
        <v>3755.09</v>
      </c>
      <c r="H122" s="135">
        <f>G122/$G$354</f>
        <v>0.0046349756557287</v>
      </c>
      <c r="I122" s="180">
        <f>ROUND(F122*'Прил. 10'!$D$13,2)</f>
        <v>2478.73</v>
      </c>
      <c r="J122" s="180">
        <f>ROUND(I122*E122,2)</f>
        <v>30190.93</v>
      </c>
    </row>
    <row r="123" spans="1:14" customHeight="1" ht="14.3" s="12" customFormat="1">
      <c r="A123" s="2">
        <v>94</v>
      </c>
      <c r="B123" s="2" t="s">
        <v>350</v>
      </c>
      <c r="C123" s="8" t="s">
        <v>351</v>
      </c>
      <c r="D123" s="2" t="s">
        <v>287</v>
      </c>
      <c r="E123" s="213">
        <v>1.1</v>
      </c>
      <c r="F123" s="27">
        <v>3363.26</v>
      </c>
      <c r="G123" s="142">
        <f>ROUND(E123*F123,2)</f>
        <v>3699.59</v>
      </c>
      <c r="H123" s="135">
        <f>G123/$G$354</f>
        <v>0.0045664709996771</v>
      </c>
      <c r="I123" s="180">
        <f>ROUND(F123*'Прил. 10'!$D$13,2)</f>
        <v>27040.61</v>
      </c>
      <c r="J123" s="180">
        <f>ROUND(I123*E123,2)</f>
        <v>29744.67</v>
      </c>
    </row>
    <row r="124" spans="1:14" customHeight="1" ht="14.3" s="12" customFormat="1">
      <c r="A124" s="2">
        <v>95</v>
      </c>
      <c r="B124" s="130" t="s">
        <v>352</v>
      </c>
      <c r="C124" s="8" t="s">
        <v>353</v>
      </c>
      <c r="D124" s="2" t="s">
        <v>280</v>
      </c>
      <c r="E124" s="178">
        <v>0.5802</v>
      </c>
      <c r="F124" s="98">
        <v>6260.18</v>
      </c>
      <c r="G124" s="142">
        <f>ROUND(E124*F124,2)</f>
        <v>3632.16</v>
      </c>
      <c r="H124" s="135">
        <f>G124/$G$354</f>
        <v>0.0044832409283697</v>
      </c>
      <c r="I124" s="180">
        <f>ROUND(F124*'Прил. 10'!$D$13,2)</f>
        <v>50331.85</v>
      </c>
      <c r="J124" s="180">
        <f>ROUND(I124*E124,2)</f>
        <v>29202.54</v>
      </c>
    </row>
    <row r="125" spans="1:14" customHeight="1" ht="50.95" s="12" customFormat="1">
      <c r="A125" s="2">
        <v>96</v>
      </c>
      <c r="B125" s="130" t="s">
        <v>354</v>
      </c>
      <c r="C125" s="8" t="s">
        <v>355</v>
      </c>
      <c r="D125" s="2" t="s">
        <v>312</v>
      </c>
      <c r="E125" s="178">
        <v>4</v>
      </c>
      <c r="F125" s="98">
        <v>905.71</v>
      </c>
      <c r="G125" s="142">
        <f>ROUND(E125*F125,2)</f>
        <v>3622.84</v>
      </c>
      <c r="H125" s="135">
        <f>G125/$G$354</f>
        <v>0.0044717370834255</v>
      </c>
      <c r="I125" s="180">
        <f>ROUND(F125*'Прил. 10'!$D$13,2)</f>
        <v>7281.91</v>
      </c>
      <c r="J125" s="180">
        <f>ROUND(I125*E125,2)</f>
        <v>29127.64</v>
      </c>
    </row>
    <row r="126" spans="1:14" customHeight="1" ht="14.3" s="12" customFormat="1">
      <c r="A126" s="2">
        <v>97</v>
      </c>
      <c r="B126" s="130" t="s">
        <v>356</v>
      </c>
      <c r="C126" s="8" t="s">
        <v>357</v>
      </c>
      <c r="D126" s="2" t="s">
        <v>280</v>
      </c>
      <c r="E126" s="178">
        <v>1.0215</v>
      </c>
      <c r="F126" s="98">
        <v>3390</v>
      </c>
      <c r="G126" s="142">
        <f>ROUND(E126*F126,2)</f>
        <v>3462.89</v>
      </c>
      <c r="H126" s="135">
        <f>G126/$G$354</f>
        <v>0.0042743078990028</v>
      </c>
      <c r="I126" s="180">
        <f>ROUND(F126*'Прил. 10'!$D$13,2)</f>
        <v>27255.6</v>
      </c>
      <c r="J126" s="180">
        <f>ROUND(I126*E126,2)</f>
        <v>27841.6</v>
      </c>
    </row>
    <row r="127" spans="1:14" customHeight="1" ht="50.95" s="12" customFormat="1">
      <c r="A127" s="2">
        <v>98</v>
      </c>
      <c r="B127" s="130" t="s">
        <v>358</v>
      </c>
      <c r="C127" s="8" t="s">
        <v>359</v>
      </c>
      <c r="D127" s="2" t="s">
        <v>270</v>
      </c>
      <c r="E127" s="178">
        <v>22</v>
      </c>
      <c r="F127" s="98">
        <v>150.3</v>
      </c>
      <c r="G127" s="142">
        <f>ROUND(E127*F127,2)</f>
        <v>3306.6</v>
      </c>
      <c r="H127" s="135">
        <f>G127/$G$354</f>
        <v>0.0040813963189251</v>
      </c>
      <c r="I127" s="180">
        <f>ROUND(F127*'Прил. 10'!$D$13,2)</f>
        <v>1208.41</v>
      </c>
      <c r="J127" s="180">
        <f>ROUND(I127*E127,2)</f>
        <v>26585.02</v>
      </c>
    </row>
    <row r="128" spans="1:14" customHeight="1" ht="63.7" s="12" customFormat="1">
      <c r="A128" s="2">
        <v>99</v>
      </c>
      <c r="B128" s="130" t="s">
        <v>360</v>
      </c>
      <c r="C128" s="8" t="s">
        <v>361</v>
      </c>
      <c r="D128" s="2" t="s">
        <v>312</v>
      </c>
      <c r="E128" s="178">
        <v>35</v>
      </c>
      <c r="F128" s="98">
        <v>92.77</v>
      </c>
      <c r="G128" s="142">
        <f>ROUND(E128*F128,2)</f>
        <v>3246.95</v>
      </c>
      <c r="H128" s="135">
        <f>G128/$G$354</f>
        <v>0.0040077692426462</v>
      </c>
      <c r="I128" s="180">
        <f>ROUND(F128*'Прил. 10'!$D$13,2)</f>
        <v>745.87</v>
      </c>
      <c r="J128" s="180">
        <f>ROUND(I128*E128,2)</f>
        <v>26105.45</v>
      </c>
    </row>
    <row r="129" spans="1:14" customHeight="1" ht="25.5" s="12" customFormat="1">
      <c r="A129" s="2">
        <v>100</v>
      </c>
      <c r="B129" s="130" t="s">
        <v>362</v>
      </c>
      <c r="C129" s="8" t="s">
        <v>363</v>
      </c>
      <c r="D129" s="2" t="s">
        <v>280</v>
      </c>
      <c r="E129" s="178">
        <v>0.2679</v>
      </c>
      <c r="F129" s="98">
        <v>11200</v>
      </c>
      <c r="G129" s="142">
        <f>ROUND(E129*F129,2)</f>
        <v>3000.48</v>
      </c>
      <c r="H129" s="135">
        <f>G129/$G$354</f>
        <v>0.0037035468538706</v>
      </c>
      <c r="I129" s="180">
        <f>ROUND(F129*'Прил. 10'!$D$13,2)</f>
        <v>90048</v>
      </c>
      <c r="J129" s="180">
        <f>ROUND(I129*E129,2)</f>
        <v>24123.86</v>
      </c>
    </row>
    <row r="130" spans="1:14" customHeight="1" ht="14.3" s="12" customFormat="1">
      <c r="A130" s="179"/>
      <c r="B130" s="198"/>
      <c r="C130" s="190" t="s">
        <v>873</v>
      </c>
      <c r="D130" s="179"/>
      <c r="E130" s="197"/>
      <c r="F130" s="199"/>
      <c r="G130" s="142">
        <f>SUM(G85:G129)</f>
        <v>689265.27</v>
      </c>
      <c r="H130" s="186">
        <f>G130/$G$354</f>
        <v>0.85077261711152</v>
      </c>
      <c r="I130" s="200"/>
      <c r="J130" s="142">
        <f>SUM(J85:J129)</f>
        <v>5541690.22</v>
      </c>
    </row>
    <row r="131" spans="1:14" customHeight="1" ht="38.25" outlineLevel="1" s="12" customFormat="1">
      <c r="A131" s="179">
        <v>101</v>
      </c>
      <c r="B131" s="130" t="s">
        <v>364</v>
      </c>
      <c r="C131" s="8" t="s">
        <v>365</v>
      </c>
      <c r="D131" s="2" t="s">
        <v>280</v>
      </c>
      <c r="E131" s="178">
        <v>3.876</v>
      </c>
      <c r="F131" s="98">
        <v>772.12</v>
      </c>
      <c r="G131" s="142">
        <f>ROUND(E131*F131,2)</f>
        <v>2992.74</v>
      </c>
      <c r="H131" s="135">
        <f>G131/$G$354</f>
        <v>0.0036939932315672</v>
      </c>
      <c r="I131" s="180">
        <f>ROUND(F131*'Прил. 10'!$D$13,2)</f>
        <v>6207.84</v>
      </c>
      <c r="J131" s="180">
        <f>ROUND(I131*E131,2)</f>
        <v>24061.59</v>
      </c>
    </row>
    <row r="132" spans="1:14" customHeight="1" ht="25.5" outlineLevel="1" s="12" customFormat="1">
      <c r="A132" s="179">
        <v>102</v>
      </c>
      <c r="B132" s="130" t="s">
        <v>366</v>
      </c>
      <c r="C132" s="8" t="s">
        <v>367</v>
      </c>
      <c r="D132" s="2" t="s">
        <v>267</v>
      </c>
      <c r="E132" s="178">
        <v>6.9975</v>
      </c>
      <c r="F132" s="98">
        <v>424.88</v>
      </c>
      <c r="G132" s="142">
        <f>ROUND(E132*F132,2)</f>
        <v>2973.1</v>
      </c>
      <c r="H132" s="135">
        <f>G132/$G$354</f>
        <v>0.0036697512235518</v>
      </c>
      <c r="I132" s="180">
        <f>ROUND(F132*'Прил. 10'!$D$13,2)</f>
        <v>3416.04</v>
      </c>
      <c r="J132" s="180">
        <f>ROUND(I132*E132,2)</f>
        <v>23903.74</v>
      </c>
    </row>
    <row r="133" spans="1:14" customHeight="1" ht="25.5" outlineLevel="1" s="12" customFormat="1">
      <c r="A133" s="179">
        <v>103</v>
      </c>
      <c r="B133" s="130" t="s">
        <v>368</v>
      </c>
      <c r="C133" s="8" t="s">
        <v>369</v>
      </c>
      <c r="D133" s="2" t="s">
        <v>267</v>
      </c>
      <c r="E133" s="178">
        <v>4.08</v>
      </c>
      <c r="F133" s="98">
        <v>695.01</v>
      </c>
      <c r="G133" s="142">
        <f>ROUND(E133*F133,2)</f>
        <v>2835.64</v>
      </c>
      <c r="H133" s="135">
        <f>G133/$G$354</f>
        <v>0.0035000818538066</v>
      </c>
      <c r="I133" s="180">
        <f>ROUND(F133*'Прил. 10'!$D$13,2)</f>
        <v>5587.88</v>
      </c>
      <c r="J133" s="180">
        <f>ROUND(I133*E133,2)</f>
        <v>22798.55</v>
      </c>
    </row>
    <row r="134" spans="1:14" customHeight="1" ht="38.25" outlineLevel="1" s="12" customFormat="1">
      <c r="A134" s="179">
        <v>104</v>
      </c>
      <c r="B134" s="130" t="s">
        <v>370</v>
      </c>
      <c r="C134" s="8" t="s">
        <v>371</v>
      </c>
      <c r="D134" s="2" t="s">
        <v>280</v>
      </c>
      <c r="E134" s="178">
        <v>0.2</v>
      </c>
      <c r="F134" s="98">
        <v>13560</v>
      </c>
      <c r="G134" s="142">
        <f>ROUND(E134*F134,2)</f>
        <v>2712</v>
      </c>
      <c r="H134" s="135">
        <f>G134/$G$354</f>
        <v>0.0033474707605773</v>
      </c>
      <c r="I134" s="180">
        <f>ROUND(F134*'Прил. 10'!$D$13,2)</f>
        <v>109022.4</v>
      </c>
      <c r="J134" s="180">
        <f>ROUND(I134*E134,2)</f>
        <v>21804.48</v>
      </c>
    </row>
    <row r="135" spans="1:14" customHeight="1" ht="38.25" outlineLevel="1" s="12" customFormat="1">
      <c r="A135" s="179">
        <v>105</v>
      </c>
      <c r="B135" s="130" t="s">
        <v>372</v>
      </c>
      <c r="C135" s="8" t="s">
        <v>373</v>
      </c>
      <c r="D135" s="2" t="s">
        <v>267</v>
      </c>
      <c r="E135" s="178">
        <v>11.02</v>
      </c>
      <c r="F135" s="98">
        <v>237.14</v>
      </c>
      <c r="G135" s="142">
        <f>ROUND(E135*F135,2)</f>
        <v>2613.28</v>
      </c>
      <c r="H135" s="135">
        <f>G135/$G$354</f>
        <v>0.0032256188750743</v>
      </c>
      <c r="I135" s="180">
        <f>ROUND(F135*'Прил. 10'!$D$13,2)</f>
        <v>1906.61</v>
      </c>
      <c r="J135" s="180">
        <f>ROUND(I135*E135,2)</f>
        <v>21010.84</v>
      </c>
    </row>
    <row r="136" spans="1:14" customHeight="1" ht="38.25" outlineLevel="1" s="12" customFormat="1">
      <c r="A136" s="179">
        <v>106</v>
      </c>
      <c r="B136" s="130" t="s">
        <v>374</v>
      </c>
      <c r="C136" s="8" t="s">
        <v>375</v>
      </c>
      <c r="D136" s="2" t="s">
        <v>280</v>
      </c>
      <c r="E136" s="178">
        <v>0.40194</v>
      </c>
      <c r="F136" s="98">
        <v>6419.17</v>
      </c>
      <c r="G136" s="142">
        <f>ROUND(E136*F136,2)</f>
        <v>2580.12</v>
      </c>
      <c r="H136" s="135">
        <f>G136/$G$354</f>
        <v>0.0031846888859811</v>
      </c>
      <c r="I136" s="180">
        <f>ROUND(F136*'Прил. 10'!$D$13,2)</f>
        <v>51610.13</v>
      </c>
      <c r="J136" s="180">
        <f>ROUND(I136*E136,2)</f>
        <v>20744.18</v>
      </c>
    </row>
    <row r="137" spans="1:14" customHeight="1" ht="38.25" outlineLevel="1" s="12" customFormat="1">
      <c r="A137" s="179">
        <v>107</v>
      </c>
      <c r="B137" s="130" t="s">
        <v>376</v>
      </c>
      <c r="C137" s="8" t="s">
        <v>377</v>
      </c>
      <c r="D137" s="2" t="s">
        <v>267</v>
      </c>
      <c r="E137" s="178">
        <v>4.488</v>
      </c>
      <c r="F137" s="98">
        <v>573.95</v>
      </c>
      <c r="G137" s="142">
        <f>ROUND(E137*F137,2)</f>
        <v>2575.89</v>
      </c>
      <c r="H137" s="135">
        <f>G137/$G$354</f>
        <v>0.0031794677203037</v>
      </c>
      <c r="I137" s="180">
        <f>ROUND(F137*'Прил. 10'!$D$13,2)</f>
        <v>4614.56</v>
      </c>
      <c r="J137" s="180">
        <f>ROUND(I137*E137,2)</f>
        <v>20710.15</v>
      </c>
    </row>
    <row r="138" spans="1:14" customHeight="1" ht="14.3" outlineLevel="1" s="12" customFormat="1">
      <c r="A138" s="179">
        <v>108</v>
      </c>
      <c r="B138" s="130" t="s">
        <v>378</v>
      </c>
      <c r="C138" s="8" t="s">
        <v>379</v>
      </c>
      <c r="D138" s="2" t="s">
        <v>298</v>
      </c>
      <c r="E138" s="178">
        <v>83.52</v>
      </c>
      <c r="F138" s="98">
        <v>30.62</v>
      </c>
      <c r="G138" s="142">
        <f>ROUND(E138*F138,2)</f>
        <v>2557.38</v>
      </c>
      <c r="H138" s="135">
        <f>G138/$G$354</f>
        <v>0.0031566204917718</v>
      </c>
      <c r="I138" s="180">
        <f>ROUND(F138*'Прил. 10'!$D$13,2)</f>
        <v>246.18</v>
      </c>
      <c r="J138" s="180">
        <f>ROUND(I138*E138,2)</f>
        <v>20560.95</v>
      </c>
    </row>
    <row r="139" spans="1:14" customHeight="1" ht="14.3" outlineLevel="1" s="12" customFormat="1">
      <c r="A139" s="179">
        <v>109</v>
      </c>
      <c r="B139" s="130" t="s">
        <v>380</v>
      </c>
      <c r="C139" s="8" t="s">
        <v>381</v>
      </c>
      <c r="D139" s="2" t="s">
        <v>280</v>
      </c>
      <c r="E139" s="178">
        <v>0.5254</v>
      </c>
      <c r="F139" s="98">
        <v>4800</v>
      </c>
      <c r="G139" s="142">
        <f>ROUND(E139*F139,2)</f>
        <v>2521.92</v>
      </c>
      <c r="H139" s="135">
        <f>G139/$G$354</f>
        <v>0.0031128515709864</v>
      </c>
      <c r="I139" s="180">
        <f>ROUND(F139*'Прил. 10'!$D$13,2)</f>
        <v>38592</v>
      </c>
      <c r="J139" s="180">
        <f>ROUND(I139*E139,2)</f>
        <v>20276.24</v>
      </c>
    </row>
    <row r="140" spans="1:14" customHeight="1" ht="25.5" outlineLevel="1" s="12" customFormat="1">
      <c r="A140" s="179">
        <v>110</v>
      </c>
      <c r="B140" s="130" t="s">
        <v>382</v>
      </c>
      <c r="C140" s="8" t="s">
        <v>383</v>
      </c>
      <c r="D140" s="2" t="s">
        <v>249</v>
      </c>
      <c r="E140" s="178">
        <v>1</v>
      </c>
      <c r="F140" s="98">
        <v>2473.54</v>
      </c>
      <c r="G140" s="142">
        <f>ROUND(E140*F140,2)</f>
        <v>2473.54</v>
      </c>
      <c r="H140" s="135">
        <f>G140/$G$354</f>
        <v>0.0030531352599994</v>
      </c>
      <c r="I140" s="180">
        <f>ROUND(F140*'Прил. 10'!$D$13,2)</f>
        <v>19887.26</v>
      </c>
      <c r="J140" s="180">
        <f>ROUND(I140*E140,2)</f>
        <v>19887.26</v>
      </c>
    </row>
    <row r="141" spans="1:14" customHeight="1" ht="25.5" outlineLevel="1" s="12" customFormat="1">
      <c r="A141" s="179">
        <v>111</v>
      </c>
      <c r="B141" s="130" t="s">
        <v>384</v>
      </c>
      <c r="C141" s="8" t="s">
        <v>385</v>
      </c>
      <c r="D141" s="2" t="s">
        <v>267</v>
      </c>
      <c r="E141" s="178">
        <v>4.712</v>
      </c>
      <c r="F141" s="98">
        <v>517.91</v>
      </c>
      <c r="G141" s="142">
        <f>ROUND(E141*F141,2)</f>
        <v>2440.39</v>
      </c>
      <c r="H141" s="135">
        <f>G141/$G$354</f>
        <v>0.0030122176140875</v>
      </c>
      <c r="I141" s="180">
        <f>ROUND(F141*'Прил. 10'!$D$13,2)</f>
        <v>4164</v>
      </c>
      <c r="J141" s="180">
        <f>ROUND(I141*E141,2)</f>
        <v>19620.77</v>
      </c>
    </row>
    <row r="142" spans="1:14" customHeight="1" ht="14.3" outlineLevel="1" s="12" customFormat="1">
      <c r="A142" s="179">
        <v>112</v>
      </c>
      <c r="B142" s="2" t="s">
        <v>386</v>
      </c>
      <c r="C142" s="8" t="s">
        <v>387</v>
      </c>
      <c r="D142" s="2" t="s">
        <v>287</v>
      </c>
      <c r="E142" s="213">
        <v>1.3</v>
      </c>
      <c r="F142" s="27">
        <v>1821.22</v>
      </c>
      <c r="G142" s="142">
        <f>ROUND(E142*F142,2)</f>
        <v>2367.59</v>
      </c>
      <c r="H142" s="135">
        <f>G142/$G$354</f>
        <v>0.0029223592544378</v>
      </c>
      <c r="I142" s="180">
        <f>ROUND(F142*'Прил. 10'!$D$13,2)</f>
        <v>14642.61</v>
      </c>
      <c r="J142" s="180">
        <f>ROUND(I142*E142,2)</f>
        <v>19035.39</v>
      </c>
    </row>
    <row r="143" spans="1:14" customHeight="1" ht="38.25" outlineLevel="1" s="12" customFormat="1">
      <c r="A143" s="179">
        <v>113</v>
      </c>
      <c r="B143" s="130" t="s">
        <v>388</v>
      </c>
      <c r="C143" s="8" t="s">
        <v>389</v>
      </c>
      <c r="D143" s="2" t="s">
        <v>312</v>
      </c>
      <c r="E143" s="178">
        <v>44</v>
      </c>
      <c r="F143" s="98">
        <v>52.75</v>
      </c>
      <c r="G143" s="142">
        <f>ROUND(E143*F143,2)</f>
        <v>2321</v>
      </c>
      <c r="H143" s="135">
        <f>G143/$G$354</f>
        <v>0.0028648523728982</v>
      </c>
      <c r="I143" s="180">
        <f>ROUND(F143*'Прил. 10'!$D$13,2)</f>
        <v>424.11</v>
      </c>
      <c r="J143" s="180">
        <f>ROUND(I143*E143,2)</f>
        <v>18660.84</v>
      </c>
    </row>
    <row r="144" spans="1:14" customHeight="1" ht="25.5" outlineLevel="1" s="12" customFormat="1">
      <c r="A144" s="179">
        <v>114</v>
      </c>
      <c r="B144" s="130" t="s">
        <v>390</v>
      </c>
      <c r="C144" s="8" t="s">
        <v>391</v>
      </c>
      <c r="D144" s="2" t="s">
        <v>267</v>
      </c>
      <c r="E144" s="178">
        <v>5.005</v>
      </c>
      <c r="F144" s="98">
        <v>463.3</v>
      </c>
      <c r="G144" s="142">
        <f>ROUND(E144*F144,2)</f>
        <v>2318.82</v>
      </c>
      <c r="H144" s="135">
        <f>G144/$G$354</f>
        <v>0.0028621615593812</v>
      </c>
      <c r="I144" s="180">
        <f>ROUND(F144*'Прил. 10'!$D$13,2)</f>
        <v>3724.93</v>
      </c>
      <c r="J144" s="180">
        <f>ROUND(I144*E144,2)</f>
        <v>18643.27</v>
      </c>
    </row>
    <row r="145" spans="1:14" customHeight="1" ht="25.5" outlineLevel="1" s="12" customFormat="1">
      <c r="A145" s="179">
        <v>115</v>
      </c>
      <c r="B145" s="130" t="s">
        <v>392</v>
      </c>
      <c r="C145" s="8" t="s">
        <v>393</v>
      </c>
      <c r="D145" s="2" t="s">
        <v>394</v>
      </c>
      <c r="E145" s="178">
        <v>3</v>
      </c>
      <c r="F145" s="98">
        <v>751.05</v>
      </c>
      <c r="G145" s="142">
        <f>ROUND(E145*F145,2)</f>
        <v>2253.15</v>
      </c>
      <c r="H145" s="135">
        <f>G145/$G$354</f>
        <v>0.0027811038879774</v>
      </c>
      <c r="I145" s="180">
        <f>ROUND(F145*'Прил. 10'!$D$13,2)</f>
        <v>6038.44</v>
      </c>
      <c r="J145" s="180">
        <f>ROUND(I145*E145,2)</f>
        <v>18115.32</v>
      </c>
    </row>
    <row r="146" spans="1:14" customHeight="1" ht="38.25" outlineLevel="1" s="12" customFormat="1">
      <c r="A146" s="179">
        <v>116</v>
      </c>
      <c r="B146" s="130" t="s">
        <v>395</v>
      </c>
      <c r="C146" s="8" t="s">
        <v>396</v>
      </c>
      <c r="D146" s="2" t="s">
        <v>280</v>
      </c>
      <c r="E146" s="178">
        <v>0.27224</v>
      </c>
      <c r="F146" s="98">
        <v>7997.23</v>
      </c>
      <c r="G146" s="142">
        <f>ROUND(E146*F146,2)</f>
        <v>2177.17</v>
      </c>
      <c r="H146" s="135">
        <f>G146/$G$354</f>
        <v>0.0026873203966837</v>
      </c>
      <c r="I146" s="180">
        <f>ROUND(F146*'Прил. 10'!$D$13,2)</f>
        <v>64297.73</v>
      </c>
      <c r="J146" s="180">
        <f>ROUND(I146*E146,2)</f>
        <v>17504.41</v>
      </c>
    </row>
    <row r="147" spans="1:14" customHeight="1" ht="14.3" outlineLevel="1" s="12" customFormat="1">
      <c r="A147" s="179">
        <v>117</v>
      </c>
      <c r="B147" s="130" t="s">
        <v>397</v>
      </c>
      <c r="C147" s="8" t="s">
        <v>398</v>
      </c>
      <c r="D147" s="2" t="s">
        <v>399</v>
      </c>
      <c r="E147" s="178">
        <v>167.2</v>
      </c>
      <c r="F147" s="98">
        <v>12.6</v>
      </c>
      <c r="G147" s="142">
        <f>ROUND(E147*F147,2)</f>
        <v>2106.72</v>
      </c>
      <c r="H147" s="135">
        <f>G147/$G$354</f>
        <v>0.0026003626846325</v>
      </c>
      <c r="I147" s="180">
        <f>ROUND(F147*'Прил. 10'!$D$13,2)</f>
        <v>101.3</v>
      </c>
      <c r="J147" s="180">
        <f>ROUND(I147*E147,2)</f>
        <v>16937.36</v>
      </c>
    </row>
    <row r="148" spans="1:14" customHeight="1" ht="63.7" outlineLevel="1" s="12" customFormat="1">
      <c r="A148" s="179">
        <v>118</v>
      </c>
      <c r="B148" s="130" t="s">
        <v>400</v>
      </c>
      <c r="C148" s="8" t="s">
        <v>401</v>
      </c>
      <c r="D148" s="2" t="s">
        <v>312</v>
      </c>
      <c r="E148" s="178">
        <v>3.8</v>
      </c>
      <c r="F148" s="98">
        <v>542.3</v>
      </c>
      <c r="G148" s="142">
        <f>ROUND(E148*F148,2)</f>
        <v>2060.74</v>
      </c>
      <c r="H148" s="135">
        <f>G148/$G$354</f>
        <v>0.0025436087371505</v>
      </c>
      <c r="I148" s="180">
        <f>ROUND(F148*'Прил. 10'!$D$13,2)</f>
        <v>4360.09</v>
      </c>
      <c r="J148" s="180">
        <f>ROUND(I148*E148,2)</f>
        <v>16568.34</v>
      </c>
    </row>
    <row r="149" spans="1:14" customHeight="1" ht="14.3" outlineLevel="1" s="12" customFormat="1">
      <c r="A149" s="179">
        <v>119</v>
      </c>
      <c r="B149" s="130" t="s">
        <v>402</v>
      </c>
      <c r="C149" s="8" t="s">
        <v>403</v>
      </c>
      <c r="D149" s="2" t="s">
        <v>404</v>
      </c>
      <c r="E149" s="178">
        <v>17.4</v>
      </c>
      <c r="F149" s="98">
        <v>118</v>
      </c>
      <c r="G149" s="142">
        <f>ROUND(E149*F149,2)</f>
        <v>2053.2</v>
      </c>
      <c r="H149" s="135">
        <f>G149/$G$354</f>
        <v>0.0025343019784725</v>
      </c>
      <c r="I149" s="180">
        <f>ROUND(F149*'Прил. 10'!$D$13,2)</f>
        <v>948.72</v>
      </c>
      <c r="J149" s="180">
        <f>ROUND(I149*E149,2)</f>
        <v>16507.73</v>
      </c>
    </row>
    <row r="150" spans="1:14" customHeight="1" ht="25.5" outlineLevel="1" s="12" customFormat="1">
      <c r="A150" s="179">
        <v>120</v>
      </c>
      <c r="B150" s="130" t="s">
        <v>405</v>
      </c>
      <c r="C150" s="8" t="s">
        <v>406</v>
      </c>
      <c r="D150" s="2" t="s">
        <v>280</v>
      </c>
      <c r="E150" s="178">
        <v>0.285</v>
      </c>
      <c r="F150" s="98">
        <v>7115.48</v>
      </c>
      <c r="G150" s="142">
        <f>ROUND(E150*F150,2)</f>
        <v>2027.91</v>
      </c>
      <c r="H150" s="135">
        <f>G150/$G$354</f>
        <v>0.0025030860730392</v>
      </c>
      <c r="I150" s="180">
        <f>ROUND(F150*'Прил. 10'!$D$13,2)</f>
        <v>57208.46</v>
      </c>
      <c r="J150" s="180">
        <f>ROUND(I150*E150,2)</f>
        <v>16304.41</v>
      </c>
    </row>
    <row r="151" spans="1:14" customHeight="1" ht="50.95" outlineLevel="1" s="12" customFormat="1">
      <c r="A151" s="179">
        <v>121</v>
      </c>
      <c r="B151" s="130" t="s">
        <v>407</v>
      </c>
      <c r="C151" s="8" t="s">
        <v>408</v>
      </c>
      <c r="D151" s="2" t="s">
        <v>280</v>
      </c>
      <c r="E151" s="178">
        <v>0.3473</v>
      </c>
      <c r="F151" s="98">
        <v>5804</v>
      </c>
      <c r="G151" s="142">
        <f>ROUND(E151*F151,2)</f>
        <v>2015.73</v>
      </c>
      <c r="H151" s="135">
        <f>G151/$G$354</f>
        <v>0.0024880520782517</v>
      </c>
      <c r="I151" s="180">
        <f>ROUND(F151*'Прил. 10'!$D$13,2)</f>
        <v>46664.16</v>
      </c>
      <c r="J151" s="180">
        <f>ROUND(I151*E151,2)</f>
        <v>16206.46</v>
      </c>
    </row>
    <row r="152" spans="1:14" customHeight="1" ht="25.5" outlineLevel="1" s="12" customFormat="1">
      <c r="A152" s="179">
        <v>122</v>
      </c>
      <c r="B152" s="130" t="s">
        <v>409</v>
      </c>
      <c r="C152" s="8" t="s">
        <v>410</v>
      </c>
      <c r="D152" s="2" t="s">
        <v>399</v>
      </c>
      <c r="E152" s="178">
        <v>158.584</v>
      </c>
      <c r="F152" s="98">
        <v>11.99</v>
      </c>
      <c r="G152" s="142">
        <f>ROUND(E152*F152,2)</f>
        <v>1901.42</v>
      </c>
      <c r="H152" s="135">
        <f>G152/$G$354</f>
        <v>0.0023469571731478</v>
      </c>
      <c r="I152" s="180">
        <f>ROUND(F152*'Прил. 10'!$D$13,2)</f>
        <v>96.4</v>
      </c>
      <c r="J152" s="180">
        <f>ROUND(I152*E152,2)</f>
        <v>15287.5</v>
      </c>
    </row>
    <row r="153" spans="1:14" customHeight="1" ht="25.5" outlineLevel="1" s="12" customFormat="1">
      <c r="A153" s="179">
        <v>123</v>
      </c>
      <c r="B153" s="2" t="s">
        <v>411</v>
      </c>
      <c r="C153" s="8" t="s">
        <v>412</v>
      </c>
      <c r="D153" s="2" t="s">
        <v>287</v>
      </c>
      <c r="E153" s="213">
        <v>1.2</v>
      </c>
      <c r="F153" s="27">
        <v>1468.2</v>
      </c>
      <c r="G153" s="142">
        <f>ROUND(E153*F153,2)</f>
        <v>1761.84</v>
      </c>
      <c r="H153" s="135">
        <f>G153/$G$354</f>
        <v>0.0021746710489733</v>
      </c>
      <c r="I153" s="180">
        <f>ROUND(F153*'Прил. 10'!$D$13,2)</f>
        <v>11804.33</v>
      </c>
      <c r="J153" s="180">
        <f>ROUND(I153*E153,2)</f>
        <v>14165.2</v>
      </c>
    </row>
    <row r="154" spans="1:14" customHeight="1" ht="63.7" outlineLevel="1" s="12" customFormat="1">
      <c r="A154" s="179">
        <v>124</v>
      </c>
      <c r="B154" s="130" t="s">
        <v>413</v>
      </c>
      <c r="C154" s="8" t="s">
        <v>414</v>
      </c>
      <c r="D154" s="2" t="s">
        <v>249</v>
      </c>
      <c r="E154" s="178">
        <v>16</v>
      </c>
      <c r="F154" s="98">
        <v>107.36</v>
      </c>
      <c r="G154" s="142">
        <f>ROUND(E154*F154,2)</f>
        <v>1717.76</v>
      </c>
      <c r="H154" s="135">
        <f>G154/$G$354</f>
        <v>0.0021202623059326</v>
      </c>
      <c r="I154" s="180">
        <f>ROUND(F154*'Прил. 10'!$D$13,2)</f>
        <v>863.17</v>
      </c>
      <c r="J154" s="180">
        <f>ROUND(I154*E154,2)</f>
        <v>13810.72</v>
      </c>
    </row>
    <row r="155" spans="1:14" customHeight="1" ht="25.5" outlineLevel="1" s="12" customFormat="1">
      <c r="A155" s="179">
        <v>125</v>
      </c>
      <c r="B155" s="130" t="s">
        <v>415</v>
      </c>
      <c r="C155" s="8" t="s">
        <v>416</v>
      </c>
      <c r="D155" s="2" t="s">
        <v>249</v>
      </c>
      <c r="E155" s="178">
        <v>4</v>
      </c>
      <c r="F155" s="98">
        <v>428.27</v>
      </c>
      <c r="G155" s="142">
        <f>ROUND(E155*F155,2)</f>
        <v>1713.08</v>
      </c>
      <c r="H155" s="135">
        <f>G155/$G$354</f>
        <v>0.002114485697098</v>
      </c>
      <c r="I155" s="180">
        <f>ROUND(F155*'Прил. 10'!$D$13,2)</f>
        <v>3443.29</v>
      </c>
      <c r="J155" s="180">
        <f>ROUND(I155*E155,2)</f>
        <v>13773.16</v>
      </c>
    </row>
    <row r="156" spans="1:14" customHeight="1" ht="63.7" outlineLevel="1" s="12" customFormat="1">
      <c r="A156" s="179">
        <v>126</v>
      </c>
      <c r="B156" s="130" t="s">
        <v>417</v>
      </c>
      <c r="C156" s="8" t="s">
        <v>418</v>
      </c>
      <c r="D156" s="2" t="s">
        <v>249</v>
      </c>
      <c r="E156" s="178">
        <v>3</v>
      </c>
      <c r="F156" s="98">
        <v>566.83</v>
      </c>
      <c r="G156" s="142">
        <f>ROUND(E156*F156,2)</f>
        <v>1700.49</v>
      </c>
      <c r="H156" s="135">
        <f>G156/$G$354</f>
        <v>0.0020989456318784</v>
      </c>
      <c r="I156" s="180">
        <f>ROUND(F156*'Прил. 10'!$D$13,2)</f>
        <v>4557.31</v>
      </c>
      <c r="J156" s="180">
        <f>ROUND(I156*E156,2)</f>
        <v>13671.93</v>
      </c>
    </row>
    <row r="157" spans="1:14" customHeight="1" ht="25.5" outlineLevel="1" s="12" customFormat="1">
      <c r="A157" s="179">
        <v>127</v>
      </c>
      <c r="B157" s="130" t="s">
        <v>419</v>
      </c>
      <c r="C157" s="8" t="s">
        <v>420</v>
      </c>
      <c r="D157" s="2" t="s">
        <v>421</v>
      </c>
      <c r="E157" s="178">
        <v>73.08</v>
      </c>
      <c r="F157" s="98">
        <v>23.15</v>
      </c>
      <c r="G157" s="142">
        <f>ROUND(E157*F157,2)</f>
        <v>1691.8</v>
      </c>
      <c r="H157" s="135">
        <f>G157/$G$354</f>
        <v>0.0020882194073542</v>
      </c>
      <c r="I157" s="180">
        <f>ROUND(F157*'Прил. 10'!$D$13,2)</f>
        <v>186.13</v>
      </c>
      <c r="J157" s="180">
        <f>ROUND(I157*E157,2)</f>
        <v>13602.38</v>
      </c>
    </row>
    <row r="158" spans="1:14" customHeight="1" ht="14.3" outlineLevel="1" s="12" customFormat="1">
      <c r="A158" s="179">
        <v>128</v>
      </c>
      <c r="B158" s="130" t="s">
        <v>422</v>
      </c>
      <c r="C158" s="8" t="s">
        <v>423</v>
      </c>
      <c r="D158" s="2" t="s">
        <v>267</v>
      </c>
      <c r="E158" s="178">
        <v>3.305</v>
      </c>
      <c r="F158" s="98">
        <v>490</v>
      </c>
      <c r="G158" s="142">
        <f>ROUND(E158*F158,2)</f>
        <v>1619.45</v>
      </c>
      <c r="H158" s="135">
        <f>G158/$G$354</f>
        <v>0.0019989164908617</v>
      </c>
      <c r="I158" s="180">
        <f>ROUND(F158*'Прил. 10'!$D$13,2)</f>
        <v>3939.6</v>
      </c>
      <c r="J158" s="180">
        <f>ROUND(I158*E158,2)</f>
        <v>13020.38</v>
      </c>
    </row>
    <row r="159" spans="1:14" customHeight="1" ht="25.5" outlineLevel="1" s="12" customFormat="1">
      <c r="A159" s="179">
        <v>129</v>
      </c>
      <c r="B159" s="130" t="s">
        <v>424</v>
      </c>
      <c r="C159" s="8" t="s">
        <v>425</v>
      </c>
      <c r="D159" s="2" t="s">
        <v>280</v>
      </c>
      <c r="E159" s="178">
        <v>0.1296</v>
      </c>
      <c r="F159" s="98">
        <v>11500</v>
      </c>
      <c r="G159" s="142">
        <f>ROUND(E159*F159,2)</f>
        <v>1490.4</v>
      </c>
      <c r="H159" s="135">
        <f>G159/$G$354</f>
        <v>0.0018396277365651</v>
      </c>
      <c r="I159" s="180">
        <f>ROUND(F159*'Прил. 10'!$D$13,2)</f>
        <v>92460</v>
      </c>
      <c r="J159" s="180">
        <f>ROUND(I159*E159,2)</f>
        <v>11982.82</v>
      </c>
    </row>
    <row r="160" spans="1:14" customHeight="1" ht="38.25" outlineLevel="1" s="12" customFormat="1">
      <c r="A160" s="179">
        <v>130</v>
      </c>
      <c r="B160" s="130" t="s">
        <v>426</v>
      </c>
      <c r="C160" s="8" t="s">
        <v>427</v>
      </c>
      <c r="D160" s="2" t="s">
        <v>280</v>
      </c>
      <c r="E160" s="178">
        <v>0.1742</v>
      </c>
      <c r="F160" s="98">
        <v>8458.2</v>
      </c>
      <c r="G160" s="142">
        <f>ROUND(E160*F160,2)</f>
        <v>1473.42</v>
      </c>
      <c r="H160" s="135">
        <f>G160/$G$354</f>
        <v>0.0018186690147676</v>
      </c>
      <c r="I160" s="180">
        <f>ROUND(F160*'Прил. 10'!$D$13,2)</f>
        <v>68003.93</v>
      </c>
      <c r="J160" s="180">
        <f>ROUND(I160*E160,2)</f>
        <v>11846.28</v>
      </c>
    </row>
    <row r="161" spans="1:14" customHeight="1" ht="25.5" outlineLevel="1" s="12" customFormat="1">
      <c r="A161" s="179">
        <v>131</v>
      </c>
      <c r="B161" s="130" t="s">
        <v>428</v>
      </c>
      <c r="C161" s="8" t="s">
        <v>429</v>
      </c>
      <c r="D161" s="2" t="s">
        <v>399</v>
      </c>
      <c r="E161" s="178">
        <v>5.373</v>
      </c>
      <c r="F161" s="98">
        <v>264.6</v>
      </c>
      <c r="G161" s="142">
        <f>ROUND(E161*F161,2)</f>
        <v>1421.7</v>
      </c>
      <c r="H161" s="135">
        <f>G161/$G$354</f>
        <v>0.0017548300812363</v>
      </c>
      <c r="I161" s="180">
        <f>ROUND(F161*'Прил. 10'!$D$13,2)</f>
        <v>2127.38</v>
      </c>
      <c r="J161" s="180">
        <f>ROUND(I161*E161,2)</f>
        <v>11430.41</v>
      </c>
    </row>
    <row r="162" spans="1:14" customHeight="1" ht="25.5" outlineLevel="1" s="12" customFormat="1">
      <c r="A162" s="179">
        <v>132</v>
      </c>
      <c r="B162" s="130" t="s">
        <v>430</v>
      </c>
      <c r="C162" s="8" t="s">
        <v>431</v>
      </c>
      <c r="D162" s="2" t="s">
        <v>298</v>
      </c>
      <c r="E162" s="178">
        <v>7.614</v>
      </c>
      <c r="F162" s="98">
        <v>184.64</v>
      </c>
      <c r="G162" s="142">
        <f>ROUND(E162*F162,2)</f>
        <v>1405.85</v>
      </c>
      <c r="H162" s="135">
        <f>G162/$G$354</f>
        <v>0.0017352661389224</v>
      </c>
      <c r="I162" s="180">
        <f>ROUND(F162*'Прил. 10'!$D$13,2)</f>
        <v>1484.51</v>
      </c>
      <c r="J162" s="180">
        <f>ROUND(I162*E162,2)</f>
        <v>11303.06</v>
      </c>
    </row>
    <row r="163" spans="1:14" customHeight="1" ht="38.25" outlineLevel="1" s="12" customFormat="1">
      <c r="A163" s="179">
        <v>133</v>
      </c>
      <c r="B163" s="130" t="s">
        <v>432</v>
      </c>
      <c r="C163" s="8" t="s">
        <v>433</v>
      </c>
      <c r="D163" s="2" t="s">
        <v>298</v>
      </c>
      <c r="E163" s="178">
        <v>208.8</v>
      </c>
      <c r="F163" s="98">
        <v>6.46</v>
      </c>
      <c r="G163" s="142">
        <f>ROUND(E163*F163,2)</f>
        <v>1348.85</v>
      </c>
      <c r="H163" s="135">
        <f>G163/$G$354</f>
        <v>0.0016649100056802</v>
      </c>
      <c r="I163" s="180">
        <f>ROUND(F163*'Прил. 10'!$D$13,2)</f>
        <v>51.94</v>
      </c>
      <c r="J163" s="180">
        <f>ROUND(I163*E163,2)</f>
        <v>10845.07</v>
      </c>
    </row>
    <row r="164" spans="1:14" customHeight="1" ht="25.5" outlineLevel="1" s="12" customFormat="1">
      <c r="A164" s="179">
        <v>134</v>
      </c>
      <c r="B164" s="130" t="s">
        <v>434</v>
      </c>
      <c r="C164" s="8" t="s">
        <v>435</v>
      </c>
      <c r="D164" s="2" t="s">
        <v>421</v>
      </c>
      <c r="E164" s="178">
        <v>20.88</v>
      </c>
      <c r="F164" s="98">
        <v>64.47</v>
      </c>
      <c r="G164" s="142">
        <f>ROUND(E164*F164,2)</f>
        <v>1346.13</v>
      </c>
      <c r="H164" s="135">
        <f>G164/$G$354</f>
        <v>0.0016615526603746</v>
      </c>
      <c r="I164" s="180">
        <f>ROUND(F164*'Прил. 10'!$D$13,2)</f>
        <v>518.34</v>
      </c>
      <c r="J164" s="180">
        <f>ROUND(I164*E164,2)</f>
        <v>10822.94</v>
      </c>
    </row>
    <row r="165" spans="1:14" customHeight="1" ht="25.5" outlineLevel="1" s="12" customFormat="1">
      <c r="A165" s="179">
        <v>135</v>
      </c>
      <c r="B165" s="130" t="s">
        <v>436</v>
      </c>
      <c r="C165" s="8" t="s">
        <v>437</v>
      </c>
      <c r="D165" s="2" t="s">
        <v>267</v>
      </c>
      <c r="E165" s="178">
        <v>1.874</v>
      </c>
      <c r="F165" s="98">
        <v>665</v>
      </c>
      <c r="G165" s="142">
        <f>ROUND(E165*F165,2)</f>
        <v>1246.21</v>
      </c>
      <c r="H165" s="135">
        <f>G165/$G$354</f>
        <v>0.0015382195931191</v>
      </c>
      <c r="I165" s="180">
        <f>ROUND(F165*'Прил. 10'!$D$13,2)</f>
        <v>5346.6</v>
      </c>
      <c r="J165" s="180">
        <f>ROUND(I165*E165,2)</f>
        <v>10019.53</v>
      </c>
    </row>
    <row r="166" spans="1:14" customHeight="1" ht="63.7" outlineLevel="1" s="12" customFormat="1">
      <c r="A166" s="179">
        <v>136</v>
      </c>
      <c r="B166" s="130" t="s">
        <v>438</v>
      </c>
      <c r="C166" s="8" t="s">
        <v>439</v>
      </c>
      <c r="D166" s="2" t="s">
        <v>249</v>
      </c>
      <c r="E166" s="178">
        <v>3</v>
      </c>
      <c r="F166" s="98">
        <v>411.84</v>
      </c>
      <c r="G166" s="142">
        <f>ROUND(E166*F166,2)</f>
        <v>1235.52</v>
      </c>
      <c r="H166" s="135">
        <f>G166/$G$354</f>
        <v>0.0015250247323409</v>
      </c>
      <c r="I166" s="180">
        <f>ROUND(F166*'Прил. 10'!$D$13,2)</f>
        <v>3311.19</v>
      </c>
      <c r="J166" s="180">
        <f>ROUND(I166*E166,2)</f>
        <v>9933.57</v>
      </c>
    </row>
    <row r="167" spans="1:14" customHeight="1" ht="38.25" outlineLevel="1" s="12" customFormat="1">
      <c r="A167" s="179">
        <v>137</v>
      </c>
      <c r="B167" s="130" t="s">
        <v>440</v>
      </c>
      <c r="C167" s="8" t="s">
        <v>441</v>
      </c>
      <c r="D167" s="2" t="s">
        <v>280</v>
      </c>
      <c r="E167" s="178">
        <v>0.172</v>
      </c>
      <c r="F167" s="98">
        <v>7170.98</v>
      </c>
      <c r="G167" s="142">
        <f>ROUND(E167*F167,2)</f>
        <v>1233.41</v>
      </c>
      <c r="H167" s="135">
        <f>G167/$G$354</f>
        <v>0.0015224203210928</v>
      </c>
      <c r="I167" s="180">
        <f>ROUND(F167*'Прил. 10'!$D$13,2)</f>
        <v>57654.68</v>
      </c>
      <c r="J167" s="180">
        <f>ROUND(I167*E167,2)</f>
        <v>9916.6</v>
      </c>
    </row>
    <row r="168" spans="1:14" customHeight="1" ht="63.7" outlineLevel="1" s="12" customFormat="1">
      <c r="A168" s="179">
        <v>138</v>
      </c>
      <c r="B168" s="130" t="s">
        <v>442</v>
      </c>
      <c r="C168" s="8" t="s">
        <v>443</v>
      </c>
      <c r="D168" s="2" t="s">
        <v>249</v>
      </c>
      <c r="E168" s="178">
        <v>22</v>
      </c>
      <c r="F168" s="98">
        <v>53.35</v>
      </c>
      <c r="G168" s="142">
        <f>ROUND(E168*F168,2)</f>
        <v>1173.7</v>
      </c>
      <c r="H168" s="135">
        <f>G168/$G$354</f>
        <v>0.0014487191857263</v>
      </c>
      <c r="I168" s="180">
        <f>ROUND(F168*'Прил. 10'!$D$13,2)</f>
        <v>428.93</v>
      </c>
      <c r="J168" s="180">
        <f>ROUND(I168*E168,2)</f>
        <v>9436.46</v>
      </c>
    </row>
    <row r="169" spans="1:14" customHeight="1" ht="50.95" outlineLevel="1" s="12" customFormat="1">
      <c r="A169" s="179">
        <v>139</v>
      </c>
      <c r="B169" s="130" t="s">
        <v>444</v>
      </c>
      <c r="C169" s="8" t="s">
        <v>445</v>
      </c>
      <c r="D169" s="2" t="s">
        <v>249</v>
      </c>
      <c r="E169" s="178">
        <v>1</v>
      </c>
      <c r="F169" s="98">
        <v>1135.2</v>
      </c>
      <c r="G169" s="142">
        <f>ROUND(E169*F169,2)</f>
        <v>1135.2</v>
      </c>
      <c r="H169" s="135">
        <f>G169/$G$354</f>
        <v>0.0014011979378346</v>
      </c>
      <c r="I169" s="180">
        <f>ROUND(F169*'Прил. 10'!$D$13,2)</f>
        <v>9127.01</v>
      </c>
      <c r="J169" s="180">
        <f>ROUND(I169*E169,2)</f>
        <v>9127.01</v>
      </c>
    </row>
    <row r="170" spans="1:14" customHeight="1" ht="38.25" outlineLevel="1" s="12" customFormat="1">
      <c r="A170" s="179">
        <v>140</v>
      </c>
      <c r="B170" s="130" t="s">
        <v>446</v>
      </c>
      <c r="C170" s="8" t="s">
        <v>447</v>
      </c>
      <c r="D170" s="2" t="s">
        <v>280</v>
      </c>
      <c r="E170" s="178">
        <v>0.1778</v>
      </c>
      <c r="F170" s="98">
        <v>6113</v>
      </c>
      <c r="G170" s="142">
        <f>ROUND(E170*F170,2)</f>
        <v>1086.89</v>
      </c>
      <c r="H170" s="135">
        <f>G170/$G$354</f>
        <v>0.0013415680291165</v>
      </c>
      <c r="I170" s="180">
        <f>ROUND(F170*'Прил. 10'!$D$13,2)</f>
        <v>49148.52</v>
      </c>
      <c r="J170" s="180">
        <f>ROUND(I170*E170,2)</f>
        <v>8738.61</v>
      </c>
    </row>
    <row r="171" spans="1:14" customHeight="1" ht="14.3" outlineLevel="1" s="12" customFormat="1">
      <c r="A171" s="179">
        <v>141</v>
      </c>
      <c r="B171" s="130" t="s">
        <v>448</v>
      </c>
      <c r="C171" s="8" t="s">
        <v>449</v>
      </c>
      <c r="D171" s="2" t="s">
        <v>280</v>
      </c>
      <c r="E171" s="178">
        <v>0.0895</v>
      </c>
      <c r="F171" s="98">
        <v>11978</v>
      </c>
      <c r="G171" s="142">
        <f>ROUND(E171*F171,2)</f>
        <v>1072.03</v>
      </c>
      <c r="H171" s="135">
        <f>G171/$G$354</f>
        <v>0.0013232260617484</v>
      </c>
      <c r="I171" s="180">
        <f>ROUND(F171*'Прил. 10'!$D$13,2)</f>
        <v>96303.12</v>
      </c>
      <c r="J171" s="180">
        <f>ROUND(I171*E171,2)</f>
        <v>8619.13</v>
      </c>
    </row>
    <row r="172" spans="1:14" customHeight="1" ht="25.5" outlineLevel="1" s="12" customFormat="1">
      <c r="A172" s="179">
        <v>142</v>
      </c>
      <c r="B172" s="130" t="s">
        <v>450</v>
      </c>
      <c r="C172" s="8" t="s">
        <v>451</v>
      </c>
      <c r="D172" s="2" t="s">
        <v>249</v>
      </c>
      <c r="E172" s="178">
        <v>4</v>
      </c>
      <c r="F172" s="98">
        <v>266.67</v>
      </c>
      <c r="G172" s="142">
        <f>ROUND(E172*F172,2)</f>
        <v>1066.68</v>
      </c>
      <c r="H172" s="135">
        <f>G172/$G$354</f>
        <v>0.0013166224597687</v>
      </c>
      <c r="I172" s="180">
        <f>ROUND(F172*'Прил. 10'!$D$13,2)</f>
        <v>2144.03</v>
      </c>
      <c r="J172" s="180">
        <f>ROUND(I172*E172,2)</f>
        <v>8576.12</v>
      </c>
    </row>
    <row r="173" spans="1:14" customHeight="1" ht="38.25" outlineLevel="1" s="12" customFormat="1">
      <c r="A173" s="179">
        <v>143</v>
      </c>
      <c r="B173" s="130" t="s">
        <v>452</v>
      </c>
      <c r="C173" s="8" t="s">
        <v>453</v>
      </c>
      <c r="D173" s="2" t="s">
        <v>280</v>
      </c>
      <c r="E173" s="178">
        <v>0.12648</v>
      </c>
      <c r="F173" s="98">
        <v>8014.15</v>
      </c>
      <c r="G173" s="142">
        <f>ROUND(E173*F173,2)</f>
        <v>1013.63</v>
      </c>
      <c r="H173" s="135">
        <f>G173/$G$354</f>
        <v>0.0012511418831283</v>
      </c>
      <c r="I173" s="180">
        <f>ROUND(F173*'Прил. 10'!$D$13,2)</f>
        <v>64433.77</v>
      </c>
      <c r="J173" s="180">
        <f>ROUND(I173*E173,2)</f>
        <v>8149.58</v>
      </c>
    </row>
    <row r="174" spans="1:14" customHeight="1" ht="14.3" outlineLevel="1" s="12" customFormat="1">
      <c r="A174" s="179">
        <v>144</v>
      </c>
      <c r="B174" s="130" t="s">
        <v>454</v>
      </c>
      <c r="C174" s="8" t="s">
        <v>455</v>
      </c>
      <c r="D174" s="2" t="s">
        <v>249</v>
      </c>
      <c r="E174" s="178">
        <v>15</v>
      </c>
      <c r="F174" s="98">
        <v>66.82</v>
      </c>
      <c r="G174" s="142">
        <f>ROUND(E174*F174,2)</f>
        <v>1002.3</v>
      </c>
      <c r="H174" s="135">
        <f>G174/$G$354</f>
        <v>0.0012371570587488</v>
      </c>
      <c r="I174" s="180">
        <f>ROUND(F174*'Прил. 10'!$D$13,2)</f>
        <v>537.23</v>
      </c>
      <c r="J174" s="180">
        <f>ROUND(I174*E174,2)</f>
        <v>8058.45</v>
      </c>
    </row>
    <row r="175" spans="1:14" customHeight="1" ht="14.3" outlineLevel="1" s="12" customFormat="1">
      <c r="A175" s="179">
        <v>145</v>
      </c>
      <c r="B175" s="130" t="s">
        <v>456</v>
      </c>
      <c r="C175" s="8" t="s">
        <v>457</v>
      </c>
      <c r="D175" s="2" t="s">
        <v>267</v>
      </c>
      <c r="E175" s="178">
        <v>4.84</v>
      </c>
      <c r="F175" s="98">
        <v>203.4</v>
      </c>
      <c r="G175" s="142">
        <f>ROUND(E175*F175,2)</f>
        <v>984.46</v>
      </c>
      <c r="H175" s="135">
        <f>G175/$G$354</f>
        <v>0.0012151368233621</v>
      </c>
      <c r="I175" s="180">
        <f>ROUND(F175*'Прил. 10'!$D$13,2)</f>
        <v>1635.34</v>
      </c>
      <c r="J175" s="180">
        <f>ROUND(I175*E175,2)</f>
        <v>7915.05</v>
      </c>
    </row>
    <row r="176" spans="1:14" customHeight="1" ht="63.7" outlineLevel="1" s="12" customFormat="1">
      <c r="A176" s="179">
        <v>146</v>
      </c>
      <c r="B176" s="130" t="s">
        <v>458</v>
      </c>
      <c r="C176" s="8" t="s">
        <v>459</v>
      </c>
      <c r="D176" s="2" t="s">
        <v>249</v>
      </c>
      <c r="E176" s="178">
        <v>1.8</v>
      </c>
      <c r="F176" s="98">
        <v>544</v>
      </c>
      <c r="G176" s="142">
        <f>ROUND(E176*F176,2)</f>
        <v>979.2</v>
      </c>
      <c r="H176" s="135">
        <f>G176/$G$354</f>
        <v>0.0012086443100138</v>
      </c>
      <c r="I176" s="180">
        <f>ROUND(F176*'Прил. 10'!$D$13,2)</f>
        <v>4373.76</v>
      </c>
      <c r="J176" s="180">
        <f>ROUND(I176*E176,2)</f>
        <v>7872.77</v>
      </c>
    </row>
    <row r="177" spans="1:14" customHeight="1" ht="38.25" outlineLevel="1" s="12" customFormat="1">
      <c r="A177" s="179">
        <v>147</v>
      </c>
      <c r="B177" s="130" t="s">
        <v>460</v>
      </c>
      <c r="C177" s="8" t="s">
        <v>461</v>
      </c>
      <c r="D177" s="2" t="s">
        <v>249</v>
      </c>
      <c r="E177" s="178">
        <v>6</v>
      </c>
      <c r="F177" s="98">
        <v>158.24</v>
      </c>
      <c r="G177" s="142">
        <f>ROUND(E177*F177,2)</f>
        <v>949.44</v>
      </c>
      <c r="H177" s="135">
        <f>G177/$G$354</f>
        <v>0.0011719110025526</v>
      </c>
      <c r="I177" s="180">
        <f>ROUND(F177*'Прил. 10'!$D$13,2)</f>
        <v>1272.25</v>
      </c>
      <c r="J177" s="180">
        <f>ROUND(I177*E177,2)</f>
        <v>7633.5</v>
      </c>
    </row>
    <row r="178" spans="1:14" customHeight="1" ht="38.25" outlineLevel="1" s="12" customFormat="1">
      <c r="A178" s="179">
        <v>148</v>
      </c>
      <c r="B178" s="130" t="s">
        <v>462</v>
      </c>
      <c r="C178" s="8" t="s">
        <v>463</v>
      </c>
      <c r="D178" s="2" t="s">
        <v>267</v>
      </c>
      <c r="E178" s="178">
        <v>5.915</v>
      </c>
      <c r="F178" s="98">
        <v>155.94</v>
      </c>
      <c r="G178" s="142">
        <f>ROUND(E178*F178,2)</f>
        <v>922.39</v>
      </c>
      <c r="H178" s="135">
        <f>G178/$G$354</f>
        <v>0.0011385226972157</v>
      </c>
      <c r="I178" s="180">
        <f>ROUND(F178*'Прил. 10'!$D$13,2)</f>
        <v>1253.76</v>
      </c>
      <c r="J178" s="180">
        <f>ROUND(I178*E178,2)</f>
        <v>7415.99</v>
      </c>
    </row>
    <row r="179" spans="1:14" customHeight="1" ht="38.25" outlineLevel="1" s="12" customFormat="1">
      <c r="A179" s="179">
        <v>149</v>
      </c>
      <c r="B179" s="130" t="s">
        <v>464</v>
      </c>
      <c r="C179" s="8" t="s">
        <v>465</v>
      </c>
      <c r="D179" s="2" t="s">
        <v>249</v>
      </c>
      <c r="E179" s="178">
        <v>12</v>
      </c>
      <c r="F179" s="98">
        <v>71.34</v>
      </c>
      <c r="G179" s="142">
        <f>ROUND(E179*F179,2)</f>
        <v>856.08</v>
      </c>
      <c r="H179" s="135">
        <f>G179/$G$354</f>
        <v>0.0010566750622106</v>
      </c>
      <c r="I179" s="180">
        <f>ROUND(F179*'Прил. 10'!$D$13,2)</f>
        <v>573.57</v>
      </c>
      <c r="J179" s="180">
        <f>ROUND(I179*E179,2)</f>
        <v>6882.84</v>
      </c>
    </row>
    <row r="180" spans="1:14" customHeight="1" ht="25.5" outlineLevel="1" s="12" customFormat="1">
      <c r="A180" s="179">
        <v>150</v>
      </c>
      <c r="B180" s="130" t="s">
        <v>466</v>
      </c>
      <c r="C180" s="8" t="s">
        <v>467</v>
      </c>
      <c r="D180" s="2" t="s">
        <v>468</v>
      </c>
      <c r="E180" s="178">
        <v>1.2</v>
      </c>
      <c r="F180" s="98">
        <v>680</v>
      </c>
      <c r="G180" s="142">
        <f>ROUND(E180*F180,2)</f>
        <v>816</v>
      </c>
      <c r="H180" s="135">
        <f>G180/$G$354</f>
        <v>0.0010072035916781</v>
      </c>
      <c r="I180" s="180">
        <f>ROUND(F180*'Прил. 10'!$D$13,2)</f>
        <v>5467.2</v>
      </c>
      <c r="J180" s="180">
        <f>ROUND(I180*E180,2)</f>
        <v>6560.64</v>
      </c>
    </row>
    <row r="181" spans="1:14" customHeight="1" ht="25.5" outlineLevel="1" s="12" customFormat="1">
      <c r="A181" s="179">
        <v>151</v>
      </c>
      <c r="B181" s="130" t="s">
        <v>469</v>
      </c>
      <c r="C181" s="8" t="s">
        <v>470</v>
      </c>
      <c r="D181" s="2" t="s">
        <v>404</v>
      </c>
      <c r="E181" s="178">
        <v>0.204</v>
      </c>
      <c r="F181" s="98">
        <v>3986</v>
      </c>
      <c r="G181" s="142">
        <f>ROUND(E181*F181,2)</f>
        <v>813.14</v>
      </c>
      <c r="H181" s="135">
        <f>G181/$G$354</f>
        <v>0.0010036734418348</v>
      </c>
      <c r="I181" s="180">
        <f>ROUND(F181*'Прил. 10'!$D$13,2)</f>
        <v>32047.44</v>
      </c>
      <c r="J181" s="180">
        <f>ROUND(I181*E181,2)</f>
        <v>6537.68</v>
      </c>
    </row>
    <row r="182" spans="1:14" customHeight="1" ht="50.95" outlineLevel="1" s="12" customFormat="1">
      <c r="A182" s="179">
        <v>152</v>
      </c>
      <c r="B182" s="130" t="s">
        <v>471</v>
      </c>
      <c r="C182" s="8" t="s">
        <v>472</v>
      </c>
      <c r="D182" s="2" t="s">
        <v>249</v>
      </c>
      <c r="E182" s="178">
        <v>3</v>
      </c>
      <c r="F182" s="98">
        <v>259.56</v>
      </c>
      <c r="G182" s="142">
        <f>ROUND(E182*F182,2)</f>
        <v>778.68</v>
      </c>
      <c r="H182" s="135">
        <f>G182/$G$354</f>
        <v>0.00096113883917638</v>
      </c>
      <c r="I182" s="180">
        <f>ROUND(F182*'Прил. 10'!$D$13,2)</f>
        <v>2086.86</v>
      </c>
      <c r="J182" s="180">
        <f>ROUND(I182*E182,2)</f>
        <v>6260.58</v>
      </c>
    </row>
    <row r="183" spans="1:14" customHeight="1" ht="14.3" outlineLevel="1" s="12" customFormat="1">
      <c r="A183" s="179">
        <v>153</v>
      </c>
      <c r="B183" s="130" t="s">
        <v>473</v>
      </c>
      <c r="C183" s="8" t="s">
        <v>474</v>
      </c>
      <c r="D183" s="2" t="s">
        <v>249</v>
      </c>
      <c r="E183" s="178">
        <v>1</v>
      </c>
      <c r="F183" s="98">
        <v>745.79</v>
      </c>
      <c r="G183" s="142">
        <f>ROUND(E183*F183,2)</f>
        <v>745.79</v>
      </c>
      <c r="H183" s="135">
        <f>G183/$G$354</f>
        <v>0.00092054211597749</v>
      </c>
      <c r="I183" s="180">
        <f>ROUND(F183*'Прил. 10'!$D$13,2)</f>
        <v>5996.15</v>
      </c>
      <c r="J183" s="180">
        <f>ROUND(I183*E183,2)</f>
        <v>5996.15</v>
      </c>
    </row>
    <row r="184" spans="1:14" customHeight="1" ht="38.25" outlineLevel="1" s="12" customFormat="1">
      <c r="A184" s="179">
        <v>154</v>
      </c>
      <c r="B184" s="130" t="s">
        <v>475</v>
      </c>
      <c r="C184" s="8" t="s">
        <v>476</v>
      </c>
      <c r="D184" s="2" t="s">
        <v>249</v>
      </c>
      <c r="E184" s="178">
        <v>6</v>
      </c>
      <c r="F184" s="98">
        <v>122.79</v>
      </c>
      <c r="G184" s="142">
        <f>ROUND(E184*F184,2)</f>
        <v>736.74</v>
      </c>
      <c r="H184" s="135">
        <f>G184/$G$354</f>
        <v>0.00090937153692763</v>
      </c>
      <c r="I184" s="180">
        <f>ROUND(F184*'Прил. 10'!$D$13,2)</f>
        <v>987.23</v>
      </c>
      <c r="J184" s="180">
        <f>ROUND(I184*E184,2)</f>
        <v>5923.38</v>
      </c>
    </row>
    <row r="185" spans="1:14" customHeight="1" ht="38.25" outlineLevel="1" s="12" customFormat="1">
      <c r="A185" s="179">
        <v>155</v>
      </c>
      <c r="B185" s="130" t="s">
        <v>477</v>
      </c>
      <c r="C185" s="8" t="s">
        <v>478</v>
      </c>
      <c r="D185" s="2" t="s">
        <v>421</v>
      </c>
      <c r="E185" s="178">
        <v>95.7</v>
      </c>
      <c r="F185" s="98">
        <v>7.5</v>
      </c>
      <c r="G185" s="142">
        <f>ROUND(E185*F185,2)</f>
        <v>717.75</v>
      </c>
      <c r="H185" s="135">
        <f>G185/$G$354</f>
        <v>0.00088593183569483</v>
      </c>
      <c r="I185" s="180">
        <f>ROUND(F185*'Прил. 10'!$D$13,2)</f>
        <v>60.3</v>
      </c>
      <c r="J185" s="180">
        <f>ROUND(I185*E185,2)</f>
        <v>5770.71</v>
      </c>
    </row>
    <row r="186" spans="1:14" customHeight="1" ht="14.3" outlineLevel="1" s="12" customFormat="1">
      <c r="A186" s="179">
        <v>156</v>
      </c>
      <c r="B186" s="130" t="s">
        <v>479</v>
      </c>
      <c r="C186" s="8" t="s">
        <v>480</v>
      </c>
      <c r="D186" s="2" t="s">
        <v>404</v>
      </c>
      <c r="E186" s="178">
        <v>69.6</v>
      </c>
      <c r="F186" s="98">
        <v>10</v>
      </c>
      <c r="G186" s="142">
        <f>ROUND(E186*F186,2)</f>
        <v>696</v>
      </c>
      <c r="H186" s="135">
        <f>G186/$G$354</f>
        <v>0.00085908541643135</v>
      </c>
      <c r="I186" s="180">
        <f>ROUND(F186*'Прил. 10'!$D$13,2)</f>
        <v>80.4</v>
      </c>
      <c r="J186" s="180">
        <f>ROUND(I186*E186,2)</f>
        <v>5595.84</v>
      </c>
    </row>
    <row r="187" spans="1:14" customHeight="1" ht="14.3" outlineLevel="1" s="12" customFormat="1">
      <c r="A187" s="179">
        <v>157</v>
      </c>
      <c r="B187" s="130" t="s">
        <v>481</v>
      </c>
      <c r="C187" s="8" t="s">
        <v>482</v>
      </c>
      <c r="D187" s="2" t="s">
        <v>298</v>
      </c>
      <c r="E187" s="178">
        <v>19.32</v>
      </c>
      <c r="F187" s="98">
        <v>35.53</v>
      </c>
      <c r="G187" s="142">
        <f>ROUND(E187*F187,2)</f>
        <v>686.44</v>
      </c>
      <c r="H187" s="135">
        <f>G187/$G$354</f>
        <v>0.00084728533513669</v>
      </c>
      <c r="I187" s="180">
        <f>ROUND(F187*'Прил. 10'!$D$13,2)</f>
        <v>285.66</v>
      </c>
      <c r="J187" s="180">
        <f>ROUND(I187*E187,2)</f>
        <v>5518.95</v>
      </c>
    </row>
    <row r="188" spans="1:14" customHeight="1" ht="14.3" outlineLevel="1" s="12" customFormat="1">
      <c r="A188" s="179">
        <v>158</v>
      </c>
      <c r="B188" s="130" t="s">
        <v>483</v>
      </c>
      <c r="C188" s="8" t="s">
        <v>484</v>
      </c>
      <c r="D188" s="2" t="s">
        <v>485</v>
      </c>
      <c r="E188" s="178">
        <v>1.495</v>
      </c>
      <c r="F188" s="98">
        <v>458</v>
      </c>
      <c r="G188" s="142">
        <f>ROUND(E188*F188,2)</f>
        <v>684.71</v>
      </c>
      <c r="H188" s="135">
        <f>G188/$G$354</f>
        <v>0.00084514996477688</v>
      </c>
      <c r="I188" s="180">
        <f>ROUND(F188*'Прил. 10'!$D$13,2)</f>
        <v>3682.32</v>
      </c>
      <c r="J188" s="180">
        <f>ROUND(I188*E188,2)</f>
        <v>5505.07</v>
      </c>
    </row>
    <row r="189" spans="1:14" customHeight="1" ht="14.3" outlineLevel="1" s="12" customFormat="1">
      <c r="A189" s="179">
        <v>159</v>
      </c>
      <c r="B189" s="130" t="s">
        <v>486</v>
      </c>
      <c r="C189" s="8" t="s">
        <v>487</v>
      </c>
      <c r="D189" s="2" t="s">
        <v>280</v>
      </c>
      <c r="E189" s="178">
        <v>0.0724</v>
      </c>
      <c r="F189" s="98">
        <v>9424</v>
      </c>
      <c r="G189" s="142">
        <f>ROUND(E189*F189,2)</f>
        <v>682.3</v>
      </c>
      <c r="H189" s="135">
        <f>G189/$G$354</f>
        <v>0.00084217525809067</v>
      </c>
      <c r="I189" s="180">
        <f>ROUND(F189*'Прил. 10'!$D$13,2)</f>
        <v>75768.96</v>
      </c>
      <c r="J189" s="180">
        <f>ROUND(I189*E189,2)</f>
        <v>5485.67</v>
      </c>
    </row>
    <row r="190" spans="1:14" customHeight="1" ht="25.5" outlineLevel="1" s="12" customFormat="1">
      <c r="A190" s="179">
        <v>160</v>
      </c>
      <c r="B190" s="130" t="s">
        <v>488</v>
      </c>
      <c r="C190" s="8" t="s">
        <v>489</v>
      </c>
      <c r="D190" s="2" t="s">
        <v>280</v>
      </c>
      <c r="E190" s="178">
        <v>0.11838</v>
      </c>
      <c r="F190" s="98">
        <v>5763</v>
      </c>
      <c r="G190" s="142">
        <f>ROUND(E190*F190,2)</f>
        <v>682.22</v>
      </c>
      <c r="H190" s="135">
        <f>G190/$G$354</f>
        <v>0.00084207651264051</v>
      </c>
      <c r="I190" s="180">
        <f>ROUND(F190*'Прил. 10'!$D$13,2)</f>
        <v>46334.52</v>
      </c>
      <c r="J190" s="180">
        <f>ROUND(I190*E190,2)</f>
        <v>5485.08</v>
      </c>
    </row>
    <row r="191" spans="1:14" customHeight="1" ht="38.25" outlineLevel="1" s="12" customFormat="1">
      <c r="A191" s="179">
        <v>161</v>
      </c>
      <c r="B191" s="130" t="s">
        <v>490</v>
      </c>
      <c r="C191" s="8" t="s">
        <v>491</v>
      </c>
      <c r="D191" s="2" t="s">
        <v>312</v>
      </c>
      <c r="E191" s="178">
        <v>8.5</v>
      </c>
      <c r="F191" s="98">
        <v>79.43</v>
      </c>
      <c r="G191" s="142">
        <f>ROUND(E191*F191,2)</f>
        <v>675.16</v>
      </c>
      <c r="H191" s="135">
        <f>G191/$G$354</f>
        <v>0.00083336222666349</v>
      </c>
      <c r="I191" s="180">
        <f>ROUND(F191*'Прил. 10'!$D$13,2)</f>
        <v>638.62</v>
      </c>
      <c r="J191" s="180">
        <f>ROUND(I191*E191,2)</f>
        <v>5428.27</v>
      </c>
    </row>
    <row r="192" spans="1:14" customHeight="1" ht="38.25" outlineLevel="1" s="12" customFormat="1">
      <c r="A192" s="179">
        <v>162</v>
      </c>
      <c r="B192" s="130" t="s">
        <v>492</v>
      </c>
      <c r="C192" s="8" t="s">
        <v>493</v>
      </c>
      <c r="D192" s="2" t="s">
        <v>312</v>
      </c>
      <c r="E192" s="178">
        <v>5</v>
      </c>
      <c r="F192" s="98">
        <v>128.25</v>
      </c>
      <c r="G192" s="142">
        <f>ROUND(E192*F192,2)</f>
        <v>641.25</v>
      </c>
      <c r="H192" s="135">
        <f>G192/$G$354</f>
        <v>0.000791506498975</v>
      </c>
      <c r="I192" s="180">
        <f>ROUND(F192*'Прил. 10'!$D$13,2)</f>
        <v>1031.13</v>
      </c>
      <c r="J192" s="180">
        <f>ROUND(I192*E192,2)</f>
        <v>5155.65</v>
      </c>
    </row>
    <row r="193" spans="1:14" customHeight="1" ht="38.25" outlineLevel="1" s="12" customFormat="1">
      <c r="A193" s="179">
        <v>163</v>
      </c>
      <c r="B193" s="130" t="s">
        <v>494</v>
      </c>
      <c r="C193" s="8" t="s">
        <v>495</v>
      </c>
      <c r="D193" s="2" t="s">
        <v>249</v>
      </c>
      <c r="E193" s="178">
        <v>1</v>
      </c>
      <c r="F193" s="98">
        <v>617.94</v>
      </c>
      <c r="G193" s="142">
        <f>ROUND(E193*F193,2)</f>
        <v>617.94</v>
      </c>
      <c r="H193" s="135">
        <f>G193/$G$354</f>
        <v>0.00076273454343332</v>
      </c>
      <c r="I193" s="180">
        <f>ROUND(F193*'Прил. 10'!$D$13,2)</f>
        <v>4968.24</v>
      </c>
      <c r="J193" s="180">
        <f>ROUND(I193*E193,2)</f>
        <v>4968.24</v>
      </c>
    </row>
    <row r="194" spans="1:14" customHeight="1" ht="38.25" outlineLevel="1" s="12" customFormat="1">
      <c r="A194" s="179">
        <v>164</v>
      </c>
      <c r="B194" s="130" t="s">
        <v>496</v>
      </c>
      <c r="C194" s="8" t="s">
        <v>497</v>
      </c>
      <c r="D194" s="2" t="s">
        <v>267</v>
      </c>
      <c r="E194" s="178">
        <v>0.623</v>
      </c>
      <c r="F194" s="98">
        <v>968</v>
      </c>
      <c r="G194" s="142">
        <f>ROUND(E194*F194,2)</f>
        <v>603.06</v>
      </c>
      <c r="H194" s="135">
        <f>G194/$G$354</f>
        <v>0.00074436788970271</v>
      </c>
      <c r="I194" s="180">
        <f>ROUND(F194*'Прил. 10'!$D$13,2)</f>
        <v>7782.72</v>
      </c>
      <c r="J194" s="180">
        <f>ROUND(I194*E194,2)</f>
        <v>4848.63</v>
      </c>
    </row>
    <row r="195" spans="1:14" customHeight="1" ht="14.3" outlineLevel="1" s="12" customFormat="1">
      <c r="A195" s="179">
        <v>165</v>
      </c>
      <c r="B195" s="130" t="s">
        <v>498</v>
      </c>
      <c r="C195" s="8" t="s">
        <v>499</v>
      </c>
      <c r="D195" s="2" t="s">
        <v>500</v>
      </c>
      <c r="E195" s="178">
        <v>30</v>
      </c>
      <c r="F195" s="98">
        <v>19.9</v>
      </c>
      <c r="G195" s="142">
        <f>ROUND(E195*F195,2)</f>
        <v>597</v>
      </c>
      <c r="H195" s="135">
        <f>G195/$G$354</f>
        <v>0.00073688792185275</v>
      </c>
      <c r="I195" s="180">
        <f>ROUND(F195*'Прил. 10'!$D$13,2)</f>
        <v>160</v>
      </c>
      <c r="J195" s="180">
        <f>ROUND(I195*E195,2)</f>
        <v>4800</v>
      </c>
    </row>
    <row r="196" spans="1:14" customHeight="1" ht="38.25" outlineLevel="1" s="12" customFormat="1">
      <c r="A196" s="179">
        <v>166</v>
      </c>
      <c r="B196" s="130" t="s">
        <v>501</v>
      </c>
      <c r="C196" s="8" t="s">
        <v>502</v>
      </c>
      <c r="D196" s="2" t="s">
        <v>267</v>
      </c>
      <c r="E196" s="178">
        <v>0.2797</v>
      </c>
      <c r="F196" s="98">
        <v>1980</v>
      </c>
      <c r="G196" s="142">
        <f>ROUND(E196*F196,2)</f>
        <v>553.81</v>
      </c>
      <c r="H196" s="135">
        <f>G196/$G$354</f>
        <v>0.00068357772194518</v>
      </c>
      <c r="I196" s="180">
        <f>ROUND(F196*'Прил. 10'!$D$13,2)</f>
        <v>15919.2</v>
      </c>
      <c r="J196" s="180">
        <f>ROUND(I196*E196,2)</f>
        <v>4452.6</v>
      </c>
    </row>
    <row r="197" spans="1:14" customHeight="1" ht="14.3" outlineLevel="1" s="12" customFormat="1">
      <c r="A197" s="179">
        <v>167</v>
      </c>
      <c r="B197" s="130" t="s">
        <v>503</v>
      </c>
      <c r="C197" s="8" t="s">
        <v>504</v>
      </c>
      <c r="D197" s="2" t="s">
        <v>280</v>
      </c>
      <c r="E197" s="178">
        <v>0.0556</v>
      </c>
      <c r="F197" s="98">
        <v>9793</v>
      </c>
      <c r="G197" s="142">
        <f>ROUND(E197*F197,2)</f>
        <v>544.49</v>
      </c>
      <c r="H197" s="135">
        <f>G197/$G$354</f>
        <v>0.00067207387700101</v>
      </c>
      <c r="I197" s="180">
        <f>ROUND(F197*'Прил. 10'!$D$13,2)</f>
        <v>78735.72</v>
      </c>
      <c r="J197" s="180">
        <f>ROUND(I197*E197,2)</f>
        <v>4377.71</v>
      </c>
    </row>
    <row r="198" spans="1:14" customHeight="1" ht="14.3" outlineLevel="1" s="12" customFormat="1">
      <c r="A198" s="179">
        <v>168</v>
      </c>
      <c r="B198" s="130" t="s">
        <v>505</v>
      </c>
      <c r="C198" s="8" t="s">
        <v>506</v>
      </c>
      <c r="D198" s="2" t="s">
        <v>249</v>
      </c>
      <c r="E198" s="178">
        <v>2</v>
      </c>
      <c r="F198" s="98">
        <v>270.09</v>
      </c>
      <c r="G198" s="142">
        <f>ROUND(E198*F198,2)</f>
        <v>540.18</v>
      </c>
      <c r="H198" s="135">
        <f>G198/$G$354</f>
        <v>0.0006667539658734</v>
      </c>
      <c r="I198" s="180">
        <f>ROUND(F198*'Прил. 10'!$D$13,2)</f>
        <v>2171.52</v>
      </c>
      <c r="J198" s="180">
        <f>ROUND(I198*E198,2)</f>
        <v>4343.04</v>
      </c>
    </row>
    <row r="199" spans="1:14" customHeight="1" ht="38.25" outlineLevel="1" s="12" customFormat="1">
      <c r="A199" s="179">
        <v>169</v>
      </c>
      <c r="B199" s="130" t="s">
        <v>507</v>
      </c>
      <c r="C199" s="8" t="s">
        <v>508</v>
      </c>
      <c r="D199" s="2" t="s">
        <v>280</v>
      </c>
      <c r="E199" s="178">
        <v>0.0362</v>
      </c>
      <c r="F199" s="98">
        <v>14830</v>
      </c>
      <c r="G199" s="142">
        <f>ROUND(E199*F199,2)</f>
        <v>536.85</v>
      </c>
      <c r="H199" s="135">
        <f>G199/$G$354</f>
        <v>0.0006626436865103</v>
      </c>
      <c r="I199" s="180">
        <f>ROUND(F199*'Прил. 10'!$D$13,2)</f>
        <v>119233.2</v>
      </c>
      <c r="J199" s="180">
        <f>ROUND(I199*E199,2)</f>
        <v>4316.24</v>
      </c>
    </row>
    <row r="200" spans="1:14" customHeight="1" ht="14.3" outlineLevel="1" s="12" customFormat="1">
      <c r="A200" s="179">
        <v>170</v>
      </c>
      <c r="B200" s="130" t="s">
        <v>509</v>
      </c>
      <c r="C200" s="8" t="s">
        <v>510</v>
      </c>
      <c r="D200" s="2" t="s">
        <v>280</v>
      </c>
      <c r="E200" s="178">
        <v>0.0518</v>
      </c>
      <c r="F200" s="98">
        <v>10362</v>
      </c>
      <c r="G200" s="142">
        <f>ROUND(E200*F200,2)</f>
        <v>536.75</v>
      </c>
      <c r="H200" s="135">
        <f>G200/$G$354</f>
        <v>0.0006625202546976</v>
      </c>
      <c r="I200" s="180">
        <f>ROUND(F200*'Прил. 10'!$D$13,2)</f>
        <v>83310.48</v>
      </c>
      <c r="J200" s="180">
        <f>ROUND(I200*E200,2)</f>
        <v>4315.48</v>
      </c>
    </row>
    <row r="201" spans="1:14" customHeight="1" ht="25.5" outlineLevel="1" s="12" customFormat="1">
      <c r="A201" s="179">
        <v>171</v>
      </c>
      <c r="B201" s="130" t="s">
        <v>511</v>
      </c>
      <c r="C201" s="8" t="s">
        <v>512</v>
      </c>
      <c r="D201" s="2" t="s">
        <v>298</v>
      </c>
      <c r="E201" s="178">
        <v>83.204</v>
      </c>
      <c r="F201" s="98">
        <v>6.2</v>
      </c>
      <c r="G201" s="142">
        <f>ROUND(E201*F201,2)</f>
        <v>515.86</v>
      </c>
      <c r="H201" s="135">
        <f>G201/$G$354</f>
        <v>0.00063673534902338</v>
      </c>
      <c r="I201" s="180">
        <f>ROUND(F201*'Прил. 10'!$D$13,2)</f>
        <v>49.85</v>
      </c>
      <c r="J201" s="180">
        <f>ROUND(I201*E201,2)</f>
        <v>4147.72</v>
      </c>
    </row>
    <row r="202" spans="1:14" customHeight="1" ht="38.25" outlineLevel="1" s="12" customFormat="1">
      <c r="A202" s="179">
        <v>172</v>
      </c>
      <c r="B202" s="130" t="s">
        <v>432</v>
      </c>
      <c r="C202" s="8" t="s">
        <v>433</v>
      </c>
      <c r="D202" s="2" t="s">
        <v>298</v>
      </c>
      <c r="E202" s="178">
        <v>79.2</v>
      </c>
      <c r="F202" s="98">
        <v>6.46</v>
      </c>
      <c r="G202" s="142">
        <f>ROUND(E202*F202,2)</f>
        <v>511.63</v>
      </c>
      <c r="H202" s="135">
        <f>G202/$G$354</f>
        <v>0.00063151418334594</v>
      </c>
      <c r="I202" s="180">
        <f>ROUND(F202*'Прил. 10'!$D$13,2)</f>
        <v>51.94</v>
      </c>
      <c r="J202" s="180">
        <f>ROUND(I202*E202,2)</f>
        <v>4113.65</v>
      </c>
    </row>
    <row r="203" spans="1:14" customHeight="1" ht="14.3" outlineLevel="1" s="12" customFormat="1">
      <c r="A203" s="179">
        <v>173</v>
      </c>
      <c r="B203" s="130" t="s">
        <v>513</v>
      </c>
      <c r="C203" s="8" t="s">
        <v>514</v>
      </c>
      <c r="D203" s="2" t="s">
        <v>399</v>
      </c>
      <c r="E203" s="178">
        <v>32.76</v>
      </c>
      <c r="F203" s="98">
        <v>15.25</v>
      </c>
      <c r="G203" s="142">
        <f>ROUND(E203*F203,2)</f>
        <v>499.59</v>
      </c>
      <c r="H203" s="135">
        <f>G203/$G$354</f>
        <v>0.00061665299309618</v>
      </c>
      <c r="I203" s="180">
        <f>ROUND(F203*'Прил. 10'!$D$13,2)</f>
        <v>122.61</v>
      </c>
      <c r="J203" s="180">
        <f>ROUND(I203*E203,2)</f>
        <v>4016.7</v>
      </c>
    </row>
    <row r="204" spans="1:14" customHeight="1" ht="38.25" outlineLevel="1" s="12" customFormat="1">
      <c r="A204" s="179">
        <v>174</v>
      </c>
      <c r="B204" s="130" t="s">
        <v>515</v>
      </c>
      <c r="C204" s="8" t="s">
        <v>516</v>
      </c>
      <c r="D204" s="2" t="s">
        <v>249</v>
      </c>
      <c r="E204" s="178">
        <v>2</v>
      </c>
      <c r="F204" s="98">
        <v>240</v>
      </c>
      <c r="G204" s="142">
        <f>ROUND(E204*F204,2)</f>
        <v>480</v>
      </c>
      <c r="H204" s="135">
        <f>G204/$G$354</f>
        <v>0.00059247270098714</v>
      </c>
      <c r="I204" s="180">
        <f>ROUND(F204*'Прил. 10'!$D$13,2)</f>
        <v>1929.6</v>
      </c>
      <c r="J204" s="180">
        <f>ROUND(I204*E204,2)</f>
        <v>3859.2</v>
      </c>
    </row>
    <row r="205" spans="1:14" customHeight="1" ht="38.25" outlineLevel="1" s="12" customFormat="1">
      <c r="A205" s="179">
        <v>175</v>
      </c>
      <c r="B205" s="130" t="s">
        <v>517</v>
      </c>
      <c r="C205" s="8" t="s">
        <v>518</v>
      </c>
      <c r="D205" s="2" t="s">
        <v>249</v>
      </c>
      <c r="E205" s="178">
        <v>4</v>
      </c>
      <c r="F205" s="98">
        <v>117.85</v>
      </c>
      <c r="G205" s="142">
        <f>ROUND(E205*F205,2)</f>
        <v>471.4</v>
      </c>
      <c r="H205" s="135">
        <f>G205/$G$354</f>
        <v>0.00058185756509445</v>
      </c>
      <c r="I205" s="180">
        <f>ROUND(F205*'Прил. 10'!$D$13,2)</f>
        <v>947.51</v>
      </c>
      <c r="J205" s="180">
        <f>ROUND(I205*E205,2)</f>
        <v>3790.04</v>
      </c>
    </row>
    <row r="206" spans="1:14" customHeight="1" ht="14.3" outlineLevel="1" s="12" customFormat="1">
      <c r="A206" s="179">
        <v>176</v>
      </c>
      <c r="B206" s="130" t="s">
        <v>519</v>
      </c>
      <c r="C206" s="8" t="s">
        <v>520</v>
      </c>
      <c r="D206" s="2" t="s">
        <v>280</v>
      </c>
      <c r="E206" s="178">
        <v>0.0391</v>
      </c>
      <c r="F206" s="98">
        <v>11524</v>
      </c>
      <c r="G206" s="142">
        <f>ROUND(E206*F206,2)</f>
        <v>450.59</v>
      </c>
      <c r="H206" s="135">
        <f>G206/$G$354</f>
        <v>0.0005561714048704</v>
      </c>
      <c r="I206" s="180">
        <f>ROUND(F206*'Прил. 10'!$D$13,2)</f>
        <v>92652.96</v>
      </c>
      <c r="J206" s="180">
        <f>ROUND(I206*E206,2)</f>
        <v>3622.73</v>
      </c>
    </row>
    <row r="207" spans="1:14" customHeight="1" ht="25.5" outlineLevel="1" s="12" customFormat="1">
      <c r="A207" s="179">
        <v>177</v>
      </c>
      <c r="B207" s="171" t="s">
        <v>257</v>
      </c>
      <c r="C207" s="8" t="s">
        <v>521</v>
      </c>
      <c r="D207" s="2" t="s">
        <v>249</v>
      </c>
      <c r="E207" s="178">
        <v>13</v>
      </c>
      <c r="F207" s="98">
        <v>33.49</v>
      </c>
      <c r="G207" s="142">
        <f>ROUND(E207*F207,2)</f>
        <v>435.37</v>
      </c>
      <c r="H207" s="135">
        <f>G207/$G$354</f>
        <v>0.0005373850829766</v>
      </c>
      <c r="I207" s="180">
        <f>ROUND(F207*'Прил. 10'!$D$13,2)</f>
        <v>269.26</v>
      </c>
      <c r="J207" s="180">
        <f>ROUND(I207*E207,2)</f>
        <v>3500.38</v>
      </c>
    </row>
    <row r="208" spans="1:14" customHeight="1" ht="25.5" outlineLevel="1" s="12" customFormat="1">
      <c r="A208" s="179">
        <v>178</v>
      </c>
      <c r="B208" s="130" t="s">
        <v>522</v>
      </c>
      <c r="C208" s="8" t="s">
        <v>523</v>
      </c>
      <c r="D208" s="2" t="s">
        <v>524</v>
      </c>
      <c r="E208" s="178">
        <v>0.028</v>
      </c>
      <c r="F208" s="98">
        <v>15270.7</v>
      </c>
      <c r="G208" s="142">
        <f>ROUND(E208*F208,2)</f>
        <v>427.58</v>
      </c>
      <c r="H208" s="135">
        <f>G208/$G$354</f>
        <v>0.00052776974476683</v>
      </c>
      <c r="I208" s="180">
        <f>ROUND(F208*'Прил. 10'!$D$13,2)</f>
        <v>122776.43</v>
      </c>
      <c r="J208" s="180">
        <f>ROUND(I208*E208,2)</f>
        <v>3437.74</v>
      </c>
    </row>
    <row r="209" spans="1:14" customHeight="1" ht="38.25" outlineLevel="1" s="12" customFormat="1">
      <c r="A209" s="179">
        <v>179</v>
      </c>
      <c r="B209" s="130" t="s">
        <v>525</v>
      </c>
      <c r="C209" s="8" t="s">
        <v>526</v>
      </c>
      <c r="D209" s="2" t="s">
        <v>280</v>
      </c>
      <c r="E209" s="178">
        <v>0.172</v>
      </c>
      <c r="F209" s="98">
        <v>2476.76</v>
      </c>
      <c r="G209" s="142">
        <f>ROUND(E209*F209,2)</f>
        <v>426</v>
      </c>
      <c r="H209" s="135">
        <f>G209/$G$354</f>
        <v>0.00052581952212608</v>
      </c>
      <c r="I209" s="180">
        <f>ROUND(F209*'Прил. 10'!$D$13,2)</f>
        <v>19913.15</v>
      </c>
      <c r="J209" s="180">
        <f>ROUND(I209*E209,2)</f>
        <v>3425.06</v>
      </c>
    </row>
    <row r="210" spans="1:14" customHeight="1" ht="14.3" outlineLevel="1" s="12" customFormat="1">
      <c r="A210" s="179">
        <v>180</v>
      </c>
      <c r="B210" s="130" t="s">
        <v>527</v>
      </c>
      <c r="C210" s="8" t="s">
        <v>528</v>
      </c>
      <c r="D210" s="2" t="s">
        <v>280</v>
      </c>
      <c r="E210" s="178">
        <v>0.0684</v>
      </c>
      <c r="F210" s="98">
        <v>6143.8</v>
      </c>
      <c r="G210" s="142">
        <f>ROUND(E210*F210,2)</f>
        <v>420.24</v>
      </c>
      <c r="H210" s="135">
        <f>G210/$G$354</f>
        <v>0.00051870984971424</v>
      </c>
      <c r="I210" s="180">
        <f>ROUND(F210*'Прил. 10'!$D$13,2)</f>
        <v>49396.15</v>
      </c>
      <c r="J210" s="180">
        <f>ROUND(I210*E210,2)</f>
        <v>3378.7</v>
      </c>
    </row>
    <row r="211" spans="1:14" customHeight="1" ht="14.3" outlineLevel="1" s="12" customFormat="1">
      <c r="A211" s="179">
        <v>181</v>
      </c>
      <c r="B211" s="130" t="s">
        <v>529</v>
      </c>
      <c r="C211" s="8" t="s">
        <v>530</v>
      </c>
      <c r="D211" s="2" t="s">
        <v>399</v>
      </c>
      <c r="E211" s="178">
        <v>14.238</v>
      </c>
      <c r="F211" s="98">
        <v>28.6</v>
      </c>
      <c r="G211" s="142">
        <f>ROUND(E211*F211,2)</f>
        <v>407.21</v>
      </c>
      <c r="H211" s="135">
        <f>G211/$G$354</f>
        <v>0.00050262668451869</v>
      </c>
      <c r="I211" s="180">
        <f>ROUND(F211*'Прил. 10'!$D$13,2)</f>
        <v>229.94</v>
      </c>
      <c r="J211" s="180">
        <f>ROUND(I211*E211,2)</f>
        <v>3273.89</v>
      </c>
    </row>
    <row r="212" spans="1:14" customHeight="1" ht="25.5" outlineLevel="1" s="12" customFormat="1">
      <c r="A212" s="179">
        <v>182</v>
      </c>
      <c r="B212" s="130" t="s">
        <v>531</v>
      </c>
      <c r="C212" s="8" t="s">
        <v>532</v>
      </c>
      <c r="D212" s="2" t="s">
        <v>298</v>
      </c>
      <c r="E212" s="178">
        <v>13.96</v>
      </c>
      <c r="F212" s="98">
        <v>28.25</v>
      </c>
      <c r="G212" s="142">
        <f>ROUND(E212*F212,2)</f>
        <v>394.37</v>
      </c>
      <c r="H212" s="135">
        <f>G212/$G$354</f>
        <v>0.00048677803976729</v>
      </c>
      <c r="I212" s="180">
        <f>ROUND(F212*'Прил. 10'!$D$13,2)</f>
        <v>227.13</v>
      </c>
      <c r="J212" s="180">
        <f>ROUND(I212*E212,2)</f>
        <v>3170.73</v>
      </c>
    </row>
    <row r="213" spans="1:14" customHeight="1" ht="38.25" outlineLevel="1" s="12" customFormat="1">
      <c r="A213" s="179">
        <v>183</v>
      </c>
      <c r="B213" s="130" t="s">
        <v>533</v>
      </c>
      <c r="C213" s="8" t="s">
        <v>534</v>
      </c>
      <c r="D213" s="2" t="s">
        <v>267</v>
      </c>
      <c r="E213" s="178">
        <v>0.3465</v>
      </c>
      <c r="F213" s="98">
        <v>1100</v>
      </c>
      <c r="G213" s="142">
        <f>ROUND(E213*F213,2)</f>
        <v>381.15</v>
      </c>
      <c r="H213" s="135">
        <f>G213/$G$354</f>
        <v>0.0004704603541276</v>
      </c>
      <c r="I213" s="180">
        <f>ROUND(F213*'Прил. 10'!$D$13,2)</f>
        <v>8844</v>
      </c>
      <c r="J213" s="180">
        <f>ROUND(I213*E213,2)</f>
        <v>3064.45</v>
      </c>
    </row>
    <row r="214" spans="1:14" customHeight="1" ht="25.5" outlineLevel="1" s="12" customFormat="1">
      <c r="A214" s="179">
        <v>184</v>
      </c>
      <c r="B214" s="130" t="s">
        <v>535</v>
      </c>
      <c r="C214" s="8" t="s">
        <v>536</v>
      </c>
      <c r="D214" s="2" t="s">
        <v>267</v>
      </c>
      <c r="E214" s="178">
        <v>0.63</v>
      </c>
      <c r="F214" s="98">
        <v>600</v>
      </c>
      <c r="G214" s="142">
        <f>ROUND(E214*F214,2)</f>
        <v>378</v>
      </c>
      <c r="H214" s="135">
        <f>G214/$G$354</f>
        <v>0.00046657225202737</v>
      </c>
      <c r="I214" s="180">
        <f>ROUND(F214*'Прил. 10'!$D$13,2)</f>
        <v>4824</v>
      </c>
      <c r="J214" s="180">
        <f>ROUND(I214*E214,2)</f>
        <v>3039.12</v>
      </c>
    </row>
    <row r="215" spans="1:14" customHeight="1" ht="25.5" outlineLevel="1" s="12" customFormat="1">
      <c r="A215" s="179">
        <v>185</v>
      </c>
      <c r="B215" s="130" t="s">
        <v>537</v>
      </c>
      <c r="C215" s="8" t="s">
        <v>538</v>
      </c>
      <c r="D215" s="2" t="s">
        <v>468</v>
      </c>
      <c r="E215" s="178">
        <v>1.2</v>
      </c>
      <c r="F215" s="98">
        <v>310</v>
      </c>
      <c r="G215" s="142">
        <f>ROUND(E215*F215,2)</f>
        <v>372</v>
      </c>
      <c r="H215" s="135">
        <f>G215/$G$354</f>
        <v>0.00045916634326503</v>
      </c>
      <c r="I215" s="180">
        <f>ROUND(F215*'Прил. 10'!$D$13,2)</f>
        <v>2492.4</v>
      </c>
      <c r="J215" s="180">
        <f>ROUND(I215*E215,2)</f>
        <v>2990.88</v>
      </c>
    </row>
    <row r="216" spans="1:14" customHeight="1" ht="63.7" outlineLevel="1" s="12" customFormat="1">
      <c r="A216" s="179">
        <v>186</v>
      </c>
      <c r="B216" s="130" t="s">
        <v>539</v>
      </c>
      <c r="C216" s="8" t="s">
        <v>540</v>
      </c>
      <c r="D216" s="2" t="s">
        <v>249</v>
      </c>
      <c r="E216" s="178">
        <v>3</v>
      </c>
      <c r="F216" s="98">
        <v>123.84</v>
      </c>
      <c r="G216" s="142">
        <f>ROUND(E216*F216,2)</f>
        <v>371.52</v>
      </c>
      <c r="H216" s="135">
        <f>G216/$G$354</f>
        <v>0.00045857387056404</v>
      </c>
      <c r="I216" s="180">
        <f>ROUND(F216*'Прил. 10'!$D$13,2)</f>
        <v>995.67</v>
      </c>
      <c r="J216" s="180">
        <f>ROUND(I216*E216,2)</f>
        <v>2987.01</v>
      </c>
    </row>
    <row r="217" spans="1:14" customHeight="1" ht="38.25" outlineLevel="1" s="12" customFormat="1">
      <c r="A217" s="179">
        <v>187</v>
      </c>
      <c r="B217" s="130" t="s">
        <v>541</v>
      </c>
      <c r="C217" s="8" t="s">
        <v>542</v>
      </c>
      <c r="D217" s="2" t="s">
        <v>280</v>
      </c>
      <c r="E217" s="178">
        <v>0.2412</v>
      </c>
      <c r="F217" s="98">
        <v>1530</v>
      </c>
      <c r="G217" s="142">
        <f>ROUND(E217*F217,2)</f>
        <v>369.04</v>
      </c>
      <c r="H217" s="135">
        <f>G217/$G$354</f>
        <v>0.00045551276160894</v>
      </c>
      <c r="I217" s="180">
        <f>ROUND(F217*'Прил. 10'!$D$13,2)</f>
        <v>12301.2</v>
      </c>
      <c r="J217" s="180">
        <f>ROUND(I217*E217,2)</f>
        <v>2967.05</v>
      </c>
    </row>
    <row r="218" spans="1:14" customHeight="1" ht="25.5" outlineLevel="1" s="12" customFormat="1">
      <c r="A218" s="179">
        <v>188</v>
      </c>
      <c r="B218" s="130" t="s">
        <v>543</v>
      </c>
      <c r="C218" s="8" t="s">
        <v>544</v>
      </c>
      <c r="D218" s="2" t="s">
        <v>312</v>
      </c>
      <c r="E218" s="178">
        <v>10</v>
      </c>
      <c r="F218" s="98">
        <v>36.2</v>
      </c>
      <c r="G218" s="142">
        <f>ROUND(E218*F218,2)</f>
        <v>362</v>
      </c>
      <c r="H218" s="135">
        <f>G218/$G$354</f>
        <v>0.00044682316199447</v>
      </c>
      <c r="I218" s="180">
        <f>ROUND(F218*'Прил. 10'!$D$13,2)</f>
        <v>291.05</v>
      </c>
      <c r="J218" s="180">
        <f>ROUND(I218*E218,2)</f>
        <v>2910.5</v>
      </c>
    </row>
    <row r="219" spans="1:14" customHeight="1" ht="25.5" outlineLevel="1" s="12" customFormat="1">
      <c r="A219" s="179">
        <v>189</v>
      </c>
      <c r="B219" s="130" t="s">
        <v>545</v>
      </c>
      <c r="C219" s="8" t="s">
        <v>546</v>
      </c>
      <c r="D219" s="2" t="s">
        <v>280</v>
      </c>
      <c r="E219" s="178">
        <v>0.2401</v>
      </c>
      <c r="F219" s="98">
        <v>1383.1</v>
      </c>
      <c r="G219" s="142">
        <f>ROUND(E219*F219,2)</f>
        <v>332.08</v>
      </c>
      <c r="H219" s="135">
        <f>G219/$G$354</f>
        <v>0.00040989236363293</v>
      </c>
      <c r="I219" s="180">
        <f>ROUND(F219*'Прил. 10'!$D$13,2)</f>
        <v>11120.12</v>
      </c>
      <c r="J219" s="180">
        <f>ROUND(I219*E219,2)</f>
        <v>2669.94</v>
      </c>
    </row>
    <row r="220" spans="1:14" customHeight="1" ht="25.5" outlineLevel="1" s="12" customFormat="1">
      <c r="A220" s="179">
        <v>190</v>
      </c>
      <c r="B220" s="130" t="s">
        <v>547</v>
      </c>
      <c r="C220" s="8" t="s">
        <v>548</v>
      </c>
      <c r="D220" s="2" t="s">
        <v>249</v>
      </c>
      <c r="E220" s="178">
        <v>1</v>
      </c>
      <c r="F220" s="98">
        <v>330.65</v>
      </c>
      <c r="G220" s="142">
        <f>ROUND(E220*F220,2)</f>
        <v>330.65</v>
      </c>
      <c r="H220" s="135">
        <f>G220/$G$354</f>
        <v>0.00040812728871124</v>
      </c>
      <c r="I220" s="180">
        <f>ROUND(F220*'Прил. 10'!$D$13,2)</f>
        <v>2658.43</v>
      </c>
      <c r="J220" s="180">
        <f>ROUND(I220*E220,2)</f>
        <v>2658.43</v>
      </c>
    </row>
    <row r="221" spans="1:14" customHeight="1" ht="25.5" outlineLevel="1" s="12" customFormat="1">
      <c r="A221" s="179">
        <v>191</v>
      </c>
      <c r="B221" s="171" t="s">
        <v>257</v>
      </c>
      <c r="C221" s="8" t="s">
        <v>549</v>
      </c>
      <c r="D221" s="2" t="s">
        <v>249</v>
      </c>
      <c r="E221" s="178">
        <v>2</v>
      </c>
      <c r="F221" s="98">
        <v>164.77</v>
      </c>
      <c r="G221" s="142">
        <f>ROUND(E221*F221,2)</f>
        <v>329.54</v>
      </c>
      <c r="H221" s="135">
        <f>G221/$G$354</f>
        <v>0.00040675719559021</v>
      </c>
      <c r="I221" s="180">
        <f>ROUND(F221*'Прил. 10'!$D$13,2)</f>
        <v>1324.75</v>
      </c>
      <c r="J221" s="180">
        <f>ROUND(I221*E221,2)</f>
        <v>2649.5</v>
      </c>
    </row>
    <row r="222" spans="1:14" customHeight="1" ht="25.5" outlineLevel="1" s="12" customFormat="1">
      <c r="A222" s="179">
        <v>192</v>
      </c>
      <c r="B222" s="130" t="s">
        <v>550</v>
      </c>
      <c r="C222" s="8" t="s">
        <v>551</v>
      </c>
      <c r="D222" s="2" t="s">
        <v>280</v>
      </c>
      <c r="E222" s="178">
        <v>0.1258</v>
      </c>
      <c r="F222" s="98">
        <v>2606.9</v>
      </c>
      <c r="G222" s="142">
        <f>ROUND(E222*F222,2)</f>
        <v>327.95</v>
      </c>
      <c r="H222" s="135">
        <f>G222/$G$354</f>
        <v>0.00040479462976819</v>
      </c>
      <c r="I222" s="180">
        <f>ROUND(F222*'Прил. 10'!$D$13,2)</f>
        <v>20959.48</v>
      </c>
      <c r="J222" s="180">
        <f>ROUND(I222*E222,2)</f>
        <v>2636.7</v>
      </c>
    </row>
    <row r="223" spans="1:14" customHeight="1" ht="25.5" outlineLevel="1" s="12" customFormat="1">
      <c r="A223" s="179">
        <v>193</v>
      </c>
      <c r="B223" s="130" t="s">
        <v>552</v>
      </c>
      <c r="C223" s="8" t="s">
        <v>553</v>
      </c>
      <c r="D223" s="2" t="s">
        <v>554</v>
      </c>
      <c r="E223" s="178">
        <v>321.9097</v>
      </c>
      <c r="F223" s="98">
        <v>1</v>
      </c>
      <c r="G223" s="142">
        <f>ROUND(E223*F223,2)</f>
        <v>321.91</v>
      </c>
      <c r="H223" s="135">
        <f>G223/$G$354</f>
        <v>0.00039733934828077</v>
      </c>
      <c r="I223" s="180">
        <f>ROUND(F223*'Прил. 10'!$D$13,2)</f>
        <v>8.04</v>
      </c>
      <c r="J223" s="180">
        <f>ROUND(I223*E223,2)</f>
        <v>2588.15</v>
      </c>
    </row>
    <row r="224" spans="1:14" customHeight="1" ht="25.5" outlineLevel="1" s="12" customFormat="1">
      <c r="A224" s="179">
        <v>194</v>
      </c>
      <c r="B224" s="130" t="s">
        <v>555</v>
      </c>
      <c r="C224" s="8" t="s">
        <v>556</v>
      </c>
      <c r="D224" s="2" t="s">
        <v>404</v>
      </c>
      <c r="E224" s="178">
        <v>3.7</v>
      </c>
      <c r="F224" s="98">
        <v>83</v>
      </c>
      <c r="G224" s="142">
        <f>ROUND(E224*F224,2)</f>
        <v>307.1</v>
      </c>
      <c r="H224" s="135">
        <f>G224/$G$354</f>
        <v>0.00037905909681906</v>
      </c>
      <c r="I224" s="180">
        <f>ROUND(F224*'Прил. 10'!$D$13,2)</f>
        <v>667.32</v>
      </c>
      <c r="J224" s="180">
        <f>ROUND(I224*E224,2)</f>
        <v>2469.08</v>
      </c>
    </row>
    <row r="225" spans="1:14" customHeight="1" ht="14.3" outlineLevel="1" s="12" customFormat="1">
      <c r="A225" s="179">
        <v>195</v>
      </c>
      <c r="B225" s="130" t="s">
        <v>557</v>
      </c>
      <c r="C225" s="8" t="s">
        <v>558</v>
      </c>
      <c r="D225" s="2" t="s">
        <v>280</v>
      </c>
      <c r="E225" s="178">
        <v>0.0252</v>
      </c>
      <c r="F225" s="98">
        <v>12034</v>
      </c>
      <c r="G225" s="142">
        <f>ROUND(E225*F225,2)</f>
        <v>303.26</v>
      </c>
      <c r="H225" s="135">
        <f>G225/$G$354</f>
        <v>0.00037431931521117</v>
      </c>
      <c r="I225" s="180">
        <f>ROUND(F225*'Прил. 10'!$D$13,2)</f>
        <v>96753.36</v>
      </c>
      <c r="J225" s="180">
        <f>ROUND(I225*E225,2)</f>
        <v>2438.18</v>
      </c>
    </row>
    <row r="226" spans="1:14" customHeight="1" ht="50.95" outlineLevel="1" s="12" customFormat="1">
      <c r="A226" s="179">
        <v>196</v>
      </c>
      <c r="B226" s="130" t="s">
        <v>559</v>
      </c>
      <c r="C226" s="8" t="s">
        <v>560</v>
      </c>
      <c r="D226" s="2" t="s">
        <v>249</v>
      </c>
      <c r="E226" s="178">
        <v>2</v>
      </c>
      <c r="F226" s="98">
        <v>149.54</v>
      </c>
      <c r="G226" s="142">
        <f>ROUND(E226*F226,2)</f>
        <v>299.08</v>
      </c>
      <c r="H226" s="135">
        <f>G226/$G$354</f>
        <v>0.00036915986544007</v>
      </c>
      <c r="I226" s="180">
        <f>ROUND(F226*'Прил. 10'!$D$13,2)</f>
        <v>1202.3</v>
      </c>
      <c r="J226" s="180">
        <f>ROUND(I226*E226,2)</f>
        <v>2404.6</v>
      </c>
    </row>
    <row r="227" spans="1:14" customHeight="1" ht="38.25" outlineLevel="1" s="12" customFormat="1">
      <c r="A227" s="179">
        <v>197</v>
      </c>
      <c r="B227" s="130" t="s">
        <v>561</v>
      </c>
      <c r="C227" s="8" t="s">
        <v>562</v>
      </c>
      <c r="D227" s="2" t="s">
        <v>249</v>
      </c>
      <c r="E227" s="178">
        <v>4</v>
      </c>
      <c r="F227" s="98">
        <v>73.39</v>
      </c>
      <c r="G227" s="142">
        <f>ROUND(E227*F227,2)</f>
        <v>293.56</v>
      </c>
      <c r="H227" s="135">
        <f>G227/$G$354</f>
        <v>0.00036234642937872</v>
      </c>
      <c r="I227" s="180">
        <f>ROUND(F227*'Прил. 10'!$D$13,2)</f>
        <v>590.06</v>
      </c>
      <c r="J227" s="180">
        <f>ROUND(I227*E227,2)</f>
        <v>2360.24</v>
      </c>
    </row>
    <row r="228" spans="1:14" customHeight="1" ht="14.3" outlineLevel="1" s="12" customFormat="1">
      <c r="A228" s="179">
        <v>198</v>
      </c>
      <c r="B228" s="130" t="s">
        <v>563</v>
      </c>
      <c r="C228" s="8" t="s">
        <v>564</v>
      </c>
      <c r="D228" s="2" t="s">
        <v>399</v>
      </c>
      <c r="E228" s="178">
        <v>10.612</v>
      </c>
      <c r="F228" s="98">
        <v>24.86</v>
      </c>
      <c r="G228" s="142">
        <f>ROUND(E228*F228,2)</f>
        <v>263.81</v>
      </c>
      <c r="H228" s="135">
        <f>G228/$G$354</f>
        <v>0.00032562546509878</v>
      </c>
      <c r="I228" s="180">
        <f>ROUND(F228*'Прил. 10'!$D$13,2)</f>
        <v>199.87</v>
      </c>
      <c r="J228" s="180">
        <f>ROUND(I228*E228,2)</f>
        <v>2121.02</v>
      </c>
    </row>
    <row r="229" spans="1:14" customHeight="1" ht="14.3" outlineLevel="1" s="12" customFormat="1">
      <c r="A229" s="179">
        <v>199</v>
      </c>
      <c r="B229" s="130" t="s">
        <v>565</v>
      </c>
      <c r="C229" s="8" t="s">
        <v>566</v>
      </c>
      <c r="D229" s="2" t="s">
        <v>524</v>
      </c>
      <c r="E229" s="178">
        <v>0.96</v>
      </c>
      <c r="F229" s="98">
        <v>270</v>
      </c>
      <c r="G229" s="142">
        <f>ROUND(E229*F229,2)</f>
        <v>259.2</v>
      </c>
      <c r="H229" s="135">
        <f>G229/$G$354</f>
        <v>0.00031993525853305</v>
      </c>
      <c r="I229" s="180">
        <f>ROUND(F229*'Прил. 10'!$D$13,2)</f>
        <v>2170.8</v>
      </c>
      <c r="J229" s="180">
        <f>ROUND(I229*E229,2)</f>
        <v>2083.97</v>
      </c>
    </row>
    <row r="230" spans="1:14" customHeight="1" ht="14.3" outlineLevel="1" s="12" customFormat="1">
      <c r="A230" s="179">
        <v>200</v>
      </c>
      <c r="B230" s="130" t="s">
        <v>567</v>
      </c>
      <c r="C230" s="8" t="s">
        <v>568</v>
      </c>
      <c r="D230" s="2" t="s">
        <v>280</v>
      </c>
      <c r="E230" s="178">
        <v>0.0315</v>
      </c>
      <c r="F230" s="98">
        <v>7977</v>
      </c>
      <c r="G230" s="142">
        <f>ROUND(E230*F230,2)</f>
        <v>251.28</v>
      </c>
      <c r="H230" s="135">
        <f>G230/$G$354</f>
        <v>0.00031015945896677</v>
      </c>
      <c r="I230" s="180">
        <f>ROUND(F230*'Прил. 10'!$D$13,2)</f>
        <v>64135.08</v>
      </c>
      <c r="J230" s="180">
        <f>ROUND(I230*E230,2)</f>
        <v>2020.26</v>
      </c>
    </row>
    <row r="231" spans="1:14" customHeight="1" ht="63.7" outlineLevel="1" s="12" customFormat="1">
      <c r="A231" s="179">
        <v>201</v>
      </c>
      <c r="B231" s="130" t="s">
        <v>569</v>
      </c>
      <c r="C231" s="8" t="s">
        <v>570</v>
      </c>
      <c r="D231" s="2" t="s">
        <v>287</v>
      </c>
      <c r="E231" s="178">
        <v>0.05</v>
      </c>
      <c r="F231" s="98">
        <v>4883.86</v>
      </c>
      <c r="G231" s="142">
        <f>ROUND(E231*F231,2)</f>
        <v>244.19</v>
      </c>
      <c r="H231" s="135">
        <f>G231/$G$354</f>
        <v>0.00030140814344594</v>
      </c>
      <c r="I231" s="180">
        <f>ROUND(F231*'Прил. 10'!$D$13,2)</f>
        <v>39266.23</v>
      </c>
      <c r="J231" s="180">
        <f>ROUND(I231*E231,2)</f>
        <v>1963.31</v>
      </c>
    </row>
    <row r="232" spans="1:14" customHeight="1" ht="38.25" outlineLevel="1" s="12" customFormat="1">
      <c r="A232" s="179">
        <v>202</v>
      </c>
      <c r="B232" s="130" t="s">
        <v>571</v>
      </c>
      <c r="C232" s="8" t="s">
        <v>516</v>
      </c>
      <c r="D232" s="2" t="s">
        <v>249</v>
      </c>
      <c r="E232" s="178">
        <v>1</v>
      </c>
      <c r="F232" s="98">
        <v>240</v>
      </c>
      <c r="G232" s="142">
        <f>ROUND(E232*F232,2)</f>
        <v>240</v>
      </c>
      <c r="H232" s="135">
        <f>G232/$G$354</f>
        <v>0.00029623635049357</v>
      </c>
      <c r="I232" s="180">
        <f>ROUND(F232*'Прил. 10'!$D$13,2)</f>
        <v>1929.6</v>
      </c>
      <c r="J232" s="180">
        <f>ROUND(I232*E232,2)</f>
        <v>1929.6</v>
      </c>
    </row>
    <row r="233" spans="1:14" customHeight="1" ht="25.5" outlineLevel="1" s="12" customFormat="1">
      <c r="A233" s="179">
        <v>203</v>
      </c>
      <c r="B233" s="130" t="s">
        <v>572</v>
      </c>
      <c r="C233" s="8" t="s">
        <v>573</v>
      </c>
      <c r="D233" s="2" t="s">
        <v>524</v>
      </c>
      <c r="E233" s="178">
        <v>0.03</v>
      </c>
      <c r="F233" s="98">
        <v>7980</v>
      </c>
      <c r="G233" s="142">
        <f>ROUND(E233*F233,2)</f>
        <v>239.4</v>
      </c>
      <c r="H233" s="135">
        <f>G233/$G$354</f>
        <v>0.00029549575961733</v>
      </c>
      <c r="I233" s="180">
        <f>ROUND(F233*'Прил. 10'!$D$13,2)</f>
        <v>64159.2</v>
      </c>
      <c r="J233" s="180">
        <f>ROUND(I233*E233,2)</f>
        <v>1924.78</v>
      </c>
    </row>
    <row r="234" spans="1:14" customHeight="1" ht="38.25" outlineLevel="1" s="12" customFormat="1">
      <c r="A234" s="179">
        <v>204</v>
      </c>
      <c r="B234" s="130" t="s">
        <v>574</v>
      </c>
      <c r="C234" s="8" t="s">
        <v>575</v>
      </c>
      <c r="D234" s="2" t="s">
        <v>399</v>
      </c>
      <c r="E234" s="178">
        <v>7.6077</v>
      </c>
      <c r="F234" s="98">
        <v>30.4</v>
      </c>
      <c r="G234" s="142">
        <f>ROUND(E234*F234,2)</f>
        <v>231.27</v>
      </c>
      <c r="H234" s="135">
        <f>G234/$G$354</f>
        <v>0.00028546075324437</v>
      </c>
      <c r="I234" s="180">
        <f>ROUND(F234*'Прил. 10'!$D$13,2)</f>
        <v>244.42</v>
      </c>
      <c r="J234" s="180">
        <f>ROUND(I234*E234,2)</f>
        <v>1859.47</v>
      </c>
    </row>
    <row r="235" spans="1:14" customHeight="1" ht="76.75" outlineLevel="1" s="12" customFormat="1">
      <c r="A235" s="179">
        <v>205</v>
      </c>
      <c r="B235" s="130" t="s">
        <v>576</v>
      </c>
      <c r="C235" s="8" t="s">
        <v>577</v>
      </c>
      <c r="D235" s="2" t="s">
        <v>280</v>
      </c>
      <c r="E235" s="178">
        <v>0.0224</v>
      </c>
      <c r="F235" s="98">
        <v>10045</v>
      </c>
      <c r="G235" s="142">
        <f>ROUND(E235*F235,2)</f>
        <v>225.01</v>
      </c>
      <c r="H235" s="135">
        <f>G235/$G$354</f>
        <v>0.00027773392176899</v>
      </c>
      <c r="I235" s="180">
        <f>ROUND(F235*'Прил. 10'!$D$13,2)</f>
        <v>80761.8</v>
      </c>
      <c r="J235" s="180">
        <f>ROUND(I235*E235,2)</f>
        <v>1809.06</v>
      </c>
    </row>
    <row r="236" spans="1:14" customHeight="1" ht="63.7" outlineLevel="1" s="12" customFormat="1">
      <c r="A236" s="179">
        <v>206</v>
      </c>
      <c r="B236" s="130" t="s">
        <v>578</v>
      </c>
      <c r="C236" s="8" t="s">
        <v>579</v>
      </c>
      <c r="D236" s="2" t="s">
        <v>249</v>
      </c>
      <c r="E236" s="178">
        <v>0.2</v>
      </c>
      <c r="F236" s="98">
        <v>1123.2</v>
      </c>
      <c r="G236" s="142">
        <f>ROUND(E236*F236,2)</f>
        <v>224.64</v>
      </c>
      <c r="H236" s="135">
        <f>G236/$G$354</f>
        <v>0.00027727722406198</v>
      </c>
      <c r="I236" s="180">
        <f>ROUND(F236*'Прил. 10'!$D$13,2)</f>
        <v>9030.53</v>
      </c>
      <c r="J236" s="180">
        <f>ROUND(I236*E236,2)</f>
        <v>1806.11</v>
      </c>
    </row>
    <row r="237" spans="1:14" customHeight="1" ht="14.3" outlineLevel="1" s="12" customFormat="1">
      <c r="A237" s="179">
        <v>207</v>
      </c>
      <c r="B237" s="130" t="s">
        <v>580</v>
      </c>
      <c r="C237" s="8" t="s">
        <v>581</v>
      </c>
      <c r="D237" s="2" t="s">
        <v>267</v>
      </c>
      <c r="E237" s="178">
        <v>84.5524</v>
      </c>
      <c r="F237" s="98">
        <v>2.44</v>
      </c>
      <c r="G237" s="142">
        <f>ROUND(E237*F237,2)</f>
        <v>206.31</v>
      </c>
      <c r="H237" s="135">
        <f>G237/$G$354</f>
        <v>0.00025465217279303</v>
      </c>
      <c r="I237" s="180">
        <f>ROUND(F237*'Прил. 10'!$D$13,2)</f>
        <v>19.62</v>
      </c>
      <c r="J237" s="180">
        <f>ROUND(I237*E237,2)</f>
        <v>1658.92</v>
      </c>
    </row>
    <row r="238" spans="1:14" customHeight="1" ht="38.25" outlineLevel="1" s="12" customFormat="1">
      <c r="A238" s="179">
        <v>208</v>
      </c>
      <c r="B238" s="130" t="s">
        <v>582</v>
      </c>
      <c r="C238" s="8" t="s">
        <v>583</v>
      </c>
      <c r="D238" s="2" t="s">
        <v>267</v>
      </c>
      <c r="E238" s="178">
        <v>0.1932</v>
      </c>
      <c r="F238" s="98">
        <v>1056</v>
      </c>
      <c r="G238" s="142">
        <f>ROUND(E238*F238,2)</f>
        <v>204.02</v>
      </c>
      <c r="H238" s="135">
        <f>G238/$G$354</f>
        <v>0.00025182558428207</v>
      </c>
      <c r="I238" s="180">
        <f>ROUND(F238*'Прил. 10'!$D$13,2)</f>
        <v>8490.24</v>
      </c>
      <c r="J238" s="180">
        <f>ROUND(I238*E238,2)</f>
        <v>1640.31</v>
      </c>
    </row>
    <row r="239" spans="1:14" customHeight="1" ht="14.3" outlineLevel="1" s="12" customFormat="1">
      <c r="A239" s="179">
        <v>209</v>
      </c>
      <c r="B239" s="130" t="s">
        <v>584</v>
      </c>
      <c r="C239" s="8" t="s">
        <v>585</v>
      </c>
      <c r="D239" s="2" t="s">
        <v>280</v>
      </c>
      <c r="E239" s="178">
        <v>0.02232</v>
      </c>
      <c r="F239" s="98">
        <v>9040.01</v>
      </c>
      <c r="G239" s="142">
        <f>ROUND(E239*F239,2)</f>
        <v>201.77</v>
      </c>
      <c r="H239" s="135">
        <f>G239/$G$354</f>
        <v>0.0002490483684962</v>
      </c>
      <c r="I239" s="180">
        <f>ROUND(F239*'Прил. 10'!$D$13,2)</f>
        <v>72681.68</v>
      </c>
      <c r="J239" s="180">
        <f>ROUND(I239*E239,2)</f>
        <v>1622.26</v>
      </c>
    </row>
    <row r="240" spans="1:14" customHeight="1" ht="25.5" outlineLevel="1" s="12" customFormat="1">
      <c r="A240" s="179">
        <v>210</v>
      </c>
      <c r="B240" s="130" t="s">
        <v>586</v>
      </c>
      <c r="C240" s="8" t="s">
        <v>587</v>
      </c>
      <c r="D240" s="2" t="s">
        <v>249</v>
      </c>
      <c r="E240" s="178">
        <v>1</v>
      </c>
      <c r="F240" s="98">
        <v>201.18</v>
      </c>
      <c r="G240" s="142">
        <f>ROUND(E240*F240,2)</f>
        <v>201.18</v>
      </c>
      <c r="H240" s="135">
        <f>G240/$G$354</f>
        <v>0.00024832012080123</v>
      </c>
      <c r="I240" s="180">
        <f>ROUND(F240*'Прил. 10'!$D$13,2)</f>
        <v>1617.49</v>
      </c>
      <c r="J240" s="180">
        <f>ROUND(I240*E240,2)</f>
        <v>1617.49</v>
      </c>
    </row>
    <row r="241" spans="1:14" customHeight="1" ht="25.5" outlineLevel="1" s="12" customFormat="1">
      <c r="A241" s="179">
        <v>211</v>
      </c>
      <c r="B241" s="130" t="s">
        <v>588</v>
      </c>
      <c r="C241" s="8" t="s">
        <v>589</v>
      </c>
      <c r="D241" s="2" t="s">
        <v>298</v>
      </c>
      <c r="E241" s="178">
        <v>55.13</v>
      </c>
      <c r="F241" s="98">
        <v>3.62</v>
      </c>
      <c r="G241" s="142">
        <f>ROUND(E241*F241,2)</f>
        <v>199.57</v>
      </c>
      <c r="H241" s="135">
        <f>G241/$G$354</f>
        <v>0.00024633286861667</v>
      </c>
      <c r="I241" s="180">
        <f>ROUND(F241*'Прил. 10'!$D$13,2)</f>
        <v>29.1</v>
      </c>
      <c r="J241" s="180">
        <f>ROUND(I241*E241,2)</f>
        <v>1604.28</v>
      </c>
    </row>
    <row r="242" spans="1:14" customHeight="1" ht="63.7" outlineLevel="1" s="12" customFormat="1">
      <c r="A242" s="179">
        <v>212</v>
      </c>
      <c r="B242" s="130" t="s">
        <v>590</v>
      </c>
      <c r="C242" s="8" t="s">
        <v>591</v>
      </c>
      <c r="D242" s="2" t="s">
        <v>249</v>
      </c>
      <c r="E242" s="178">
        <v>4</v>
      </c>
      <c r="F242" s="98">
        <v>48.28</v>
      </c>
      <c r="G242" s="142">
        <f>ROUND(E242*F242,2)</f>
        <v>193.12</v>
      </c>
      <c r="H242" s="135">
        <f>G242/$G$354</f>
        <v>0.00023837151669716</v>
      </c>
      <c r="I242" s="180">
        <f>ROUND(F242*'Прил. 10'!$D$13,2)</f>
        <v>388.17</v>
      </c>
      <c r="J242" s="180">
        <f>ROUND(I242*E242,2)</f>
        <v>1552.68</v>
      </c>
    </row>
    <row r="243" spans="1:14" customHeight="1" ht="63.7" outlineLevel="1" s="12" customFormat="1">
      <c r="A243" s="179">
        <v>213</v>
      </c>
      <c r="B243" s="130" t="s">
        <v>592</v>
      </c>
      <c r="C243" s="8" t="s">
        <v>593</v>
      </c>
      <c r="D243" s="2" t="s">
        <v>312</v>
      </c>
      <c r="E243" s="178">
        <v>3</v>
      </c>
      <c r="F243" s="98">
        <v>60.37</v>
      </c>
      <c r="G243" s="142">
        <f>ROUND(E243*F243,2)</f>
        <v>181.11</v>
      </c>
      <c r="H243" s="135">
        <f>G243/$G$354</f>
        <v>0.00022354735599121</v>
      </c>
      <c r="I243" s="180">
        <f>ROUND(F243*'Прил. 10'!$D$13,2)</f>
        <v>485.37</v>
      </c>
      <c r="J243" s="180">
        <f>ROUND(I243*E243,2)</f>
        <v>1456.11</v>
      </c>
    </row>
    <row r="244" spans="1:14" customHeight="1" ht="63.7" outlineLevel="1" s="12" customFormat="1">
      <c r="A244" s="179">
        <v>214</v>
      </c>
      <c r="B244" s="130" t="s">
        <v>594</v>
      </c>
      <c r="C244" s="8" t="s">
        <v>595</v>
      </c>
      <c r="D244" s="2" t="s">
        <v>249</v>
      </c>
      <c r="E244" s="178">
        <v>2</v>
      </c>
      <c r="F244" s="98">
        <v>84.41</v>
      </c>
      <c r="G244" s="142">
        <f>ROUND(E244*F244,2)</f>
        <v>168.82</v>
      </c>
      <c r="H244" s="135">
        <f>G244/$G$354</f>
        <v>0.00020837758620968</v>
      </c>
      <c r="I244" s="180">
        <f>ROUND(F244*'Прил. 10'!$D$13,2)</f>
        <v>678.66</v>
      </c>
      <c r="J244" s="180">
        <f>ROUND(I244*E244,2)</f>
        <v>1357.32</v>
      </c>
    </row>
    <row r="245" spans="1:14" customHeight="1" ht="63.7" outlineLevel="1" s="12" customFormat="1">
      <c r="A245" s="179">
        <v>215</v>
      </c>
      <c r="B245" s="130" t="s">
        <v>596</v>
      </c>
      <c r="C245" s="8" t="s">
        <v>597</v>
      </c>
      <c r="D245" s="2" t="s">
        <v>287</v>
      </c>
      <c r="E245" s="178">
        <v>0.05</v>
      </c>
      <c r="F245" s="98">
        <v>3246.49</v>
      </c>
      <c r="G245" s="142">
        <f>ROUND(E245*F245,2)</f>
        <v>162.32</v>
      </c>
      <c r="H245" s="135">
        <f>G245/$G$354</f>
        <v>0.00020035451838382</v>
      </c>
      <c r="I245" s="180">
        <f>ROUND(F245*'Прил. 10'!$D$13,2)</f>
        <v>26101.78</v>
      </c>
      <c r="J245" s="180">
        <f>ROUND(I245*E245,2)</f>
        <v>1305.09</v>
      </c>
    </row>
    <row r="246" spans="1:14" customHeight="1" ht="14.3" outlineLevel="1" s="12" customFormat="1">
      <c r="A246" s="179">
        <v>216</v>
      </c>
      <c r="B246" s="130" t="s">
        <v>598</v>
      </c>
      <c r="C246" s="8" t="s">
        <v>599</v>
      </c>
      <c r="D246" s="2" t="s">
        <v>399</v>
      </c>
      <c r="E246" s="178">
        <v>6</v>
      </c>
      <c r="F246" s="98">
        <v>25.8</v>
      </c>
      <c r="G246" s="142">
        <f>ROUND(E246*F246,2)</f>
        <v>154.8</v>
      </c>
      <c r="H246" s="135">
        <f>G246/$G$354</f>
        <v>0.00019107244606835</v>
      </c>
      <c r="I246" s="180">
        <f>ROUND(F246*'Прил. 10'!$D$13,2)</f>
        <v>207.43</v>
      </c>
      <c r="J246" s="180">
        <f>ROUND(I246*E246,2)</f>
        <v>1244.58</v>
      </c>
    </row>
    <row r="247" spans="1:14" customHeight="1" ht="38.25" outlineLevel="1" s="12" customFormat="1">
      <c r="A247" s="179">
        <v>217</v>
      </c>
      <c r="B247" s="130" t="s">
        <v>600</v>
      </c>
      <c r="C247" s="8" t="s">
        <v>601</v>
      </c>
      <c r="D247" s="2" t="s">
        <v>267</v>
      </c>
      <c r="E247" s="178">
        <v>0.2772</v>
      </c>
      <c r="F247" s="98">
        <v>558.33</v>
      </c>
      <c r="G247" s="142">
        <f>ROUND(E247*F247,2)</f>
        <v>154.77</v>
      </c>
      <c r="H247" s="135">
        <f>G247/$G$354</f>
        <v>0.00019103541652454</v>
      </c>
      <c r="I247" s="180">
        <f>ROUND(F247*'Прил. 10'!$D$13,2)</f>
        <v>4488.97</v>
      </c>
      <c r="J247" s="180">
        <f>ROUND(I247*E247,2)</f>
        <v>1244.34</v>
      </c>
    </row>
    <row r="248" spans="1:14" customHeight="1" ht="25.5" outlineLevel="1" s="12" customFormat="1">
      <c r="A248" s="179">
        <v>218</v>
      </c>
      <c r="B248" s="130" t="s">
        <v>602</v>
      </c>
      <c r="C248" s="8" t="s">
        <v>603</v>
      </c>
      <c r="D248" s="2" t="s">
        <v>267</v>
      </c>
      <c r="E248" s="178">
        <v>0.2972</v>
      </c>
      <c r="F248" s="98">
        <v>519.8</v>
      </c>
      <c r="G248" s="142">
        <f>ROUND(E248*F248,2)</f>
        <v>154.48</v>
      </c>
      <c r="H248" s="135">
        <f>G248/$G$354</f>
        <v>0.00019067746426769</v>
      </c>
      <c r="I248" s="180">
        <f>ROUND(F248*'Прил. 10'!$D$13,2)</f>
        <v>4179.19</v>
      </c>
      <c r="J248" s="180">
        <f>ROUND(I248*E248,2)</f>
        <v>1242.06</v>
      </c>
    </row>
    <row r="249" spans="1:14" customHeight="1" ht="14.3" outlineLevel="1" s="12" customFormat="1">
      <c r="A249" s="179">
        <v>219</v>
      </c>
      <c r="B249" s="130" t="s">
        <v>604</v>
      </c>
      <c r="C249" s="8" t="s">
        <v>605</v>
      </c>
      <c r="D249" s="2" t="s">
        <v>267</v>
      </c>
      <c r="E249" s="178">
        <v>23.6904</v>
      </c>
      <c r="F249" s="98">
        <v>6.22</v>
      </c>
      <c r="G249" s="142">
        <f>ROUND(E249*F249,2)</f>
        <v>147.35</v>
      </c>
      <c r="H249" s="135">
        <f>G249/$G$354</f>
        <v>0.00018187677602178</v>
      </c>
      <c r="I249" s="180">
        <f>ROUND(F249*'Прил. 10'!$D$13,2)</f>
        <v>50.01</v>
      </c>
      <c r="J249" s="180">
        <f>ROUND(I249*E249,2)</f>
        <v>1184.76</v>
      </c>
    </row>
    <row r="250" spans="1:14" customHeight="1" ht="63.7" outlineLevel="1" s="12" customFormat="1">
      <c r="A250" s="179">
        <v>220</v>
      </c>
      <c r="B250" s="130" t="s">
        <v>606</v>
      </c>
      <c r="C250" s="8" t="s">
        <v>607</v>
      </c>
      <c r="D250" s="2" t="s">
        <v>287</v>
      </c>
      <c r="E250" s="178">
        <v>0.02</v>
      </c>
      <c r="F250" s="98">
        <v>6469.25</v>
      </c>
      <c r="G250" s="142">
        <f>ROUND(E250*F250,2)</f>
        <v>129.39</v>
      </c>
      <c r="H250" s="135">
        <f>G250/$G$354</f>
        <v>0.00015970842245985</v>
      </c>
      <c r="I250" s="180">
        <f>ROUND(F250*'Прил. 10'!$D$13,2)</f>
        <v>52012.77</v>
      </c>
      <c r="J250" s="180">
        <f>ROUND(I250*E250,2)</f>
        <v>1040.26</v>
      </c>
    </row>
    <row r="251" spans="1:14" customHeight="1" ht="25.5" outlineLevel="1" s="12" customFormat="1">
      <c r="A251" s="179">
        <v>221</v>
      </c>
      <c r="B251" s="130" t="s">
        <v>608</v>
      </c>
      <c r="C251" s="8" t="s">
        <v>609</v>
      </c>
      <c r="D251" s="2" t="s">
        <v>280</v>
      </c>
      <c r="E251" s="178">
        <v>0.0211</v>
      </c>
      <c r="F251" s="98">
        <v>5989</v>
      </c>
      <c r="G251" s="142">
        <f>ROUND(E251*F251,2)</f>
        <v>126.37</v>
      </c>
      <c r="H251" s="135">
        <f>G251/$G$354</f>
        <v>0.00015598078171613</v>
      </c>
      <c r="I251" s="180">
        <f>ROUND(F251*'Прил. 10'!$D$13,2)</f>
        <v>48151.56</v>
      </c>
      <c r="J251" s="180">
        <f>ROUND(I251*E251,2)</f>
        <v>1016</v>
      </c>
    </row>
    <row r="252" spans="1:14" customHeight="1" ht="14.3" outlineLevel="1" s="12" customFormat="1">
      <c r="A252" s="179">
        <v>222</v>
      </c>
      <c r="B252" s="130" t="s">
        <v>610</v>
      </c>
      <c r="C252" s="8" t="s">
        <v>611</v>
      </c>
      <c r="D252" s="2" t="s">
        <v>399</v>
      </c>
      <c r="E252" s="178">
        <v>11.87984</v>
      </c>
      <c r="F252" s="98">
        <v>10.05</v>
      </c>
      <c r="G252" s="142">
        <f>ROUND(E252*F252,2)</f>
        <v>119.39</v>
      </c>
      <c r="H252" s="135">
        <f>G252/$G$354</f>
        <v>0.00014736524118928</v>
      </c>
      <c r="I252" s="180">
        <f>ROUND(F252*'Прил. 10'!$D$13,2)</f>
        <v>80.8</v>
      </c>
      <c r="J252" s="180">
        <f>ROUND(I252*E252,2)</f>
        <v>959.89</v>
      </c>
    </row>
    <row r="253" spans="1:14" customHeight="1" ht="14.3" outlineLevel="1" s="12" customFormat="1">
      <c r="A253" s="179">
        <v>223</v>
      </c>
      <c r="B253" s="130" t="s">
        <v>612</v>
      </c>
      <c r="C253" s="8" t="s">
        <v>613</v>
      </c>
      <c r="D253" s="2" t="s">
        <v>404</v>
      </c>
      <c r="E253" s="178">
        <v>1.8</v>
      </c>
      <c r="F253" s="98">
        <v>66</v>
      </c>
      <c r="G253" s="142">
        <f>ROUND(E253*F253,2)</f>
        <v>118.8</v>
      </c>
      <c r="H253" s="135">
        <f>G253/$G$354</f>
        <v>0.00014663699349432</v>
      </c>
      <c r="I253" s="180">
        <f>ROUND(F253*'Прил. 10'!$D$13,2)</f>
        <v>530.64</v>
      </c>
      <c r="J253" s="180">
        <f>ROUND(I253*E253,2)</f>
        <v>955.15</v>
      </c>
    </row>
    <row r="254" spans="1:14" customHeight="1" ht="50.95" outlineLevel="1" s="12" customFormat="1">
      <c r="A254" s="179">
        <v>224</v>
      </c>
      <c r="B254" s="130" t="s">
        <v>614</v>
      </c>
      <c r="C254" s="8" t="s">
        <v>615</v>
      </c>
      <c r="D254" s="2" t="s">
        <v>280</v>
      </c>
      <c r="E254" s="178">
        <v>0.0153</v>
      </c>
      <c r="F254" s="98">
        <v>7712</v>
      </c>
      <c r="G254" s="142">
        <f>ROUND(E254*F254,2)</f>
        <v>117.99</v>
      </c>
      <c r="H254" s="135">
        <f>G254/$G$354</f>
        <v>0.0001456371958114</v>
      </c>
      <c r="I254" s="180">
        <f>ROUND(F254*'Прил. 10'!$D$13,2)</f>
        <v>62004.48</v>
      </c>
      <c r="J254" s="180">
        <f>ROUND(I254*E254,2)</f>
        <v>948.67</v>
      </c>
    </row>
    <row r="255" spans="1:14" customHeight="1" ht="25.5" outlineLevel="1" s="12" customFormat="1">
      <c r="A255" s="179">
        <v>225</v>
      </c>
      <c r="B255" s="130" t="s">
        <v>616</v>
      </c>
      <c r="C255" s="8" t="s">
        <v>617</v>
      </c>
      <c r="D255" s="2" t="s">
        <v>399</v>
      </c>
      <c r="E255" s="178">
        <v>1.756</v>
      </c>
      <c r="F255" s="98">
        <v>65.75</v>
      </c>
      <c r="G255" s="142">
        <f>ROUND(E255*F255,2)</f>
        <v>115.46</v>
      </c>
      <c r="H255" s="135">
        <f>G255/$G$354</f>
        <v>0.00014251437094995</v>
      </c>
      <c r="I255" s="180">
        <f>ROUND(F255*'Прил. 10'!$D$13,2)</f>
        <v>528.63</v>
      </c>
      <c r="J255" s="180">
        <f>ROUND(I255*E255,2)</f>
        <v>928.27</v>
      </c>
    </row>
    <row r="256" spans="1:14" customHeight="1" ht="14.3" outlineLevel="1" s="12" customFormat="1">
      <c r="A256" s="179">
        <v>226</v>
      </c>
      <c r="B256" s="130" t="s">
        <v>618</v>
      </c>
      <c r="C256" s="8" t="s">
        <v>619</v>
      </c>
      <c r="D256" s="2" t="s">
        <v>280</v>
      </c>
      <c r="E256" s="178">
        <v>0.0256</v>
      </c>
      <c r="F256" s="98">
        <v>4488.4</v>
      </c>
      <c r="G256" s="142">
        <f>ROUND(E256*F256,2)</f>
        <v>114.9</v>
      </c>
      <c r="H256" s="135">
        <f>G256/$G$354</f>
        <v>0.0001418231527988</v>
      </c>
      <c r="I256" s="180">
        <f>ROUND(F256*'Прил. 10'!$D$13,2)</f>
        <v>36086.74</v>
      </c>
      <c r="J256" s="180">
        <f>ROUND(I256*E256,2)</f>
        <v>923.82</v>
      </c>
    </row>
    <row r="257" spans="1:14" customHeight="1" ht="25.5" outlineLevel="1" s="12" customFormat="1">
      <c r="A257" s="179">
        <v>227</v>
      </c>
      <c r="B257" s="130" t="s">
        <v>620</v>
      </c>
      <c r="C257" s="8" t="s">
        <v>621</v>
      </c>
      <c r="D257" s="2" t="s">
        <v>280</v>
      </c>
      <c r="E257" s="178">
        <v>0.1663</v>
      </c>
      <c r="F257" s="98">
        <v>688.8</v>
      </c>
      <c r="G257" s="142">
        <f>ROUND(E257*F257,2)</f>
        <v>114.55</v>
      </c>
      <c r="H257" s="135">
        <f>G257/$G$354</f>
        <v>0.00014139114145433</v>
      </c>
      <c r="I257" s="180">
        <f>ROUND(F257*'Прил. 10'!$D$13,2)</f>
        <v>5537.95</v>
      </c>
      <c r="J257" s="180">
        <f>ROUND(I257*E257,2)</f>
        <v>920.96</v>
      </c>
    </row>
    <row r="258" spans="1:14" customHeight="1" ht="14.3" outlineLevel="1" s="12" customFormat="1">
      <c r="A258" s="179">
        <v>228</v>
      </c>
      <c r="B258" s="2" t="s">
        <v>622</v>
      </c>
      <c r="C258" s="8" t="s">
        <v>623</v>
      </c>
      <c r="D258" s="2" t="s">
        <v>270</v>
      </c>
      <c r="E258" s="7">
        <v>2</v>
      </c>
      <c r="F258" s="42">
        <v>53.15</v>
      </c>
      <c r="G258" s="142">
        <f>ROUND(E258*F258,2)</f>
        <v>106.3</v>
      </c>
      <c r="H258" s="135">
        <f>G258/$G$354</f>
        <v>0.00013120801690611</v>
      </c>
      <c r="I258" s="180">
        <f>ROUND(F258*'Прил. 10'!$D$13,2)</f>
        <v>427.33</v>
      </c>
      <c r="J258" s="180">
        <f>ROUND(I258*E258,2)</f>
        <v>854.66</v>
      </c>
    </row>
    <row r="259" spans="1:14" customHeight="1" ht="14.3" outlineLevel="1" s="12" customFormat="1">
      <c r="A259" s="179">
        <v>229</v>
      </c>
      <c r="B259" s="130" t="s">
        <v>624</v>
      </c>
      <c r="C259" s="8" t="s">
        <v>625</v>
      </c>
      <c r="D259" s="2" t="s">
        <v>280</v>
      </c>
      <c r="E259" s="178">
        <v>0.0066</v>
      </c>
      <c r="F259" s="98">
        <v>15620</v>
      </c>
      <c r="G259" s="142">
        <f>ROUND(E259*F259,2)</f>
        <v>103.09</v>
      </c>
      <c r="H259" s="135">
        <f>G259/$G$354</f>
        <v>0.00012724585571826</v>
      </c>
      <c r="I259" s="180">
        <f>ROUND(F259*'Прил. 10'!$D$13,2)</f>
        <v>125584.8</v>
      </c>
      <c r="J259" s="180">
        <f>ROUND(I259*E259,2)</f>
        <v>828.86</v>
      </c>
    </row>
    <row r="260" spans="1:14" customHeight="1" ht="14.3" outlineLevel="1" s="12" customFormat="1">
      <c r="A260" s="179">
        <v>230</v>
      </c>
      <c r="B260" s="130" t="s">
        <v>626</v>
      </c>
      <c r="C260" s="8" t="s">
        <v>585</v>
      </c>
      <c r="D260" s="2" t="s">
        <v>280</v>
      </c>
      <c r="E260" s="178">
        <v>0.0113</v>
      </c>
      <c r="F260" s="98">
        <v>9040.01</v>
      </c>
      <c r="G260" s="142">
        <f>ROUND(E260*F260,2)</f>
        <v>102.15</v>
      </c>
      <c r="H260" s="135">
        <f>G260/$G$354</f>
        <v>0.00012608559667883</v>
      </c>
      <c r="I260" s="180">
        <f>ROUND(F260*'Прил. 10'!$D$13,2)</f>
        <v>72681.68</v>
      </c>
      <c r="J260" s="180">
        <f>ROUND(I260*E260,2)</f>
        <v>821.3</v>
      </c>
    </row>
    <row r="261" spans="1:14" customHeight="1" ht="14.3" outlineLevel="1" s="12" customFormat="1">
      <c r="A261" s="179">
        <v>231</v>
      </c>
      <c r="B261" s="130" t="s">
        <v>627</v>
      </c>
      <c r="C261" s="8" t="s">
        <v>628</v>
      </c>
      <c r="D261" s="2" t="s">
        <v>280</v>
      </c>
      <c r="E261" s="178">
        <v>0.0038</v>
      </c>
      <c r="F261" s="98">
        <v>25990</v>
      </c>
      <c r="G261" s="142">
        <f>ROUND(E261*F261,2)</f>
        <v>98.76</v>
      </c>
      <c r="H261" s="135">
        <f>G261/$G$354</f>
        <v>0.0001219012582281</v>
      </c>
      <c r="I261" s="180">
        <f>ROUND(F261*'Прил. 10'!$D$13,2)</f>
        <v>208959.6</v>
      </c>
      <c r="J261" s="180">
        <f>ROUND(I261*E261,2)</f>
        <v>794.05</v>
      </c>
    </row>
    <row r="262" spans="1:14" customHeight="1" ht="50.95" outlineLevel="1" s="12" customFormat="1">
      <c r="A262" s="179">
        <v>232</v>
      </c>
      <c r="B262" s="2" t="s">
        <v>629</v>
      </c>
      <c r="C262" s="8" t="s">
        <v>630</v>
      </c>
      <c r="D262" s="2" t="s">
        <v>270</v>
      </c>
      <c r="E262" s="7">
        <v>2</v>
      </c>
      <c r="F262" s="42">
        <v>49.35</v>
      </c>
      <c r="G262" s="142">
        <f>ROUND(E262*F262,2)</f>
        <v>98.7</v>
      </c>
      <c r="H262" s="135">
        <f>G262/$G$354</f>
        <v>0.00012182719914048</v>
      </c>
      <c r="I262" s="180">
        <f>ROUND(F262*'Прил. 10'!$D$13,2)</f>
        <v>396.77</v>
      </c>
      <c r="J262" s="180">
        <f>ROUND(I262*E262,2)</f>
        <v>793.54</v>
      </c>
    </row>
    <row r="263" spans="1:14" customHeight="1" ht="25.5" outlineLevel="1" s="12" customFormat="1">
      <c r="A263" s="179">
        <v>233</v>
      </c>
      <c r="B263" s="130" t="s">
        <v>631</v>
      </c>
      <c r="C263" s="8" t="s">
        <v>632</v>
      </c>
      <c r="D263" s="2" t="s">
        <v>524</v>
      </c>
      <c r="E263" s="178">
        <v>0.028</v>
      </c>
      <c r="F263" s="98">
        <v>3450</v>
      </c>
      <c r="G263" s="142">
        <f>ROUND(E263*F263,2)</f>
        <v>96.6</v>
      </c>
      <c r="H263" s="135">
        <f>G263/$G$354</f>
        <v>0.00011923513107366</v>
      </c>
      <c r="I263" s="180">
        <f>ROUND(F263*'Прил. 10'!$D$13,2)</f>
        <v>27738</v>
      </c>
      <c r="J263" s="180">
        <f>ROUND(I263*E263,2)</f>
        <v>776.66</v>
      </c>
    </row>
    <row r="264" spans="1:14" customHeight="1" ht="14.3" outlineLevel="1" s="12" customFormat="1">
      <c r="A264" s="179">
        <v>234</v>
      </c>
      <c r="B264" s="130" t="s">
        <v>633</v>
      </c>
      <c r="C264" s="8" t="s">
        <v>634</v>
      </c>
      <c r="D264" s="2" t="s">
        <v>280</v>
      </c>
      <c r="E264" s="178">
        <v>0.0089</v>
      </c>
      <c r="F264" s="98">
        <v>10749</v>
      </c>
      <c r="G264" s="142">
        <f>ROUND(E264*F264,2)</f>
        <v>95.67</v>
      </c>
      <c r="H264" s="135">
        <f>G264/$G$354</f>
        <v>0.0001180872152155</v>
      </c>
      <c r="I264" s="180">
        <f>ROUND(F264*'Прил. 10'!$D$13,2)</f>
        <v>86421.96</v>
      </c>
      <c r="J264" s="180">
        <f>ROUND(I264*E264,2)</f>
        <v>769.16</v>
      </c>
    </row>
    <row r="265" spans="1:14" customHeight="1" ht="38.25" outlineLevel="1" s="12" customFormat="1">
      <c r="A265" s="179">
        <v>235</v>
      </c>
      <c r="B265" s="130" t="s">
        <v>635</v>
      </c>
      <c r="C265" s="8" t="s">
        <v>636</v>
      </c>
      <c r="D265" s="2" t="s">
        <v>249</v>
      </c>
      <c r="E265" s="178">
        <v>4</v>
      </c>
      <c r="F265" s="98">
        <v>23.82</v>
      </c>
      <c r="G265" s="142">
        <f>ROUND(E265*F265,2)</f>
        <v>95.28</v>
      </c>
      <c r="H265" s="135">
        <f>G265/$G$354</f>
        <v>0.00011760583114595</v>
      </c>
      <c r="I265" s="180">
        <f>ROUND(F265*'Прил. 10'!$D$13,2)</f>
        <v>191.51</v>
      </c>
      <c r="J265" s="180">
        <f>ROUND(I265*E265,2)</f>
        <v>766.04</v>
      </c>
    </row>
    <row r="266" spans="1:14" customHeight="1" ht="14.3" outlineLevel="1" s="12" customFormat="1">
      <c r="A266" s="179">
        <v>236</v>
      </c>
      <c r="B266" s="130" t="s">
        <v>637</v>
      </c>
      <c r="C266" s="8" t="s">
        <v>585</v>
      </c>
      <c r="D266" s="2" t="s">
        <v>399</v>
      </c>
      <c r="E266" s="178">
        <v>10.4822</v>
      </c>
      <c r="F266" s="98">
        <v>9.04</v>
      </c>
      <c r="G266" s="142">
        <f>ROUND(E266*F266,2)</f>
        <v>94.76</v>
      </c>
      <c r="H266" s="135">
        <f>G266/$G$354</f>
        <v>0.00011696398571988</v>
      </c>
      <c r="I266" s="180">
        <f>ROUND(F266*'Прил. 10'!$D$13,2)</f>
        <v>72.68</v>
      </c>
      <c r="J266" s="180">
        <f>ROUND(I266*E266,2)</f>
        <v>761.85</v>
      </c>
    </row>
    <row r="267" spans="1:14" customHeight="1" ht="38.25" outlineLevel="1" s="12" customFormat="1">
      <c r="A267" s="179">
        <v>237</v>
      </c>
      <c r="B267" s="130" t="s">
        <v>638</v>
      </c>
      <c r="C267" s="8" t="s">
        <v>639</v>
      </c>
      <c r="D267" s="2" t="s">
        <v>394</v>
      </c>
      <c r="E267" s="178">
        <v>1</v>
      </c>
      <c r="F267" s="98">
        <v>94.68</v>
      </c>
      <c r="G267" s="142">
        <f>ROUND(E267*F267,2)</f>
        <v>94.68</v>
      </c>
      <c r="H267" s="135">
        <f>G267/$G$354</f>
        <v>0.00011686524026971</v>
      </c>
      <c r="I267" s="180">
        <f>ROUND(F267*'Прил. 10'!$D$13,2)</f>
        <v>761.23</v>
      </c>
      <c r="J267" s="180">
        <f>ROUND(I267*E267,2)</f>
        <v>761.23</v>
      </c>
    </row>
    <row r="268" spans="1:14" customHeight="1" ht="14.3" outlineLevel="1" s="12" customFormat="1">
      <c r="A268" s="179">
        <v>238</v>
      </c>
      <c r="B268" s="130" t="s">
        <v>640</v>
      </c>
      <c r="C268" s="8" t="s">
        <v>641</v>
      </c>
      <c r="D268" s="2" t="s">
        <v>280</v>
      </c>
      <c r="E268" s="178">
        <v>0.0087</v>
      </c>
      <c r="F268" s="98">
        <v>10315.01</v>
      </c>
      <c r="G268" s="142">
        <f>ROUND(E268*F268,2)</f>
        <v>89.74</v>
      </c>
      <c r="H268" s="135">
        <f>G268/$G$354</f>
        <v>0.00011076770872205</v>
      </c>
      <c r="I268" s="180">
        <f>ROUND(F268*'Прил. 10'!$D$13,2)</f>
        <v>82932.68</v>
      </c>
      <c r="J268" s="180">
        <f>ROUND(I268*E268,2)</f>
        <v>721.51</v>
      </c>
    </row>
    <row r="269" spans="1:14" customHeight="1" ht="14.3" outlineLevel="1" s="12" customFormat="1">
      <c r="A269" s="179">
        <v>239</v>
      </c>
      <c r="B269" s="130" t="s">
        <v>642</v>
      </c>
      <c r="C269" s="8" t="s">
        <v>643</v>
      </c>
      <c r="D269" s="2" t="s">
        <v>280</v>
      </c>
      <c r="E269" s="178">
        <v>0.0475</v>
      </c>
      <c r="F269" s="98">
        <v>1820</v>
      </c>
      <c r="G269" s="142">
        <f>ROUND(E269*F269,2)</f>
        <v>86.45</v>
      </c>
      <c r="H269" s="135">
        <f>G269/$G$354</f>
        <v>0.00010670680208404</v>
      </c>
      <c r="I269" s="180">
        <f>ROUND(F269*'Прил. 10'!$D$13,2)</f>
        <v>14632.8</v>
      </c>
      <c r="J269" s="180">
        <f>ROUND(I269*E269,2)</f>
        <v>695.06</v>
      </c>
    </row>
    <row r="270" spans="1:14" customHeight="1" ht="25.5" outlineLevel="1" s="12" customFormat="1">
      <c r="A270" s="179">
        <v>240</v>
      </c>
      <c r="B270" s="130" t="s">
        <v>644</v>
      </c>
      <c r="C270" s="8" t="s">
        <v>645</v>
      </c>
      <c r="D270" s="2" t="s">
        <v>249</v>
      </c>
      <c r="E270" s="178">
        <v>1</v>
      </c>
      <c r="F270" s="98">
        <v>82.57</v>
      </c>
      <c r="G270" s="142">
        <f>ROUND(E270*F270,2)</f>
        <v>82.57</v>
      </c>
      <c r="H270" s="135">
        <f>G270/$G$354</f>
        <v>0.00010191764775106</v>
      </c>
      <c r="I270" s="180">
        <f>ROUND(F270*'Прил. 10'!$D$13,2)</f>
        <v>663.86</v>
      </c>
      <c r="J270" s="180">
        <f>ROUND(I270*E270,2)</f>
        <v>663.86</v>
      </c>
    </row>
    <row r="271" spans="1:14" customHeight="1" ht="25.5" outlineLevel="1" s="12" customFormat="1">
      <c r="A271" s="179">
        <v>241</v>
      </c>
      <c r="B271" s="130" t="s">
        <v>646</v>
      </c>
      <c r="C271" s="8" t="s">
        <v>647</v>
      </c>
      <c r="D271" s="2" t="s">
        <v>399</v>
      </c>
      <c r="E271" s="178">
        <v>1.2</v>
      </c>
      <c r="F271" s="98">
        <v>68.05</v>
      </c>
      <c r="G271" s="142">
        <f>ROUND(E271*F271,2)</f>
        <v>81.66</v>
      </c>
      <c r="H271" s="135">
        <f>G271/$G$354</f>
        <v>0.00010079441825544</v>
      </c>
      <c r="I271" s="180">
        <f>ROUND(F271*'Прил. 10'!$D$13,2)</f>
        <v>547.12</v>
      </c>
      <c r="J271" s="180">
        <f>ROUND(I271*E271,2)</f>
        <v>656.54</v>
      </c>
    </row>
    <row r="272" spans="1:14" customHeight="1" ht="25.5" outlineLevel="1" s="12" customFormat="1">
      <c r="A272" s="179">
        <v>242</v>
      </c>
      <c r="B272" s="130" t="s">
        <v>648</v>
      </c>
      <c r="C272" s="8" t="s">
        <v>649</v>
      </c>
      <c r="D272" s="2" t="s">
        <v>280</v>
      </c>
      <c r="E272" s="178">
        <v>0.0156</v>
      </c>
      <c r="F272" s="98">
        <v>5136</v>
      </c>
      <c r="G272" s="142">
        <f>ROUND(E272*F272,2)</f>
        <v>80.12</v>
      </c>
      <c r="H272" s="135">
        <f>G272/$G$354</f>
        <v>9.889356833977E-5</v>
      </c>
      <c r="I272" s="180">
        <f>ROUND(F272*'Прил. 10'!$D$13,2)</f>
        <v>41293.44</v>
      </c>
      <c r="J272" s="180">
        <f>ROUND(I272*E272,2)</f>
        <v>644.18</v>
      </c>
    </row>
    <row r="273" spans="1:14" customHeight="1" ht="25.5" outlineLevel="1" s="12" customFormat="1">
      <c r="A273" s="179">
        <v>243</v>
      </c>
      <c r="B273" s="130" t="s">
        <v>650</v>
      </c>
      <c r="C273" s="8" t="s">
        <v>651</v>
      </c>
      <c r="D273" s="2" t="s">
        <v>524</v>
      </c>
      <c r="E273" s="178">
        <v>0.014</v>
      </c>
      <c r="F273" s="98">
        <v>5650</v>
      </c>
      <c r="G273" s="142">
        <f>ROUND(E273*F273,2)</f>
        <v>79.1</v>
      </c>
      <c r="H273" s="135">
        <f>G273/$G$354</f>
        <v>9.7634563850172E-5</v>
      </c>
      <c r="I273" s="180">
        <f>ROUND(F273*'Прил. 10'!$D$13,2)</f>
        <v>45426</v>
      </c>
      <c r="J273" s="180">
        <f>ROUND(I273*E273,2)</f>
        <v>635.96</v>
      </c>
    </row>
    <row r="274" spans="1:14" customHeight="1" ht="14.3" outlineLevel="1" s="12" customFormat="1">
      <c r="A274" s="179">
        <v>244</v>
      </c>
      <c r="B274" s="130" t="s">
        <v>652</v>
      </c>
      <c r="C274" s="8" t="s">
        <v>653</v>
      </c>
      <c r="D274" s="2" t="s">
        <v>280</v>
      </c>
      <c r="E274" s="178">
        <v>0.0054</v>
      </c>
      <c r="F274" s="98">
        <v>14312.87</v>
      </c>
      <c r="G274" s="142">
        <f>ROUND(E274*F274,2)</f>
        <v>77.29</v>
      </c>
      <c r="H274" s="135">
        <f>G274/$G$354</f>
        <v>9.54004480402E-5</v>
      </c>
      <c r="I274" s="180">
        <f>ROUND(F274*'Прил. 10'!$D$13,2)</f>
        <v>115075.47</v>
      </c>
      <c r="J274" s="180">
        <f>ROUND(I274*E274,2)</f>
        <v>621.41</v>
      </c>
    </row>
    <row r="275" spans="1:14" customHeight="1" ht="14.3" outlineLevel="1" s="12" customFormat="1">
      <c r="A275" s="179">
        <v>245</v>
      </c>
      <c r="B275" s="130" t="s">
        <v>654</v>
      </c>
      <c r="C275" s="8" t="s">
        <v>655</v>
      </c>
      <c r="D275" s="2" t="s">
        <v>399</v>
      </c>
      <c r="E275" s="178">
        <v>7.938</v>
      </c>
      <c r="F275" s="98">
        <v>9.04</v>
      </c>
      <c r="G275" s="142">
        <f>ROUND(E275*F275,2)</f>
        <v>71.76</v>
      </c>
      <c r="H275" s="135">
        <f>G275/$G$354</f>
        <v>8.8574668797577E-5</v>
      </c>
      <c r="I275" s="180">
        <f>ROUND(F275*'Прил. 10'!$D$13,2)</f>
        <v>72.68</v>
      </c>
      <c r="J275" s="180">
        <f>ROUND(I275*E275,2)</f>
        <v>576.93</v>
      </c>
    </row>
    <row r="276" spans="1:14" customHeight="1" ht="25.5" outlineLevel="1" s="12" customFormat="1">
      <c r="A276" s="179">
        <v>246</v>
      </c>
      <c r="B276" s="130" t="s">
        <v>656</v>
      </c>
      <c r="C276" s="8" t="s">
        <v>657</v>
      </c>
      <c r="D276" s="2" t="s">
        <v>280</v>
      </c>
      <c r="E276" s="178">
        <v>0.0161</v>
      </c>
      <c r="F276" s="98">
        <v>4455.2</v>
      </c>
      <c r="G276" s="142">
        <f>ROUND(E276*F276,2)</f>
        <v>71.73</v>
      </c>
      <c r="H276" s="135">
        <f>G276/$G$354</f>
        <v>8.8537639253765E-5</v>
      </c>
      <c r="I276" s="180">
        <f>ROUND(F276*'Прил. 10'!$D$13,2)</f>
        <v>35819.81</v>
      </c>
      <c r="J276" s="180">
        <f>ROUND(I276*E276,2)</f>
        <v>576.7</v>
      </c>
    </row>
    <row r="277" spans="1:14" customHeight="1" ht="25.5" outlineLevel="1" s="12" customFormat="1">
      <c r="A277" s="179">
        <v>247</v>
      </c>
      <c r="B277" s="7" t="s">
        <v>658</v>
      </c>
      <c r="C277" s="8" t="s">
        <v>659</v>
      </c>
      <c r="D277" s="7" t="s">
        <v>500</v>
      </c>
      <c r="E277" s="7">
        <v>0.5</v>
      </c>
      <c r="F277" s="180">
        <v>130.1</v>
      </c>
      <c r="G277" s="142">
        <f>ROUND(E277*F277,2)</f>
        <v>65.05</v>
      </c>
      <c r="H277" s="135">
        <f>G277/$G$354</f>
        <v>8.0292394165028E-5</v>
      </c>
      <c r="I277" s="180">
        <f>ROUND(F277*'Прил. 10'!$D$13,2)</f>
        <v>1046</v>
      </c>
      <c r="J277" s="180">
        <f>ROUND(I277*E277,2)</f>
        <v>523</v>
      </c>
    </row>
    <row r="278" spans="1:14" customHeight="1" ht="14.3" outlineLevel="1" s="12" customFormat="1">
      <c r="A278" s="179">
        <v>248</v>
      </c>
      <c r="B278" s="130" t="s">
        <v>660</v>
      </c>
      <c r="C278" s="8" t="s">
        <v>661</v>
      </c>
      <c r="D278" s="2" t="s">
        <v>280</v>
      </c>
      <c r="E278" s="178">
        <v>0.0132</v>
      </c>
      <c r="F278" s="98">
        <v>4920</v>
      </c>
      <c r="G278" s="142">
        <f>ROUND(E278*F278,2)</f>
        <v>64.94</v>
      </c>
      <c r="H278" s="135">
        <f>G278/$G$354</f>
        <v>8.0156619171051E-5</v>
      </c>
      <c r="I278" s="180">
        <f>ROUND(F278*'Прил. 10'!$D$13,2)</f>
        <v>39556.8</v>
      </c>
      <c r="J278" s="180">
        <f>ROUND(I278*E278,2)</f>
        <v>522.15</v>
      </c>
    </row>
    <row r="279" spans="1:14" customHeight="1" ht="38.25" outlineLevel="1" s="12" customFormat="1">
      <c r="A279" s="179">
        <v>249</v>
      </c>
      <c r="B279" s="130" t="s">
        <v>662</v>
      </c>
      <c r="C279" s="8" t="s">
        <v>663</v>
      </c>
      <c r="D279" s="2" t="s">
        <v>312</v>
      </c>
      <c r="E279" s="178">
        <v>1</v>
      </c>
      <c r="F279" s="98">
        <v>63.03</v>
      </c>
      <c r="G279" s="142">
        <f>ROUND(E279*F279,2)</f>
        <v>63.03</v>
      </c>
      <c r="H279" s="135">
        <f>G279/$G$354</f>
        <v>7.7799071548373E-5</v>
      </c>
      <c r="I279" s="180">
        <f>ROUND(F279*'Прил. 10'!$D$13,2)</f>
        <v>506.76</v>
      </c>
      <c r="J279" s="180">
        <f>ROUND(I279*E279,2)</f>
        <v>506.76</v>
      </c>
    </row>
    <row r="280" spans="1:14" customHeight="1" ht="25.5" outlineLevel="1" s="12" customFormat="1">
      <c r="A280" s="179">
        <v>250</v>
      </c>
      <c r="B280" s="130" t="s">
        <v>664</v>
      </c>
      <c r="C280" s="8" t="s">
        <v>665</v>
      </c>
      <c r="D280" s="2" t="s">
        <v>280</v>
      </c>
      <c r="E280" s="178">
        <v>0.041</v>
      </c>
      <c r="F280" s="98">
        <v>1525.5</v>
      </c>
      <c r="G280" s="142">
        <f>ROUND(E280*F280,2)</f>
        <v>62.55</v>
      </c>
      <c r="H280" s="135">
        <f>G280/$G$354</f>
        <v>7.7206598847386E-5</v>
      </c>
      <c r="I280" s="180">
        <f>ROUND(F280*'Прил. 10'!$D$13,2)</f>
        <v>12265.02</v>
      </c>
      <c r="J280" s="180">
        <f>ROUND(I280*E280,2)</f>
        <v>502.87</v>
      </c>
    </row>
    <row r="281" spans="1:14" customHeight="1" ht="38.25" outlineLevel="1" s="12" customFormat="1">
      <c r="A281" s="179">
        <v>251</v>
      </c>
      <c r="B281" s="130" t="s">
        <v>666</v>
      </c>
      <c r="C281" s="8" t="s">
        <v>667</v>
      </c>
      <c r="D281" s="2" t="s">
        <v>267</v>
      </c>
      <c r="E281" s="178">
        <v>0.0577</v>
      </c>
      <c r="F281" s="98">
        <v>1056</v>
      </c>
      <c r="G281" s="142">
        <f>ROUND(E281*F281,2)</f>
        <v>60.93</v>
      </c>
      <c r="H281" s="135">
        <f>G281/$G$354</f>
        <v>7.5207003481555E-5</v>
      </c>
      <c r="I281" s="180">
        <f>ROUND(F281*'Прил. 10'!$D$13,2)</f>
        <v>8490.24</v>
      </c>
      <c r="J281" s="180">
        <f>ROUND(I281*E281,2)</f>
        <v>489.89</v>
      </c>
    </row>
    <row r="282" spans="1:14" customHeight="1" ht="25.5" outlineLevel="1" s="12" customFormat="1">
      <c r="A282" s="179">
        <v>252</v>
      </c>
      <c r="B282" s="130" t="s">
        <v>668</v>
      </c>
      <c r="C282" s="8" t="s">
        <v>669</v>
      </c>
      <c r="D282" s="2" t="s">
        <v>249</v>
      </c>
      <c r="E282" s="178">
        <v>1</v>
      </c>
      <c r="F282" s="98">
        <v>60.53</v>
      </c>
      <c r="G282" s="142">
        <f>ROUND(E282*F282,2)</f>
        <v>60.53</v>
      </c>
      <c r="H282" s="135">
        <f>G282/$G$354</f>
        <v>7.4713276230732E-5</v>
      </c>
      <c r="I282" s="180">
        <f>ROUND(F282*'Прил. 10'!$D$13,2)</f>
        <v>486.66</v>
      </c>
      <c r="J282" s="180">
        <f>ROUND(I282*E282,2)</f>
        <v>486.66</v>
      </c>
    </row>
    <row r="283" spans="1:14" customHeight="1" ht="38.25" outlineLevel="1" s="12" customFormat="1">
      <c r="A283" s="179">
        <v>253</v>
      </c>
      <c r="B283" s="171" t="s">
        <v>257</v>
      </c>
      <c r="C283" s="8" t="s">
        <v>670</v>
      </c>
      <c r="D283" s="2" t="s">
        <v>249</v>
      </c>
      <c r="E283" s="178">
        <v>1</v>
      </c>
      <c r="F283" s="98">
        <v>58.62</v>
      </c>
      <c r="G283" s="142">
        <f>ROUND(E283*F283,2)</f>
        <v>58.62</v>
      </c>
      <c r="H283" s="135">
        <f>G283/$G$354</f>
        <v>7.2355728608054E-5</v>
      </c>
      <c r="I283" s="180">
        <f>ROUND(F283*'Прил. 10'!$D$13,2)</f>
        <v>471.3</v>
      </c>
      <c r="J283" s="180">
        <f>ROUND(I283*E283,2)</f>
        <v>471.3</v>
      </c>
    </row>
    <row r="284" spans="1:14" customHeight="1" ht="14.3" outlineLevel="1" s="12" customFormat="1">
      <c r="A284" s="179">
        <v>254</v>
      </c>
      <c r="B284" s="130" t="s">
        <v>671</v>
      </c>
      <c r="C284" s="8" t="s">
        <v>672</v>
      </c>
      <c r="D284" s="2" t="s">
        <v>399</v>
      </c>
      <c r="E284" s="178">
        <v>9.6235</v>
      </c>
      <c r="F284" s="98">
        <v>6.09</v>
      </c>
      <c r="G284" s="142">
        <f>ROUND(E284*F284,2)</f>
        <v>58.61</v>
      </c>
      <c r="H284" s="135">
        <f>G284/$G$354</f>
        <v>7.2343385426784E-5</v>
      </c>
      <c r="I284" s="180">
        <f>ROUND(F284*'Прил. 10'!$D$13,2)</f>
        <v>48.96</v>
      </c>
      <c r="J284" s="180">
        <f>ROUND(I284*E284,2)</f>
        <v>471.17</v>
      </c>
    </row>
    <row r="285" spans="1:14" customHeight="1" ht="14.3" outlineLevel="1" s="12" customFormat="1">
      <c r="A285" s="179">
        <v>255</v>
      </c>
      <c r="B285" s="130" t="s">
        <v>673</v>
      </c>
      <c r="C285" s="8" t="s">
        <v>674</v>
      </c>
      <c r="D285" s="2" t="s">
        <v>280</v>
      </c>
      <c r="E285" s="178">
        <v>0.0126</v>
      </c>
      <c r="F285" s="98">
        <v>4294</v>
      </c>
      <c r="G285" s="142">
        <f>ROUND(E285*F285,2)</f>
        <v>54.1</v>
      </c>
      <c r="H285" s="135">
        <f>G285/$G$354</f>
        <v>6.6776610673759E-5</v>
      </c>
      <c r="I285" s="180">
        <f>ROUND(F285*'Прил. 10'!$D$13,2)</f>
        <v>34523.76</v>
      </c>
      <c r="J285" s="180">
        <f>ROUND(I285*E285,2)</f>
        <v>435</v>
      </c>
    </row>
    <row r="286" spans="1:14" customHeight="1" ht="14.3" outlineLevel="1" s="12" customFormat="1">
      <c r="A286" s="179">
        <v>256</v>
      </c>
      <c r="B286" s="130" t="s">
        <v>675</v>
      </c>
      <c r="C286" s="8" t="s">
        <v>676</v>
      </c>
      <c r="D286" s="2" t="s">
        <v>280</v>
      </c>
      <c r="E286" s="178">
        <v>0.0052</v>
      </c>
      <c r="F286" s="98">
        <v>10200</v>
      </c>
      <c r="G286" s="142">
        <f>ROUND(E286*F286,2)</f>
        <v>53.04</v>
      </c>
      <c r="H286" s="135">
        <f>G286/$G$354</f>
        <v>6.5468233459079E-5</v>
      </c>
      <c r="I286" s="180">
        <f>ROUND(F286*'Прил. 10'!$D$13,2)</f>
        <v>82008</v>
      </c>
      <c r="J286" s="180">
        <f>ROUND(I286*E286,2)</f>
        <v>426.44</v>
      </c>
    </row>
    <row r="287" spans="1:14" customHeight="1" ht="14.3" outlineLevel="1" s="12" customFormat="1">
      <c r="A287" s="179">
        <v>257</v>
      </c>
      <c r="B287" s="130" t="s">
        <v>677</v>
      </c>
      <c r="C287" s="8" t="s">
        <v>678</v>
      </c>
      <c r="D287" s="2" t="s">
        <v>280</v>
      </c>
      <c r="E287" s="178">
        <v>0.0092</v>
      </c>
      <c r="F287" s="98">
        <v>5650</v>
      </c>
      <c r="G287" s="142">
        <f>ROUND(E287*F287,2)</f>
        <v>51.98</v>
      </c>
      <c r="H287" s="135">
        <f>G287/$G$354</f>
        <v>6.4159856244399E-5</v>
      </c>
      <c r="I287" s="180">
        <f>ROUND(F287*'Прил. 10'!$D$13,2)</f>
        <v>45426</v>
      </c>
      <c r="J287" s="180">
        <f>ROUND(I287*E287,2)</f>
        <v>417.92</v>
      </c>
    </row>
    <row r="288" spans="1:14" customHeight="1" ht="25.5" outlineLevel="1" s="12" customFormat="1">
      <c r="A288" s="179">
        <v>258</v>
      </c>
      <c r="B288" s="130" t="s">
        <v>679</v>
      </c>
      <c r="C288" s="8" t="s">
        <v>680</v>
      </c>
      <c r="D288" s="2" t="s">
        <v>280</v>
      </c>
      <c r="E288" s="178">
        <v>0.0061</v>
      </c>
      <c r="F288" s="98">
        <v>8190</v>
      </c>
      <c r="G288" s="142">
        <f>ROUND(E288*F288,2)</f>
        <v>49.96</v>
      </c>
      <c r="H288" s="135">
        <f>G288/$G$354</f>
        <v>6.1666533627745E-5</v>
      </c>
      <c r="I288" s="180">
        <f>ROUND(F288*'Прил. 10'!$D$13,2)</f>
        <v>65847.6</v>
      </c>
      <c r="J288" s="180">
        <f>ROUND(I288*E288,2)</f>
        <v>401.67</v>
      </c>
    </row>
    <row r="289" spans="1:14" customHeight="1" ht="14.3" outlineLevel="1" s="12" customFormat="1">
      <c r="A289" s="179">
        <v>259</v>
      </c>
      <c r="B289" s="130" t="s">
        <v>681</v>
      </c>
      <c r="C289" s="8" t="s">
        <v>682</v>
      </c>
      <c r="D289" s="2" t="s">
        <v>500</v>
      </c>
      <c r="E289" s="178">
        <v>1.26</v>
      </c>
      <c r="F289" s="98">
        <v>39</v>
      </c>
      <c r="G289" s="142">
        <f>ROUND(E289*F289,2)</f>
        <v>49.14</v>
      </c>
      <c r="H289" s="135">
        <f>G289/$G$354</f>
        <v>6.0654392763558E-5</v>
      </c>
      <c r="I289" s="180">
        <f>ROUND(F289*'Прил. 10'!$D$13,2)</f>
        <v>313.56</v>
      </c>
      <c r="J289" s="180">
        <f>ROUND(I289*E289,2)</f>
        <v>395.09</v>
      </c>
    </row>
    <row r="290" spans="1:14" customHeight="1" ht="25.5" outlineLevel="1" s="12" customFormat="1">
      <c r="A290" s="179">
        <v>260</v>
      </c>
      <c r="B290" s="130" t="s">
        <v>683</v>
      </c>
      <c r="C290" s="8" t="s">
        <v>684</v>
      </c>
      <c r="D290" s="2" t="s">
        <v>267</v>
      </c>
      <c r="E290" s="178">
        <v>0.88</v>
      </c>
      <c r="F290" s="98">
        <v>55.26</v>
      </c>
      <c r="G290" s="142">
        <f>ROUND(E290*F290,2)</f>
        <v>48.63</v>
      </c>
      <c r="H290" s="135">
        <f>G290/$G$354</f>
        <v>6.0024890518759E-5</v>
      </c>
      <c r="I290" s="180">
        <f>ROUND(F290*'Прил. 10'!$D$13,2)</f>
        <v>444.29</v>
      </c>
      <c r="J290" s="180">
        <f>ROUND(I290*E290,2)</f>
        <v>390.98</v>
      </c>
    </row>
    <row r="291" spans="1:14" customHeight="1" ht="14.3" outlineLevel="1" s="12" customFormat="1">
      <c r="A291" s="179">
        <v>261</v>
      </c>
      <c r="B291" s="130" t="s">
        <v>685</v>
      </c>
      <c r="C291" s="8" t="s">
        <v>686</v>
      </c>
      <c r="D291" s="2" t="s">
        <v>687</v>
      </c>
      <c r="E291" s="178">
        <v>115.9</v>
      </c>
      <c r="F291" s="98">
        <v>0.4</v>
      </c>
      <c r="G291" s="142">
        <f>ROUND(E291*F291,2)</f>
        <v>46.36</v>
      </c>
      <c r="H291" s="135">
        <f>G291/$G$354</f>
        <v>5.7222988370341E-5</v>
      </c>
      <c r="I291" s="180">
        <f>ROUND(F291*'Прил. 10'!$D$13,2)</f>
        <v>3.22</v>
      </c>
      <c r="J291" s="180">
        <f>ROUND(I291*E291,2)</f>
        <v>373.2</v>
      </c>
    </row>
    <row r="292" spans="1:14" customHeight="1" ht="14.3" outlineLevel="1" s="12" customFormat="1">
      <c r="A292" s="179">
        <v>262</v>
      </c>
      <c r="B292" s="130" t="s">
        <v>688</v>
      </c>
      <c r="C292" s="8" t="s">
        <v>689</v>
      </c>
      <c r="D292" s="2" t="s">
        <v>280</v>
      </c>
      <c r="E292" s="178">
        <v>0.0015</v>
      </c>
      <c r="F292" s="98">
        <v>30030</v>
      </c>
      <c r="G292" s="142">
        <f>ROUND(E292*F292,2)</f>
        <v>45.05</v>
      </c>
      <c r="H292" s="135">
        <f>G292/$G$354</f>
        <v>5.5606031623897E-5</v>
      </c>
      <c r="I292" s="180">
        <f>ROUND(F292*'Прил. 10'!$D$13,2)</f>
        <v>241441.2</v>
      </c>
      <c r="J292" s="180">
        <f>ROUND(I292*E292,2)</f>
        <v>362.16</v>
      </c>
    </row>
    <row r="293" spans="1:14" customHeight="1" ht="25.5" outlineLevel="1" s="12" customFormat="1">
      <c r="A293" s="179">
        <v>263</v>
      </c>
      <c r="B293" s="7" t="s">
        <v>690</v>
      </c>
      <c r="C293" s="99" t="s">
        <v>691</v>
      </c>
      <c r="D293" s="7" t="s">
        <v>404</v>
      </c>
      <c r="E293" s="7">
        <v>0.02</v>
      </c>
      <c r="F293" s="24">
        <v>2202</v>
      </c>
      <c r="G293" s="142">
        <f>ROUND(E293*F293,2)</f>
        <v>44.04</v>
      </c>
      <c r="H293" s="135">
        <f>G293/$G$354</f>
        <v>5.435937031557E-5</v>
      </c>
      <c r="I293" s="180">
        <f>ROUND(F293*'Прил. 10'!$D$13,2)</f>
        <v>17704.08</v>
      </c>
      <c r="J293" s="180">
        <f>ROUND(I293*E293,2)</f>
        <v>354.08</v>
      </c>
    </row>
    <row r="294" spans="1:14" customHeight="1" ht="38.25" outlineLevel="1" s="12" customFormat="1">
      <c r="A294" s="179">
        <v>264</v>
      </c>
      <c r="B294" s="130" t="s">
        <v>692</v>
      </c>
      <c r="C294" s="8" t="s">
        <v>693</v>
      </c>
      <c r="D294" s="2" t="s">
        <v>267</v>
      </c>
      <c r="E294" s="178">
        <v>0.0424</v>
      </c>
      <c r="F294" s="98">
        <v>1010</v>
      </c>
      <c r="G294" s="142">
        <f>ROUND(E294*F294,2)</f>
        <v>42.82</v>
      </c>
      <c r="H294" s="135">
        <f>G294/$G$354</f>
        <v>5.2853502200561E-5</v>
      </c>
      <c r="I294" s="180">
        <f>ROUND(F294*'Прил. 10'!$D$13,2)</f>
        <v>8120.4</v>
      </c>
      <c r="J294" s="180">
        <f>ROUND(I294*E294,2)</f>
        <v>344.3</v>
      </c>
    </row>
    <row r="295" spans="1:14" customHeight="1" ht="50.95" outlineLevel="1" s="12" customFormat="1">
      <c r="A295" s="179">
        <v>265</v>
      </c>
      <c r="B295" s="130" t="s">
        <v>694</v>
      </c>
      <c r="C295" s="8" t="s">
        <v>695</v>
      </c>
      <c r="D295" s="2" t="s">
        <v>249</v>
      </c>
      <c r="E295" s="178">
        <v>3</v>
      </c>
      <c r="F295" s="98">
        <v>14.2</v>
      </c>
      <c r="G295" s="142">
        <f>ROUND(E295*F295,2)</f>
        <v>42.6</v>
      </c>
      <c r="H295" s="135">
        <f>G295/$G$354</f>
        <v>5.2581952212608E-5</v>
      </c>
      <c r="I295" s="180">
        <f>ROUND(F295*'Прил. 10'!$D$13,2)</f>
        <v>114.17</v>
      </c>
      <c r="J295" s="180">
        <f>ROUND(I295*E295,2)</f>
        <v>342.51</v>
      </c>
    </row>
    <row r="296" spans="1:14" customHeight="1" ht="25.5" outlineLevel="1" s="12" customFormat="1">
      <c r="A296" s="179">
        <v>266</v>
      </c>
      <c r="B296" s="130" t="s">
        <v>696</v>
      </c>
      <c r="C296" s="8" t="s">
        <v>697</v>
      </c>
      <c r="D296" s="2" t="s">
        <v>280</v>
      </c>
      <c r="E296" s="178">
        <v>0.0012</v>
      </c>
      <c r="F296" s="98">
        <v>33180</v>
      </c>
      <c r="G296" s="142">
        <f>ROUND(E296*F296,2)</f>
        <v>39.82</v>
      </c>
      <c r="H296" s="135">
        <f>G296/$G$354</f>
        <v>4.9150547819391E-5</v>
      </c>
      <c r="I296" s="180">
        <f>ROUND(F296*'Прил. 10'!$D$13,2)</f>
        <v>266767.2</v>
      </c>
      <c r="J296" s="180">
        <f>ROUND(I296*E296,2)</f>
        <v>320.12</v>
      </c>
    </row>
    <row r="297" spans="1:14" customHeight="1" ht="50.95" outlineLevel="1" s="12" customFormat="1">
      <c r="A297" s="179">
        <v>267</v>
      </c>
      <c r="B297" s="130" t="s">
        <v>698</v>
      </c>
      <c r="C297" s="8" t="s">
        <v>699</v>
      </c>
      <c r="D297" s="2" t="s">
        <v>280</v>
      </c>
      <c r="E297" s="178">
        <v>0.0038</v>
      </c>
      <c r="F297" s="98">
        <v>10100</v>
      </c>
      <c r="G297" s="142">
        <f>ROUND(E297*F297,2)</f>
        <v>38.38</v>
      </c>
      <c r="H297" s="135">
        <f>G297/$G$354</f>
        <v>4.737312971643E-5</v>
      </c>
      <c r="I297" s="180">
        <f>ROUND(F297*'Прил. 10'!$D$13,2)</f>
        <v>81204</v>
      </c>
      <c r="J297" s="180">
        <f>ROUND(I297*E297,2)</f>
        <v>308.58</v>
      </c>
    </row>
    <row r="298" spans="1:14" customHeight="1" ht="14.3" outlineLevel="1" s="12" customFormat="1">
      <c r="A298" s="179">
        <v>268</v>
      </c>
      <c r="B298" s="130" t="s">
        <v>700</v>
      </c>
      <c r="C298" s="8" t="s">
        <v>701</v>
      </c>
      <c r="D298" s="2" t="s">
        <v>280</v>
      </c>
      <c r="E298" s="178">
        <v>0.003</v>
      </c>
      <c r="F298" s="98">
        <v>12430</v>
      </c>
      <c r="G298" s="142">
        <f>ROUND(E298*F298,2)</f>
        <v>37.29</v>
      </c>
      <c r="H298" s="135">
        <f>G298/$G$354</f>
        <v>4.6027722957938E-5</v>
      </c>
      <c r="I298" s="180">
        <f>ROUND(F298*'Прил. 10'!$D$13,2)</f>
        <v>99937.2</v>
      </c>
      <c r="J298" s="180">
        <f>ROUND(I298*E298,2)</f>
        <v>299.81</v>
      </c>
    </row>
    <row r="299" spans="1:14" customHeight="1" ht="14.3" outlineLevel="1" s="12" customFormat="1">
      <c r="A299" s="179">
        <v>269</v>
      </c>
      <c r="B299" s="130" t="s">
        <v>702</v>
      </c>
      <c r="C299" s="8" t="s">
        <v>703</v>
      </c>
      <c r="D299" s="2" t="s">
        <v>280</v>
      </c>
      <c r="E299" s="178">
        <v>0.0014</v>
      </c>
      <c r="F299" s="98">
        <v>24950</v>
      </c>
      <c r="G299" s="142">
        <f>ROUND(E299*F299,2)</f>
        <v>34.93</v>
      </c>
      <c r="H299" s="135">
        <f>G299/$G$354</f>
        <v>4.3114732178085E-5</v>
      </c>
      <c r="I299" s="180">
        <f>ROUND(F299*'Прил. 10'!$D$13,2)</f>
        <v>200598</v>
      </c>
      <c r="J299" s="180">
        <f>ROUND(I299*E299,2)</f>
        <v>280.84</v>
      </c>
    </row>
    <row r="300" spans="1:14" customHeight="1" ht="25.5" outlineLevel="1" s="12" customFormat="1">
      <c r="A300" s="179">
        <v>270</v>
      </c>
      <c r="B300" s="130" t="s">
        <v>704</v>
      </c>
      <c r="C300" s="8" t="s">
        <v>705</v>
      </c>
      <c r="D300" s="2" t="s">
        <v>298</v>
      </c>
      <c r="E300" s="178">
        <v>4.9</v>
      </c>
      <c r="F300" s="98">
        <v>6.78</v>
      </c>
      <c r="G300" s="142">
        <f>ROUND(E300*F300,2)</f>
        <v>33.22</v>
      </c>
      <c r="H300" s="135">
        <f>G300/$G$354</f>
        <v>4.1004048180818E-5</v>
      </c>
      <c r="I300" s="180">
        <f>ROUND(F300*'Прил. 10'!$D$13,2)</f>
        <v>54.51</v>
      </c>
      <c r="J300" s="180">
        <f>ROUND(I300*E300,2)</f>
        <v>267.1</v>
      </c>
    </row>
    <row r="301" spans="1:14" customHeight="1" ht="14.3" outlineLevel="1" s="12" customFormat="1">
      <c r="A301" s="179">
        <v>271</v>
      </c>
      <c r="B301" s="130" t="s">
        <v>706</v>
      </c>
      <c r="C301" s="8" t="s">
        <v>707</v>
      </c>
      <c r="D301" s="2" t="s">
        <v>524</v>
      </c>
      <c r="E301" s="178">
        <v>0.4392</v>
      </c>
      <c r="F301" s="98">
        <v>75.4</v>
      </c>
      <c r="G301" s="142">
        <f>ROUND(E301*F301,2)</f>
        <v>33.12</v>
      </c>
      <c r="H301" s="135">
        <f>G301/$G$354</f>
        <v>4.0880616368112E-5</v>
      </c>
      <c r="I301" s="180">
        <f>ROUND(F301*'Прил. 10'!$D$13,2)</f>
        <v>606.22</v>
      </c>
      <c r="J301" s="180">
        <f>ROUND(I301*E301,2)</f>
        <v>266.25</v>
      </c>
    </row>
    <row r="302" spans="1:14" customHeight="1" ht="14.3" outlineLevel="1" s="12" customFormat="1">
      <c r="A302" s="179">
        <v>272</v>
      </c>
      <c r="B302" s="130" t="s">
        <v>708</v>
      </c>
      <c r="C302" s="8" t="s">
        <v>709</v>
      </c>
      <c r="D302" s="2" t="s">
        <v>280</v>
      </c>
      <c r="E302" s="178">
        <v>0.0041</v>
      </c>
      <c r="F302" s="98">
        <v>7826.9</v>
      </c>
      <c r="G302" s="142">
        <f>ROUND(E302*F302,2)</f>
        <v>32.09</v>
      </c>
      <c r="H302" s="135">
        <f>G302/$G$354</f>
        <v>3.9609268697244E-5</v>
      </c>
      <c r="I302" s="180">
        <f>ROUND(F302*'Прил. 10'!$D$13,2)</f>
        <v>62928.28</v>
      </c>
      <c r="J302" s="180">
        <f>ROUND(I302*E302,2)</f>
        <v>258.01</v>
      </c>
    </row>
    <row r="303" spans="1:14" customHeight="1" ht="14.3" outlineLevel="1" s="12" customFormat="1">
      <c r="A303" s="179">
        <v>273</v>
      </c>
      <c r="B303" s="130" t="s">
        <v>710</v>
      </c>
      <c r="C303" s="8" t="s">
        <v>711</v>
      </c>
      <c r="D303" s="2" t="s">
        <v>280</v>
      </c>
      <c r="E303" s="178">
        <v>0.0031</v>
      </c>
      <c r="F303" s="98">
        <v>9420</v>
      </c>
      <c r="G303" s="142">
        <f>ROUND(E303*F303,2)</f>
        <v>29.2</v>
      </c>
      <c r="H303" s="135">
        <f>G303/$G$354</f>
        <v>3.6042089310051E-5</v>
      </c>
      <c r="I303" s="180">
        <f>ROUND(F303*'Прил. 10'!$D$13,2)</f>
        <v>75736.8</v>
      </c>
      <c r="J303" s="180">
        <f>ROUND(I303*E303,2)</f>
        <v>234.78</v>
      </c>
    </row>
    <row r="304" spans="1:14" customHeight="1" ht="14.3" outlineLevel="1" s="12" customFormat="1">
      <c r="A304" s="179">
        <v>274</v>
      </c>
      <c r="B304" s="130" t="s">
        <v>712</v>
      </c>
      <c r="C304" s="8" t="s">
        <v>713</v>
      </c>
      <c r="D304" s="2" t="s">
        <v>468</v>
      </c>
      <c r="E304" s="178">
        <v>0.2424</v>
      </c>
      <c r="F304" s="98">
        <v>120</v>
      </c>
      <c r="G304" s="142">
        <f>ROUND(E304*F304,2)</f>
        <v>29.09</v>
      </c>
      <c r="H304" s="135">
        <f>G304/$G$354</f>
        <v>3.5906314316075E-5</v>
      </c>
      <c r="I304" s="180">
        <f>ROUND(F304*'Прил. 10'!$D$13,2)</f>
        <v>964.8</v>
      </c>
      <c r="J304" s="180">
        <f>ROUND(I304*E304,2)</f>
        <v>233.87</v>
      </c>
    </row>
    <row r="305" spans="1:14" customHeight="1" ht="14.3" outlineLevel="1" s="12" customFormat="1">
      <c r="A305" s="179">
        <v>275</v>
      </c>
      <c r="B305" s="130" t="s">
        <v>714</v>
      </c>
      <c r="C305" s="8" t="s">
        <v>715</v>
      </c>
      <c r="D305" s="2" t="s">
        <v>280</v>
      </c>
      <c r="E305" s="178">
        <v>0.0007</v>
      </c>
      <c r="F305" s="98">
        <v>37900</v>
      </c>
      <c r="G305" s="142">
        <f>ROUND(E305*F305,2)</f>
        <v>26.53</v>
      </c>
      <c r="H305" s="135">
        <f>G305/$G$354</f>
        <v>3.274645991081E-5</v>
      </c>
      <c r="I305" s="180">
        <f>ROUND(F305*'Прил. 10'!$D$13,2)</f>
        <v>304716</v>
      </c>
      <c r="J305" s="180">
        <f>ROUND(I305*E305,2)</f>
        <v>213.3</v>
      </c>
    </row>
    <row r="306" spans="1:14" customHeight="1" ht="25.5" outlineLevel="1" s="12" customFormat="1">
      <c r="A306" s="179">
        <v>276</v>
      </c>
      <c r="B306" s="130" t="s">
        <v>716</v>
      </c>
      <c r="C306" s="8" t="s">
        <v>717</v>
      </c>
      <c r="D306" s="2" t="s">
        <v>267</v>
      </c>
      <c r="E306" s="178">
        <v>0.0528</v>
      </c>
      <c r="F306" s="98">
        <v>485.9</v>
      </c>
      <c r="G306" s="142">
        <f>ROUND(E306*F306,2)</f>
        <v>25.66</v>
      </c>
      <c r="H306" s="135">
        <f>G306/$G$354</f>
        <v>3.1672603140271E-5</v>
      </c>
      <c r="I306" s="180">
        <f>ROUND(F306*'Прил. 10'!$D$13,2)</f>
        <v>3906.64</v>
      </c>
      <c r="J306" s="180">
        <f>ROUND(I306*E306,2)</f>
        <v>206.27</v>
      </c>
    </row>
    <row r="307" spans="1:14" customHeight="1" ht="14.3" outlineLevel="1" s="12" customFormat="1">
      <c r="A307" s="179">
        <v>277</v>
      </c>
      <c r="B307" s="130" t="s">
        <v>718</v>
      </c>
      <c r="C307" s="8" t="s">
        <v>719</v>
      </c>
      <c r="D307" s="2" t="s">
        <v>280</v>
      </c>
      <c r="E307" s="178">
        <v>0.0026</v>
      </c>
      <c r="F307" s="98">
        <v>8475</v>
      </c>
      <c r="G307" s="142">
        <f>ROUND(E307*F307,2)</f>
        <v>22.04</v>
      </c>
      <c r="H307" s="135">
        <f>G307/$G$354</f>
        <v>2.7204371520326E-5</v>
      </c>
      <c r="I307" s="180">
        <f>ROUND(F307*'Прил. 10'!$D$13,2)</f>
        <v>68139</v>
      </c>
      <c r="J307" s="180">
        <f>ROUND(I307*E307,2)</f>
        <v>177.16</v>
      </c>
    </row>
    <row r="308" spans="1:14" customHeight="1" ht="14.3" outlineLevel="1" s="12" customFormat="1">
      <c r="A308" s="179">
        <v>278</v>
      </c>
      <c r="B308" s="130" t="s">
        <v>720</v>
      </c>
      <c r="C308" s="8" t="s">
        <v>721</v>
      </c>
      <c r="D308" s="2" t="s">
        <v>404</v>
      </c>
      <c r="E308" s="178">
        <v>0.04</v>
      </c>
      <c r="F308" s="98">
        <v>528</v>
      </c>
      <c r="G308" s="142">
        <f>ROUND(E308*F308,2)</f>
        <v>21.12</v>
      </c>
      <c r="H308" s="135">
        <f>G308/$G$354</f>
        <v>2.6068798843434E-5</v>
      </c>
      <c r="I308" s="180">
        <f>ROUND(F308*'Прил. 10'!$D$13,2)</f>
        <v>4245.12</v>
      </c>
      <c r="J308" s="180">
        <f>ROUND(I308*E308,2)</f>
        <v>169.8</v>
      </c>
    </row>
    <row r="309" spans="1:14" customHeight="1" ht="25.5" outlineLevel="1" s="12" customFormat="1">
      <c r="A309" s="179">
        <v>279</v>
      </c>
      <c r="B309" s="130" t="s">
        <v>722</v>
      </c>
      <c r="C309" s="8" t="s">
        <v>723</v>
      </c>
      <c r="D309" s="2" t="s">
        <v>280</v>
      </c>
      <c r="E309" s="178">
        <v>0.0016</v>
      </c>
      <c r="F309" s="98">
        <v>11978</v>
      </c>
      <c r="G309" s="142">
        <f>ROUND(E309*F309,2)</f>
        <v>19.16</v>
      </c>
      <c r="H309" s="135">
        <f>G309/$G$354</f>
        <v>2.3649535314403E-5</v>
      </c>
      <c r="I309" s="180">
        <f>ROUND(F309*'Прил. 10'!$D$13,2)</f>
        <v>96303.12</v>
      </c>
      <c r="J309" s="180">
        <f>ROUND(I309*E309,2)</f>
        <v>154.08</v>
      </c>
    </row>
    <row r="310" spans="1:14" customHeight="1" ht="25.5" outlineLevel="1" s="12" customFormat="1">
      <c r="A310" s="179">
        <v>280</v>
      </c>
      <c r="B310" s="130" t="s">
        <v>724</v>
      </c>
      <c r="C310" s="8" t="s">
        <v>725</v>
      </c>
      <c r="D310" s="2" t="s">
        <v>399</v>
      </c>
      <c r="E310" s="178">
        <v>1.2</v>
      </c>
      <c r="F310" s="98">
        <v>15.14</v>
      </c>
      <c r="G310" s="142">
        <f>ROUND(E310*F310,2)</f>
        <v>18.17</v>
      </c>
      <c r="H310" s="135">
        <f>G310/$G$354</f>
        <v>2.2427560368617E-5</v>
      </c>
      <c r="I310" s="180">
        <f>ROUND(F310*'Прил. 10'!$D$13,2)</f>
        <v>121.73</v>
      </c>
      <c r="J310" s="180">
        <f>ROUND(I310*E310,2)</f>
        <v>146.08</v>
      </c>
    </row>
    <row r="311" spans="1:14" customHeight="1" ht="25.5" outlineLevel="1" s="12" customFormat="1">
      <c r="A311" s="179">
        <v>281</v>
      </c>
      <c r="B311" s="130" t="s">
        <v>726</v>
      </c>
      <c r="C311" s="8" t="s">
        <v>727</v>
      </c>
      <c r="D311" s="2" t="s">
        <v>280</v>
      </c>
      <c r="E311" s="178">
        <v>0.0012</v>
      </c>
      <c r="F311" s="98">
        <v>15119</v>
      </c>
      <c r="G311" s="142">
        <f>ROUND(E311*F311,2)</f>
        <v>18.14</v>
      </c>
      <c r="H311" s="135">
        <f>G311/$G$354</f>
        <v>2.2390530824806E-5</v>
      </c>
      <c r="I311" s="180">
        <f>ROUND(F311*'Прил. 10'!$D$13,2)</f>
        <v>121556.76</v>
      </c>
      <c r="J311" s="180">
        <f>ROUND(I311*E311,2)</f>
        <v>145.87</v>
      </c>
    </row>
    <row r="312" spans="1:14" customHeight="1" ht="25.5" outlineLevel="1" s="12" customFormat="1">
      <c r="A312" s="179">
        <v>282</v>
      </c>
      <c r="B312" s="130" t="s">
        <v>728</v>
      </c>
      <c r="C312" s="8" t="s">
        <v>729</v>
      </c>
      <c r="D312" s="2" t="s">
        <v>298</v>
      </c>
      <c r="E312" s="178">
        <v>2.814</v>
      </c>
      <c r="F312" s="98">
        <v>6.22</v>
      </c>
      <c r="G312" s="142">
        <f>ROUND(E312*F312,2)</f>
        <v>17.5</v>
      </c>
      <c r="H312" s="135">
        <f>G312/$G$354</f>
        <v>2.1600567223489E-5</v>
      </c>
      <c r="I312" s="180">
        <f>ROUND(F312*'Прил. 10'!$D$13,2)</f>
        <v>50.01</v>
      </c>
      <c r="J312" s="180">
        <f>ROUND(I312*E312,2)</f>
        <v>140.73</v>
      </c>
    </row>
    <row r="313" spans="1:14" customHeight="1" ht="14.3" outlineLevel="1" s="12" customFormat="1">
      <c r="A313" s="179">
        <v>283</v>
      </c>
      <c r="B313" s="130" t="s">
        <v>730</v>
      </c>
      <c r="C313" s="8" t="s">
        <v>731</v>
      </c>
      <c r="D313" s="2" t="s">
        <v>524</v>
      </c>
      <c r="E313" s="178">
        <v>0.139</v>
      </c>
      <c r="F313" s="98">
        <v>119</v>
      </c>
      <c r="G313" s="142">
        <f>ROUND(E313*F313,2)</f>
        <v>16.54</v>
      </c>
      <c r="H313" s="135">
        <f>G313/$G$354</f>
        <v>2.0415621821515E-5</v>
      </c>
      <c r="I313" s="180">
        <f>ROUND(F313*'Прил. 10'!$D$13,2)</f>
        <v>956.76</v>
      </c>
      <c r="J313" s="180">
        <f>ROUND(I313*E313,2)</f>
        <v>132.99</v>
      </c>
    </row>
    <row r="314" spans="1:14" customHeight="1" ht="25.5" outlineLevel="1" s="12" customFormat="1">
      <c r="A314" s="179">
        <v>284</v>
      </c>
      <c r="B314" s="130" t="s">
        <v>732</v>
      </c>
      <c r="C314" s="8" t="s">
        <v>733</v>
      </c>
      <c r="D314" s="2" t="s">
        <v>280</v>
      </c>
      <c r="E314" s="178">
        <v>0.0094</v>
      </c>
      <c r="F314" s="98">
        <v>1695</v>
      </c>
      <c r="G314" s="142">
        <f>ROUND(E314*F314,2)</f>
        <v>15.93</v>
      </c>
      <c r="H314" s="135">
        <f>G314/$G$354</f>
        <v>1.9662687764011E-5</v>
      </c>
      <c r="I314" s="180">
        <f>ROUND(F314*'Прил. 10'!$D$13,2)</f>
        <v>13627.8</v>
      </c>
      <c r="J314" s="180">
        <f>ROUND(I314*E314,2)</f>
        <v>128.1</v>
      </c>
    </row>
    <row r="315" spans="1:14" customHeight="1" ht="14.3" outlineLevel="1" s="12" customFormat="1">
      <c r="A315" s="179">
        <v>285</v>
      </c>
      <c r="B315" s="130" t="s">
        <v>734</v>
      </c>
      <c r="C315" s="8" t="s">
        <v>735</v>
      </c>
      <c r="D315" s="2" t="s">
        <v>280</v>
      </c>
      <c r="E315" s="178">
        <v>0.0016</v>
      </c>
      <c r="F315" s="98">
        <v>9661.5</v>
      </c>
      <c r="G315" s="142">
        <f>ROUND(E315*F315,2)</f>
        <v>15.46</v>
      </c>
      <c r="H315" s="135">
        <f>G315/$G$354</f>
        <v>1.9082558244294E-5</v>
      </c>
      <c r="I315" s="180">
        <f>ROUND(F315*'Прил. 10'!$D$13,2)</f>
        <v>77678.46</v>
      </c>
      <c r="J315" s="180">
        <f>ROUND(I315*E315,2)</f>
        <v>124.29</v>
      </c>
    </row>
    <row r="316" spans="1:14" customHeight="1" ht="38.25" outlineLevel="1" s="12" customFormat="1">
      <c r="A316" s="179">
        <v>286</v>
      </c>
      <c r="B316" s="2" t="s">
        <v>736</v>
      </c>
      <c r="C316" s="8" t="s">
        <v>737</v>
      </c>
      <c r="D316" s="7" t="s">
        <v>500</v>
      </c>
      <c r="E316" s="7">
        <v>0.1</v>
      </c>
      <c r="F316" s="24">
        <v>154.2</v>
      </c>
      <c r="G316" s="142">
        <f>ROUND(E316*F316,2)</f>
        <v>15.42</v>
      </c>
      <c r="H316" s="135">
        <f>G316/$G$354</f>
        <v>1.9033185519212E-5</v>
      </c>
      <c r="I316" s="180">
        <f>ROUND(F316*'Прил. 10'!$D$13,2)</f>
        <v>1239.77</v>
      </c>
      <c r="J316" s="180">
        <f>ROUND(I316*E316,2)</f>
        <v>123.98</v>
      </c>
    </row>
    <row r="317" spans="1:14" customHeight="1" ht="25.5" outlineLevel="1" s="12" customFormat="1">
      <c r="A317" s="179">
        <v>287</v>
      </c>
      <c r="B317" s="130" t="s">
        <v>738</v>
      </c>
      <c r="C317" s="8" t="s">
        <v>739</v>
      </c>
      <c r="D317" s="2" t="s">
        <v>280</v>
      </c>
      <c r="E317" s="178">
        <v>0.0187</v>
      </c>
      <c r="F317" s="98">
        <v>734.5</v>
      </c>
      <c r="G317" s="142">
        <f>ROUND(E317*F317,2)</f>
        <v>13.74</v>
      </c>
      <c r="H317" s="135">
        <f>G317/$G$354</f>
        <v>1.6959531065757E-5</v>
      </c>
      <c r="I317" s="180">
        <f>ROUND(F317*'Прил. 10'!$D$13,2)</f>
        <v>5905.38</v>
      </c>
      <c r="J317" s="180">
        <f>ROUND(I317*E317,2)</f>
        <v>110.43</v>
      </c>
    </row>
    <row r="318" spans="1:14" customHeight="1" ht="14.3" outlineLevel="1" s="12" customFormat="1">
      <c r="A318" s="179">
        <v>288</v>
      </c>
      <c r="B318" s="130" t="s">
        <v>740</v>
      </c>
      <c r="C318" s="8" t="s">
        <v>741</v>
      </c>
      <c r="D318" s="2" t="s">
        <v>280</v>
      </c>
      <c r="E318" s="178">
        <v>0.0008</v>
      </c>
      <c r="F318" s="98">
        <v>16950</v>
      </c>
      <c r="G318" s="142">
        <f>ROUND(E318*F318,2)</f>
        <v>13.56</v>
      </c>
      <c r="H318" s="135">
        <f>G318/$G$354</f>
        <v>1.6737353802887E-5</v>
      </c>
      <c r="I318" s="180">
        <f>ROUND(F318*'Прил. 10'!$D$13,2)</f>
        <v>136278</v>
      </c>
      <c r="J318" s="180">
        <f>ROUND(I318*E318,2)</f>
        <v>109.02</v>
      </c>
    </row>
    <row r="319" spans="1:14" customHeight="1" ht="14.3" outlineLevel="1" s="12" customFormat="1">
      <c r="A319" s="179">
        <v>289</v>
      </c>
      <c r="B319" s="130" t="s">
        <v>742</v>
      </c>
      <c r="C319" s="8" t="s">
        <v>743</v>
      </c>
      <c r="D319" s="2" t="s">
        <v>399</v>
      </c>
      <c r="E319" s="178">
        <v>0.3531</v>
      </c>
      <c r="F319" s="98">
        <v>37.29</v>
      </c>
      <c r="G319" s="142">
        <f>ROUND(E319*F319,2)</f>
        <v>13.17</v>
      </c>
      <c r="H319" s="135">
        <f>G319/$G$354</f>
        <v>1.6255969733335E-5</v>
      </c>
      <c r="I319" s="180">
        <f>ROUND(F319*'Прил. 10'!$D$13,2)</f>
        <v>299.81</v>
      </c>
      <c r="J319" s="180">
        <f>ROUND(I319*E319,2)</f>
        <v>105.86</v>
      </c>
    </row>
    <row r="320" spans="1:14" customHeight="1" ht="14.3" outlineLevel="1" s="12" customFormat="1">
      <c r="A320" s="179">
        <v>290</v>
      </c>
      <c r="B320" s="130" t="s">
        <v>744</v>
      </c>
      <c r="C320" s="8" t="s">
        <v>745</v>
      </c>
      <c r="D320" s="2" t="s">
        <v>280</v>
      </c>
      <c r="E320" s="178">
        <v>0.0175</v>
      </c>
      <c r="F320" s="98">
        <v>729.98</v>
      </c>
      <c r="G320" s="142">
        <f>ROUND(E320*F320,2)</f>
        <v>12.77</v>
      </c>
      <c r="H320" s="135">
        <f>G320/$G$354</f>
        <v>1.5762242482512E-5</v>
      </c>
      <c r="I320" s="180">
        <f>ROUND(F320*'Прил. 10'!$D$13,2)</f>
        <v>5869.04</v>
      </c>
      <c r="J320" s="180">
        <f>ROUND(I320*E320,2)</f>
        <v>102.71</v>
      </c>
    </row>
    <row r="321" spans="1:14" customHeight="1" ht="38.25" outlineLevel="1" s="12" customFormat="1">
      <c r="A321" s="179">
        <v>291</v>
      </c>
      <c r="B321" s="130" t="s">
        <v>746</v>
      </c>
      <c r="C321" s="8" t="s">
        <v>747</v>
      </c>
      <c r="D321" s="2" t="s">
        <v>267</v>
      </c>
      <c r="E321" s="178">
        <v>0.0102</v>
      </c>
      <c r="F321" s="98">
        <v>1242.2</v>
      </c>
      <c r="G321" s="142">
        <f>ROUND(E321*F321,2)</f>
        <v>12.67</v>
      </c>
      <c r="H321" s="135">
        <f>G321/$G$354</f>
        <v>1.5638810669806E-5</v>
      </c>
      <c r="I321" s="180">
        <f>ROUND(F321*'Прил. 10'!$D$13,2)</f>
        <v>9987.29</v>
      </c>
      <c r="J321" s="180">
        <f>ROUND(I321*E321,2)</f>
        <v>101.87</v>
      </c>
    </row>
    <row r="322" spans="1:14" customHeight="1" ht="14.3" outlineLevel="1" s="12" customFormat="1">
      <c r="A322" s="179">
        <v>292</v>
      </c>
      <c r="B322" s="130" t="s">
        <v>748</v>
      </c>
      <c r="C322" s="8" t="s">
        <v>749</v>
      </c>
      <c r="D322" s="2" t="s">
        <v>280</v>
      </c>
      <c r="E322" s="178">
        <v>0.0101</v>
      </c>
      <c r="F322" s="98">
        <v>1160</v>
      </c>
      <c r="G322" s="142">
        <f>ROUND(E322*F322,2)</f>
        <v>11.72</v>
      </c>
      <c r="H322" s="135">
        <f>G322/$G$354</f>
        <v>1.4466208449103E-5</v>
      </c>
      <c r="I322" s="180">
        <f>ROUND(F322*'Прил. 10'!$D$13,2)</f>
        <v>9326.4</v>
      </c>
      <c r="J322" s="180">
        <f>ROUND(I322*E322,2)</f>
        <v>94.2</v>
      </c>
    </row>
    <row r="323" spans="1:14" customHeight="1" ht="38.25" outlineLevel="1" s="12" customFormat="1">
      <c r="A323" s="179">
        <v>293</v>
      </c>
      <c r="B323" s="130" t="s">
        <v>750</v>
      </c>
      <c r="C323" s="8" t="s">
        <v>751</v>
      </c>
      <c r="D323" s="2" t="s">
        <v>267</v>
      </c>
      <c r="E323" s="178">
        <v>0.0067</v>
      </c>
      <c r="F323" s="98">
        <v>1700</v>
      </c>
      <c r="G323" s="142">
        <f>ROUND(E323*F323,2)</f>
        <v>11.39</v>
      </c>
      <c r="H323" s="135">
        <f>G323/$G$354</f>
        <v>1.4058883467174E-5</v>
      </c>
      <c r="I323" s="180">
        <f>ROUND(F323*'Прил. 10'!$D$13,2)</f>
        <v>13668</v>
      </c>
      <c r="J323" s="180">
        <f>ROUND(I323*E323,2)</f>
        <v>91.58</v>
      </c>
    </row>
    <row r="324" spans="1:14" customHeight="1" ht="25.5" outlineLevel="1" s="12" customFormat="1">
      <c r="A324" s="179">
        <v>294</v>
      </c>
      <c r="B324" s="130" t="s">
        <v>752</v>
      </c>
      <c r="C324" s="8" t="s">
        <v>753</v>
      </c>
      <c r="D324" s="2" t="s">
        <v>267</v>
      </c>
      <c r="E324" s="178">
        <v>0.0218</v>
      </c>
      <c r="F324" s="98">
        <v>496.4</v>
      </c>
      <c r="G324" s="142">
        <f>ROUND(E324*F324,2)</f>
        <v>10.82</v>
      </c>
      <c r="H324" s="135">
        <f>G324/$G$354</f>
        <v>1.3355322134752E-5</v>
      </c>
      <c r="I324" s="180">
        <f>ROUND(F324*'Прил. 10'!$D$13,2)</f>
        <v>3991.06</v>
      </c>
      <c r="J324" s="180">
        <f>ROUND(I324*E324,2)</f>
        <v>87.01</v>
      </c>
    </row>
    <row r="325" spans="1:14" customHeight="1" ht="38.25" outlineLevel="1" s="12" customFormat="1">
      <c r="A325" s="179">
        <v>295</v>
      </c>
      <c r="B325" s="130" t="s">
        <v>754</v>
      </c>
      <c r="C325" s="8" t="s">
        <v>755</v>
      </c>
      <c r="D325" s="2" t="s">
        <v>267</v>
      </c>
      <c r="E325" s="178">
        <v>0.008</v>
      </c>
      <c r="F325" s="98">
        <v>1287</v>
      </c>
      <c r="G325" s="142">
        <f>ROUND(E325*F325,2)</f>
        <v>10.3</v>
      </c>
      <c r="H325" s="135">
        <f>G325/$G$354</f>
        <v>1.2713476708682E-5</v>
      </c>
      <c r="I325" s="180">
        <f>ROUND(F325*'Прил. 10'!$D$13,2)</f>
        <v>10347.48</v>
      </c>
      <c r="J325" s="180">
        <f>ROUND(I325*E325,2)</f>
        <v>82.78</v>
      </c>
    </row>
    <row r="326" spans="1:14" customHeight="1" ht="25.5" outlineLevel="1" s="12" customFormat="1">
      <c r="A326" s="179">
        <v>296</v>
      </c>
      <c r="B326" s="130" t="s">
        <v>756</v>
      </c>
      <c r="C326" s="8" t="s">
        <v>757</v>
      </c>
      <c r="D326" s="2" t="s">
        <v>280</v>
      </c>
      <c r="E326" s="178">
        <v>0.0003</v>
      </c>
      <c r="F326" s="98">
        <v>32830</v>
      </c>
      <c r="G326" s="142">
        <f>ROUND(E326*F326,2)</f>
        <v>9.85</v>
      </c>
      <c r="H326" s="135">
        <f>G326/$G$354</f>
        <v>1.2158033551507E-5</v>
      </c>
      <c r="I326" s="180">
        <f>ROUND(F326*'Прил. 10'!$D$13,2)</f>
        <v>263953.2</v>
      </c>
      <c r="J326" s="180">
        <f>ROUND(I326*E326,2)</f>
        <v>79.19</v>
      </c>
    </row>
    <row r="327" spans="1:14" customHeight="1" ht="14.3" outlineLevel="1" s="12" customFormat="1">
      <c r="A327" s="179">
        <v>297</v>
      </c>
      <c r="B327" s="130" t="s">
        <v>758</v>
      </c>
      <c r="C327" s="8" t="s">
        <v>759</v>
      </c>
      <c r="D327" s="2" t="s">
        <v>267</v>
      </c>
      <c r="E327" s="178">
        <v>0.2443</v>
      </c>
      <c r="F327" s="98">
        <v>38.51</v>
      </c>
      <c r="G327" s="142">
        <f>ROUND(E327*F327,2)</f>
        <v>9.41</v>
      </c>
      <c r="H327" s="135">
        <f>G327/$G$354</f>
        <v>1.1614933575602E-5</v>
      </c>
      <c r="I327" s="180">
        <f>ROUND(F327*'Прил. 10'!$D$13,2)</f>
        <v>309.62</v>
      </c>
      <c r="J327" s="180">
        <f>ROUND(I327*E327,2)</f>
        <v>75.64</v>
      </c>
    </row>
    <row r="328" spans="1:14" customHeight="1" ht="25.5" outlineLevel="1" s="12" customFormat="1">
      <c r="A328" s="179">
        <v>298</v>
      </c>
      <c r="B328" s="130" t="s">
        <v>760</v>
      </c>
      <c r="C328" s="8" t="s">
        <v>761</v>
      </c>
      <c r="D328" s="2" t="s">
        <v>280</v>
      </c>
      <c r="E328" s="178">
        <v>0.0006</v>
      </c>
      <c r="F328" s="98">
        <v>13560</v>
      </c>
      <c r="G328" s="142">
        <f>ROUND(E328*F328,2)</f>
        <v>8.14</v>
      </c>
      <c r="H328" s="135">
        <f>G328/$G$354</f>
        <v>1.004734955424E-5</v>
      </c>
      <c r="I328" s="180">
        <f>ROUND(F328*'Прил. 10'!$D$13,2)</f>
        <v>109022.4</v>
      </c>
      <c r="J328" s="180">
        <f>ROUND(I328*E328,2)</f>
        <v>65.41</v>
      </c>
    </row>
    <row r="329" spans="1:14" customHeight="1" ht="25.5" outlineLevel="1" s="12" customFormat="1">
      <c r="A329" s="179">
        <v>299</v>
      </c>
      <c r="B329" s="130" t="s">
        <v>762</v>
      </c>
      <c r="C329" s="8" t="s">
        <v>763</v>
      </c>
      <c r="D329" s="2" t="s">
        <v>280</v>
      </c>
      <c r="E329" s="178">
        <v>0.0044</v>
      </c>
      <c r="F329" s="98">
        <v>1836</v>
      </c>
      <c r="G329" s="142">
        <f>ROUND(E329*F329,2)</f>
        <v>8.08</v>
      </c>
      <c r="H329" s="135">
        <f>G329/$G$354</f>
        <v>9.9732904666168E-6</v>
      </c>
      <c r="I329" s="180">
        <f>ROUND(F329*'Прил. 10'!$D$13,2)</f>
        <v>14761.44</v>
      </c>
      <c r="J329" s="180">
        <f>ROUND(I329*E329,2)</f>
        <v>64.95</v>
      </c>
    </row>
    <row r="330" spans="1:14" customHeight="1" ht="14.3" outlineLevel="1" s="12" customFormat="1">
      <c r="A330" s="179">
        <v>300</v>
      </c>
      <c r="B330" s="130" t="s">
        <v>764</v>
      </c>
      <c r="C330" s="8" t="s">
        <v>765</v>
      </c>
      <c r="D330" s="2" t="s">
        <v>404</v>
      </c>
      <c r="E330" s="178">
        <v>0.0912</v>
      </c>
      <c r="F330" s="98">
        <v>86</v>
      </c>
      <c r="G330" s="142">
        <f>ROUND(E330*F330,2)</f>
        <v>7.84</v>
      </c>
      <c r="H330" s="135">
        <f>G330/$G$354</f>
        <v>9.6770541161232E-6</v>
      </c>
      <c r="I330" s="180">
        <f>ROUND(F330*'Прил. 10'!$D$13,2)</f>
        <v>691.44</v>
      </c>
      <c r="J330" s="180">
        <f>ROUND(I330*E330,2)</f>
        <v>63.06</v>
      </c>
    </row>
    <row r="331" spans="1:14" customHeight="1" ht="14.3" outlineLevel="1" s="12" customFormat="1">
      <c r="A331" s="179">
        <v>301</v>
      </c>
      <c r="B331" s="130" t="s">
        <v>766</v>
      </c>
      <c r="C331" s="8" t="s">
        <v>767</v>
      </c>
      <c r="D331" s="2" t="s">
        <v>280</v>
      </c>
      <c r="E331" s="178">
        <v>0.001</v>
      </c>
      <c r="F331" s="98">
        <v>7640</v>
      </c>
      <c r="G331" s="142">
        <f>ROUND(E331*F331,2)</f>
        <v>7.64</v>
      </c>
      <c r="H331" s="135">
        <f>G331/$G$354</f>
        <v>9.4301904907119E-6</v>
      </c>
      <c r="I331" s="180">
        <f>ROUND(F331*'Прил. 10'!$D$13,2)</f>
        <v>61425.6</v>
      </c>
      <c r="J331" s="180">
        <f>ROUND(I331*E331,2)</f>
        <v>61.43</v>
      </c>
    </row>
    <row r="332" spans="1:14" customHeight="1" ht="14.3" outlineLevel="1" s="12" customFormat="1">
      <c r="A332" s="179">
        <v>302</v>
      </c>
      <c r="B332" s="130" t="s">
        <v>768</v>
      </c>
      <c r="C332" s="8" t="s">
        <v>769</v>
      </c>
      <c r="D332" s="2" t="s">
        <v>280</v>
      </c>
      <c r="E332" s="178">
        <v>0.0004</v>
      </c>
      <c r="F332" s="98">
        <v>17796.96</v>
      </c>
      <c r="G332" s="142">
        <f>ROUND(E332*F332,2)</f>
        <v>7.12</v>
      </c>
      <c r="H332" s="135">
        <f>G332/$G$354</f>
        <v>8.7883450646425E-6</v>
      </c>
      <c r="I332" s="180">
        <f>ROUND(F332*'Прил. 10'!$D$13,2)</f>
        <v>143087.56</v>
      </c>
      <c r="J332" s="180">
        <f>ROUND(I332*E332,2)</f>
        <v>57.24</v>
      </c>
    </row>
    <row r="333" spans="1:14" customHeight="1" ht="14.3" outlineLevel="1" s="12" customFormat="1">
      <c r="A333" s="179">
        <v>303</v>
      </c>
      <c r="B333" s="130" t="s">
        <v>770</v>
      </c>
      <c r="C333" s="8" t="s">
        <v>771</v>
      </c>
      <c r="D333" s="2" t="s">
        <v>399</v>
      </c>
      <c r="E333" s="178">
        <v>0.16</v>
      </c>
      <c r="F333" s="98">
        <v>41.7</v>
      </c>
      <c r="G333" s="142">
        <f>ROUND(E333*F333,2)</f>
        <v>6.67</v>
      </c>
      <c r="H333" s="135">
        <f>G333/$G$354</f>
        <v>8.2329019074671E-6</v>
      </c>
      <c r="I333" s="180">
        <f>ROUND(F333*'Прил. 10'!$D$13,2)</f>
        <v>335.27</v>
      </c>
      <c r="J333" s="180">
        <f>ROUND(I333*E333,2)</f>
        <v>53.64</v>
      </c>
    </row>
    <row r="334" spans="1:14" customHeight="1" ht="14.3" outlineLevel="1" s="12" customFormat="1">
      <c r="A334" s="179">
        <v>304</v>
      </c>
      <c r="B334" s="130" t="s">
        <v>772</v>
      </c>
      <c r="C334" s="8" t="s">
        <v>773</v>
      </c>
      <c r="D334" s="2" t="s">
        <v>280</v>
      </c>
      <c r="E334" s="178">
        <v>0.0003</v>
      </c>
      <c r="F334" s="98">
        <v>20775</v>
      </c>
      <c r="G334" s="142">
        <f>ROUND(E334*F334,2)</f>
        <v>6.23</v>
      </c>
      <c r="H334" s="135">
        <f>G334/$G$354</f>
        <v>7.6898019315622E-6</v>
      </c>
      <c r="I334" s="180">
        <f>ROUND(F334*'Прил. 10'!$D$13,2)</f>
        <v>167031</v>
      </c>
      <c r="J334" s="180">
        <f>ROUND(I334*E334,2)</f>
        <v>50.11</v>
      </c>
    </row>
    <row r="335" spans="1:14" customHeight="1" ht="25.5" outlineLevel="1" s="12" customFormat="1">
      <c r="A335" s="179">
        <v>305</v>
      </c>
      <c r="B335" s="130" t="s">
        <v>774</v>
      </c>
      <c r="C335" s="8" t="s">
        <v>775</v>
      </c>
      <c r="D335" s="2" t="s">
        <v>280</v>
      </c>
      <c r="E335" s="178">
        <v>0.001</v>
      </c>
      <c r="F335" s="98">
        <v>6210</v>
      </c>
      <c r="G335" s="142">
        <f>ROUND(E335*F335,2)</f>
        <v>6.21</v>
      </c>
      <c r="H335" s="135">
        <f>G335/$G$354</f>
        <v>7.6651155690211E-6</v>
      </c>
      <c r="I335" s="180">
        <f>ROUND(F335*'Прил. 10'!$D$13,2)</f>
        <v>49928.4</v>
      </c>
      <c r="J335" s="180">
        <f>ROUND(I335*E335,2)</f>
        <v>49.93</v>
      </c>
    </row>
    <row r="336" spans="1:14" customHeight="1" ht="63.7" outlineLevel="1" s="12" customFormat="1">
      <c r="A336" s="179">
        <v>306</v>
      </c>
      <c r="B336" s="130" t="s">
        <v>776</v>
      </c>
      <c r="C336" s="8" t="s">
        <v>777</v>
      </c>
      <c r="D336" s="2" t="s">
        <v>305</v>
      </c>
      <c r="E336" s="178">
        <v>0.1134</v>
      </c>
      <c r="F336" s="98">
        <v>50.24</v>
      </c>
      <c r="G336" s="142">
        <f>ROUND(E336*F336,2)</f>
        <v>5.7</v>
      </c>
      <c r="H336" s="135">
        <f>G336/$G$354</f>
        <v>7.0356133242223E-6</v>
      </c>
      <c r="I336" s="180">
        <f>ROUND(F336*'Прил. 10'!$D$13,2)</f>
        <v>403.93</v>
      </c>
      <c r="J336" s="180">
        <f>ROUND(I336*E336,2)</f>
        <v>45.81</v>
      </c>
    </row>
    <row r="337" spans="1:14" customHeight="1" ht="25.5" outlineLevel="1" s="12" customFormat="1">
      <c r="A337" s="179">
        <v>307</v>
      </c>
      <c r="B337" s="130" t="s">
        <v>778</v>
      </c>
      <c r="C337" s="8" t="s">
        <v>779</v>
      </c>
      <c r="D337" s="2" t="s">
        <v>399</v>
      </c>
      <c r="E337" s="178">
        <v>0.2265</v>
      </c>
      <c r="F337" s="98">
        <v>23.09</v>
      </c>
      <c r="G337" s="142">
        <f>ROUND(E337*F337,2)</f>
        <v>5.23</v>
      </c>
      <c r="H337" s="135">
        <f>G337/$G$354</f>
        <v>6.4554838045057E-6</v>
      </c>
      <c r="I337" s="180">
        <f>ROUND(F337*'Прил. 10'!$D$13,2)</f>
        <v>185.64</v>
      </c>
      <c r="J337" s="180">
        <f>ROUND(I337*E337,2)</f>
        <v>42.05</v>
      </c>
    </row>
    <row r="338" spans="1:14" customHeight="1" ht="14.3" outlineLevel="1" s="12" customFormat="1">
      <c r="A338" s="179">
        <v>308</v>
      </c>
      <c r="B338" s="130" t="s">
        <v>780</v>
      </c>
      <c r="C338" s="8" t="s">
        <v>781</v>
      </c>
      <c r="D338" s="2" t="s">
        <v>399</v>
      </c>
      <c r="E338" s="178">
        <v>0.47</v>
      </c>
      <c r="F338" s="98">
        <v>10.57</v>
      </c>
      <c r="G338" s="142">
        <f>ROUND(E338*F338,2)</f>
        <v>4.97</v>
      </c>
      <c r="H338" s="135">
        <f>G338/$G$354</f>
        <v>6.134561091471E-6</v>
      </c>
      <c r="I338" s="180">
        <f>ROUND(F338*'Прил. 10'!$D$13,2)</f>
        <v>84.98</v>
      </c>
      <c r="J338" s="180">
        <f>ROUND(I338*E338,2)</f>
        <v>39.94</v>
      </c>
    </row>
    <row r="339" spans="1:14" customHeight="1" ht="14.3" outlineLevel="1" s="12" customFormat="1">
      <c r="A339" s="179">
        <v>309</v>
      </c>
      <c r="B339" s="130" t="s">
        <v>782</v>
      </c>
      <c r="C339" s="8" t="s">
        <v>783</v>
      </c>
      <c r="D339" s="2" t="s">
        <v>399</v>
      </c>
      <c r="E339" s="178">
        <v>0.1756</v>
      </c>
      <c r="F339" s="98">
        <v>27.74</v>
      </c>
      <c r="G339" s="142">
        <f>ROUND(E339*F339,2)</f>
        <v>4.87</v>
      </c>
      <c r="H339" s="135">
        <f>G339/$G$354</f>
        <v>6.0111292787653E-6</v>
      </c>
      <c r="I339" s="180">
        <f>ROUND(F339*'Прил. 10'!$D$13,2)</f>
        <v>223.03</v>
      </c>
      <c r="J339" s="180">
        <f>ROUND(I339*E339,2)</f>
        <v>39.16</v>
      </c>
    </row>
    <row r="340" spans="1:14" customHeight="1" ht="14.3" outlineLevel="1" s="12" customFormat="1">
      <c r="A340" s="179">
        <v>310</v>
      </c>
      <c r="B340" s="130" t="s">
        <v>784</v>
      </c>
      <c r="C340" s="8" t="s">
        <v>785</v>
      </c>
      <c r="D340" s="2" t="s">
        <v>399</v>
      </c>
      <c r="E340" s="178">
        <v>0.124</v>
      </c>
      <c r="F340" s="98">
        <v>35.7</v>
      </c>
      <c r="G340" s="142">
        <f>ROUND(E340*F340,2)</f>
        <v>4.43</v>
      </c>
      <c r="H340" s="135">
        <f>G340/$G$354</f>
        <v>5.4680293028605E-6</v>
      </c>
      <c r="I340" s="180">
        <f>ROUND(F340*'Прил. 10'!$D$13,2)</f>
        <v>287.03</v>
      </c>
      <c r="J340" s="180">
        <f>ROUND(I340*E340,2)</f>
        <v>35.59</v>
      </c>
    </row>
    <row r="341" spans="1:14" customHeight="1" ht="25.5" outlineLevel="1" s="12" customFormat="1">
      <c r="A341" s="179">
        <v>311</v>
      </c>
      <c r="B341" s="130" t="s">
        <v>786</v>
      </c>
      <c r="C341" s="8" t="s">
        <v>787</v>
      </c>
      <c r="D341" s="2" t="s">
        <v>280</v>
      </c>
      <c r="E341" s="178">
        <v>0.0008</v>
      </c>
      <c r="F341" s="98">
        <v>5000</v>
      </c>
      <c r="G341" s="142">
        <f>ROUND(E341*F341,2)</f>
        <v>4</v>
      </c>
      <c r="H341" s="135">
        <f>G341/$G$354</f>
        <v>4.9372725082261E-6</v>
      </c>
      <c r="I341" s="180">
        <f>ROUND(F341*'Прил. 10'!$D$13,2)</f>
        <v>40200</v>
      </c>
      <c r="J341" s="180">
        <f>ROUND(I341*E341,2)</f>
        <v>32.16</v>
      </c>
    </row>
    <row r="342" spans="1:14" customHeight="1" ht="14.3" outlineLevel="1" s="12" customFormat="1">
      <c r="A342" s="179">
        <v>312</v>
      </c>
      <c r="B342" s="130" t="s">
        <v>788</v>
      </c>
      <c r="C342" s="8" t="s">
        <v>789</v>
      </c>
      <c r="D342" s="2" t="s">
        <v>280</v>
      </c>
      <c r="E342" s="178">
        <v>0.0002</v>
      </c>
      <c r="F342" s="98">
        <v>15255</v>
      </c>
      <c r="G342" s="142">
        <f>ROUND(E342*F342,2)</f>
        <v>3.05</v>
      </c>
      <c r="H342" s="135">
        <f>G342/$G$354</f>
        <v>3.7646702875224E-6</v>
      </c>
      <c r="I342" s="180">
        <f>ROUND(F342*'Прил. 10'!$D$13,2)</f>
        <v>122650.2</v>
      </c>
      <c r="J342" s="180">
        <f>ROUND(I342*E342,2)</f>
        <v>24.53</v>
      </c>
    </row>
    <row r="343" spans="1:14" customHeight="1" ht="14.3" outlineLevel="1" s="12" customFormat="1">
      <c r="A343" s="179">
        <v>313</v>
      </c>
      <c r="B343" s="130" t="s">
        <v>790</v>
      </c>
      <c r="C343" s="8" t="s">
        <v>791</v>
      </c>
      <c r="D343" s="2" t="s">
        <v>280</v>
      </c>
      <c r="E343" s="178">
        <v>0.0004</v>
      </c>
      <c r="F343" s="98">
        <v>6667</v>
      </c>
      <c r="G343" s="142">
        <f>ROUND(E343*F343,2)</f>
        <v>2.67</v>
      </c>
      <c r="H343" s="135">
        <f>G343/$G$354</f>
        <v>3.295629399241E-6</v>
      </c>
      <c r="I343" s="180">
        <f>ROUND(F343*'Прил. 10'!$D$13,2)</f>
        <v>53602.68</v>
      </c>
      <c r="J343" s="180">
        <f>ROUND(I343*E343,2)</f>
        <v>21.44</v>
      </c>
    </row>
    <row r="344" spans="1:14" customHeight="1" ht="25.5" outlineLevel="1" s="12" customFormat="1">
      <c r="A344" s="179">
        <v>314</v>
      </c>
      <c r="B344" s="130" t="s">
        <v>792</v>
      </c>
      <c r="C344" s="8" t="s">
        <v>793</v>
      </c>
      <c r="D344" s="2" t="s">
        <v>280</v>
      </c>
      <c r="E344" s="178">
        <v>0.0003</v>
      </c>
      <c r="F344" s="98">
        <v>8475</v>
      </c>
      <c r="G344" s="142">
        <f>ROUND(E344*F344,2)</f>
        <v>2.54</v>
      </c>
      <c r="H344" s="135">
        <f>G344/$G$354</f>
        <v>3.1351680427236E-6</v>
      </c>
      <c r="I344" s="180">
        <f>ROUND(F344*'Прил. 10'!$D$13,2)</f>
        <v>68139</v>
      </c>
      <c r="J344" s="180">
        <f>ROUND(I344*E344,2)</f>
        <v>20.44</v>
      </c>
    </row>
    <row r="345" spans="1:14" customHeight="1" ht="14.3" outlineLevel="1" s="12" customFormat="1">
      <c r="A345" s="179">
        <v>315</v>
      </c>
      <c r="B345" s="130" t="s">
        <v>794</v>
      </c>
      <c r="C345" s="8" t="s">
        <v>795</v>
      </c>
      <c r="D345" s="2" t="s">
        <v>280</v>
      </c>
      <c r="E345" s="178">
        <v>0.0003</v>
      </c>
      <c r="F345" s="98">
        <v>8105.71</v>
      </c>
      <c r="G345" s="142">
        <f>ROUND(E345*F345,2)</f>
        <v>2.43</v>
      </c>
      <c r="H345" s="135">
        <f>G345/$G$354</f>
        <v>2.9993930487474E-6</v>
      </c>
      <c r="I345" s="180">
        <f>ROUND(F345*'Прил. 10'!$D$13,2)</f>
        <v>65169.91</v>
      </c>
      <c r="J345" s="180">
        <f>ROUND(I345*E345,2)</f>
        <v>19.55</v>
      </c>
    </row>
    <row r="346" spans="1:14" customHeight="1" ht="38.25" outlineLevel="1" s="12" customFormat="1">
      <c r="A346" s="179">
        <v>316</v>
      </c>
      <c r="B346" s="130" t="s">
        <v>796</v>
      </c>
      <c r="C346" s="8" t="s">
        <v>797</v>
      </c>
      <c r="D346" s="2" t="s">
        <v>267</v>
      </c>
      <c r="E346" s="178">
        <v>0.0147</v>
      </c>
      <c r="F346" s="98">
        <v>108.4</v>
      </c>
      <c r="G346" s="142">
        <f>ROUND(E346*F346,2)</f>
        <v>1.59</v>
      </c>
      <c r="H346" s="135">
        <f>G346/$G$354</f>
        <v>1.9625658220199E-6</v>
      </c>
      <c r="I346" s="180">
        <f>ROUND(F346*'Прил. 10'!$D$13,2)</f>
        <v>871.54</v>
      </c>
      <c r="J346" s="180">
        <f>ROUND(I346*E346,2)</f>
        <v>12.81</v>
      </c>
    </row>
    <row r="347" spans="1:14" customHeight="1" ht="14.3" outlineLevel="1" s="12" customFormat="1">
      <c r="A347" s="179">
        <v>317</v>
      </c>
      <c r="B347" s="130" t="s">
        <v>798</v>
      </c>
      <c r="C347" s="8" t="s">
        <v>799</v>
      </c>
      <c r="D347" s="2" t="s">
        <v>298</v>
      </c>
      <c r="E347" s="178">
        <v>0.2487</v>
      </c>
      <c r="F347" s="98">
        <v>6.08</v>
      </c>
      <c r="G347" s="142">
        <f>ROUND(E347*F347,2)</f>
        <v>1.51</v>
      </c>
      <c r="H347" s="135">
        <f>G347/$G$354</f>
        <v>1.8638203718554E-6</v>
      </c>
      <c r="I347" s="180">
        <f>ROUND(F347*'Прил. 10'!$D$13,2)</f>
        <v>48.88</v>
      </c>
      <c r="J347" s="180">
        <f>ROUND(I347*E347,2)</f>
        <v>12.16</v>
      </c>
    </row>
    <row r="348" spans="1:14" customHeight="1" ht="38.25" outlineLevel="1" s="12" customFormat="1">
      <c r="A348" s="179">
        <v>318</v>
      </c>
      <c r="B348" s="130" t="s">
        <v>800</v>
      </c>
      <c r="C348" s="8" t="s">
        <v>801</v>
      </c>
      <c r="D348" s="2" t="s">
        <v>280</v>
      </c>
      <c r="E348" s="178">
        <v>0.0001</v>
      </c>
      <c r="F348" s="98">
        <v>14690</v>
      </c>
      <c r="G348" s="142">
        <f>ROUND(E348*F348,2)</f>
        <v>1.47</v>
      </c>
      <c r="H348" s="135">
        <f>G348/$G$354</f>
        <v>1.8144476467731E-6</v>
      </c>
      <c r="I348" s="180">
        <f>ROUND(F348*'Прил. 10'!$D$13,2)</f>
        <v>118107.6</v>
      </c>
      <c r="J348" s="180">
        <f>ROUND(I348*E348,2)</f>
        <v>11.81</v>
      </c>
    </row>
    <row r="349" spans="1:14" customHeight="1" ht="14.3" outlineLevel="1" s="12" customFormat="1">
      <c r="A349" s="179">
        <v>319</v>
      </c>
      <c r="B349" s="130" t="s">
        <v>802</v>
      </c>
      <c r="C349" s="8" t="s">
        <v>803</v>
      </c>
      <c r="D349" s="2" t="s">
        <v>399</v>
      </c>
      <c r="E349" s="178">
        <v>0.625</v>
      </c>
      <c r="F349" s="98">
        <v>1.82</v>
      </c>
      <c r="G349" s="142">
        <f>ROUND(E349*F349,2)</f>
        <v>1.14</v>
      </c>
      <c r="H349" s="135">
        <f>G349/$G$354</f>
        <v>1.4071226648445E-6</v>
      </c>
      <c r="I349" s="180">
        <f>ROUND(F349*'Прил. 10'!$D$13,2)</f>
        <v>14.63</v>
      </c>
      <c r="J349" s="180">
        <f>ROUND(I349*E349,2)</f>
        <v>9.14</v>
      </c>
    </row>
    <row r="350" spans="1:14" customHeight="1" ht="25.5" outlineLevel="1" s="12" customFormat="1">
      <c r="A350" s="179">
        <v>320</v>
      </c>
      <c r="B350" s="130" t="s">
        <v>804</v>
      </c>
      <c r="C350" s="8" t="s">
        <v>805</v>
      </c>
      <c r="D350" s="2" t="s">
        <v>524</v>
      </c>
      <c r="E350" s="178">
        <v>0.004</v>
      </c>
      <c r="F350" s="98">
        <v>160</v>
      </c>
      <c r="G350" s="142">
        <f>ROUND(E350*F350,2)</f>
        <v>0.64</v>
      </c>
      <c r="H350" s="135">
        <f>G350/$G$354</f>
        <v>7.8996360131618E-7</v>
      </c>
      <c r="I350" s="180">
        <f>ROUND(F350*'Прил. 10'!$D$13,2)</f>
        <v>1286.4</v>
      </c>
      <c r="J350" s="180">
        <f>ROUND(I350*E350,2)</f>
        <v>5.15</v>
      </c>
    </row>
    <row r="351" spans="1:14" customHeight="1" ht="25.5" outlineLevel="1" s="12" customFormat="1">
      <c r="A351" s="179">
        <v>321</v>
      </c>
      <c r="B351" s="130" t="s">
        <v>806</v>
      </c>
      <c r="C351" s="8" t="s">
        <v>807</v>
      </c>
      <c r="D351" s="2" t="s">
        <v>399</v>
      </c>
      <c r="E351" s="178">
        <v>0.1198</v>
      </c>
      <c r="F351" s="98">
        <v>2.15</v>
      </c>
      <c r="G351" s="142">
        <f>ROUND(E351*F351,2)</f>
        <v>0.26</v>
      </c>
      <c r="H351" s="135">
        <f>G351/$G$354</f>
        <v>3.209227130347E-7</v>
      </c>
      <c r="I351" s="180">
        <f>ROUND(F351*'Прил. 10'!$D$13,2)</f>
        <v>17.29</v>
      </c>
      <c r="J351" s="180">
        <f>ROUND(I351*E351,2)</f>
        <v>2.07</v>
      </c>
    </row>
    <row r="352" spans="1:14" customHeight="1" ht="38.25" outlineLevel="1" s="12" customFormat="1">
      <c r="A352" s="179">
        <v>322</v>
      </c>
      <c r="B352" s="130" t="s">
        <v>808</v>
      </c>
      <c r="C352" s="8" t="s">
        <v>809</v>
      </c>
      <c r="D352" s="2" t="s">
        <v>267</v>
      </c>
      <c r="E352" s="178">
        <v>0.0005</v>
      </c>
      <c r="F352" s="98">
        <v>74.58</v>
      </c>
      <c r="G352" s="142">
        <f>ROUND(E352*F352,2)</f>
        <v>0.04</v>
      </c>
      <c r="H352" s="135">
        <f>G352/$G$354</f>
        <v>4.9372725082261E-8</v>
      </c>
      <c r="I352" s="180">
        <f>ROUND(F352*'Прил. 10'!$D$13,2)</f>
        <v>599.62</v>
      </c>
      <c r="J352" s="180">
        <f>ROUND(I352*E352,2)</f>
        <v>0.3</v>
      </c>
    </row>
    <row r="353" spans="1:14" customHeight="1" ht="14.3" s="12" customFormat="1">
      <c r="A353" s="2"/>
      <c r="B353" s="2"/>
      <c r="C353" s="8" t="s">
        <v>874</v>
      </c>
      <c r="D353" s="2"/>
      <c r="E353" s="130"/>
      <c r="F353" s="98"/>
      <c r="G353" s="142">
        <f>SUM(G131:G352)</f>
        <v>120898.64</v>
      </c>
      <c r="H353" s="135">
        <f>G353/$G$354</f>
        <v>0.14922738288848</v>
      </c>
      <c r="I353" s="27"/>
      <c r="J353" s="142">
        <f>SUM(J131:J352)</f>
        <v>972024.95</v>
      </c>
    </row>
    <row r="354" spans="1:14" customHeight="1" ht="14.3" s="12" customFormat="1">
      <c r="A354" s="2"/>
      <c r="B354" s="2"/>
      <c r="C354" s="129" t="s">
        <v>875</v>
      </c>
      <c r="D354" s="2"/>
      <c r="E354" s="130"/>
      <c r="F354" s="98"/>
      <c r="G354" s="27">
        <f>G130+G353</f>
        <v>810163.91</v>
      </c>
      <c r="H354" s="135">
        <f>G354/$G$354</f>
        <v>1</v>
      </c>
      <c r="I354" s="27"/>
      <c r="J354" s="27">
        <f>J130+J353</f>
        <v>6513715.17</v>
      </c>
    </row>
    <row r="355" spans="1:14" customHeight="1" ht="14.3" s="12" customFormat="1">
      <c r="A355" s="2"/>
      <c r="B355" s="2"/>
      <c r="C355" s="8" t="s">
        <v>876</v>
      </c>
      <c r="D355" s="2"/>
      <c r="E355" s="130"/>
      <c r="F355" s="98"/>
      <c r="G355" s="27">
        <f>G15+G66+G354</f>
        <v>890155.12</v>
      </c>
      <c r="H355" s="131"/>
      <c r="I355" s="27"/>
      <c r="J355" s="27">
        <f>J15+J66+J354</f>
        <v>9212056.82</v>
      </c>
    </row>
    <row r="356" spans="1:14" customHeight="1" ht="14.3" s="12" customFormat="1">
      <c r="A356" s="2"/>
      <c r="B356" s="2"/>
      <c r="C356" s="8" t="s">
        <v>877</v>
      </c>
      <c r="D356" s="138">
        <f>ROUND(G356/(G$17+$G$15),2)</f>
        <v>1.1</v>
      </c>
      <c r="E356" s="130"/>
      <c r="F356" s="98"/>
      <c r="G356" s="27">
        <v>55294</v>
      </c>
      <c r="H356" s="131"/>
      <c r="I356" s="27"/>
      <c r="J356" s="27">
        <f>ROUND(D356*(J15+J17),2)</f>
        <v>2558133.02</v>
      </c>
    </row>
    <row r="357" spans="1:14" customHeight="1" ht="14.3" s="12" customFormat="1">
      <c r="A357" s="2"/>
      <c r="B357" s="2"/>
      <c r="C357" s="8" t="s">
        <v>878</v>
      </c>
      <c r="D357" s="138">
        <f>ROUND(G357/(G$15+G$17),2)</f>
        <v>0.72</v>
      </c>
      <c r="E357" s="130"/>
      <c r="F357" s="98"/>
      <c r="G357" s="27">
        <v>36317</v>
      </c>
      <c r="H357" s="131"/>
      <c r="I357" s="27"/>
      <c r="J357" s="27">
        <f>ROUND(D357*(J15+J17),2)</f>
        <v>1674414.34</v>
      </c>
    </row>
    <row r="358" spans="1:14" customHeight="1" ht="14.3" s="12" customFormat="1">
      <c r="A358" s="2"/>
      <c r="B358" s="2"/>
      <c r="C358" s="8" t="s">
        <v>879</v>
      </c>
      <c r="D358" s="2"/>
      <c r="E358" s="130"/>
      <c r="F358" s="98"/>
      <c r="G358" s="27">
        <f>ROUND((G15+G66+G354+G356+G357),2)</f>
        <v>981766.12</v>
      </c>
      <c r="H358" s="131"/>
      <c r="I358" s="27"/>
      <c r="J358" s="27">
        <f>ROUND((J15+J66+J354+J356+J357),2)</f>
        <v>13444604.18</v>
      </c>
    </row>
    <row r="359" spans="1:14" customHeight="1" ht="14.3" s="12" customFormat="1">
      <c r="A359" s="2"/>
      <c r="B359" s="2"/>
      <c r="C359" s="8" t="s">
        <v>880</v>
      </c>
      <c r="D359" s="2"/>
      <c r="E359" s="130"/>
      <c r="F359" s="98"/>
      <c r="G359" s="27">
        <f>G358+G81</f>
        <v>2268099.9</v>
      </c>
      <c r="H359" s="131"/>
      <c r="I359" s="27"/>
      <c r="J359" s="27">
        <f>J358+J81</f>
        <v>21497053.82</v>
      </c>
    </row>
    <row r="360" spans="1:14" customHeight="1" ht="34.5" s="12" customFormat="1">
      <c r="A360" s="2"/>
      <c r="B360" s="2"/>
      <c r="C360" s="8" t="s">
        <v>847</v>
      </c>
      <c r="D360" s="2" t="s">
        <v>881</v>
      </c>
      <c r="E360" s="130">
        <v>1</v>
      </c>
      <c r="F360" s="98"/>
      <c r="G360" s="27">
        <f>G359/E360</f>
        <v>2268099.9</v>
      </c>
      <c r="H360" s="131"/>
      <c r="I360" s="27"/>
      <c r="J360" s="27">
        <f>J359/E360</f>
        <v>21497053.82</v>
      </c>
    </row>
    <row r="361" spans="1:14">
      <c r="A361" s="12"/>
      <c r="B361" s="12"/>
      <c r="C361" s="12"/>
      <c r="E361" s="12"/>
      <c r="I361" s="12"/>
    </row>
    <row r="362" spans="1:14" customHeight="1" ht="14.3" s="12" customFormat="1">
      <c r="A362" s="4" t="s">
        <v>882</v>
      </c>
      <c r="B362" s="12"/>
      <c r="C362" s="12"/>
      <c r="E362" s="12"/>
      <c r="I362" s="12"/>
    </row>
    <row r="363" spans="1:14" customHeight="1" ht="14.3" s="12" customFormat="1">
      <c r="A363" s="28" t="s">
        <v>77</v>
      </c>
      <c r="B363" s="12"/>
      <c r="C363" s="12"/>
      <c r="E363" s="12"/>
      <c r="I363" s="12"/>
    </row>
    <row r="364" spans="1:14" customHeight="1" ht="14.3" s="12" customFormat="1">
      <c r="A364" s="4"/>
      <c r="B364" s="12"/>
      <c r="C364" s="12"/>
      <c r="E364" s="12"/>
      <c r="I364" s="12"/>
    </row>
    <row r="365" spans="1:14" customHeight="1" ht="14.3" s="12" customFormat="1">
      <c r="A365" s="4" t="s">
        <v>883</v>
      </c>
      <c r="B365" s="12"/>
      <c r="C365" s="12"/>
      <c r="E365" s="12"/>
      <c r="I365" s="12"/>
    </row>
    <row r="366" spans="1:14" customHeight="1" ht="14.3" s="12" customFormat="1">
      <c r="A366" s="28" t="s">
        <v>79</v>
      </c>
      <c r="B366" s="12"/>
      <c r="C366" s="12"/>
      <c r="E366" s="12"/>
      <c r="I366" s="12"/>
    </row>
  </sheetData>
  <sheetProtection formatCells="0" formatColumns="0" formatRows="0" insertColumns="0" insertRows="0" insertHyperlinks="0" deleteColumns="0" deleteRows="0" sort="0" autoFilter="0" pivotTables="0"/>
  <mergeCells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  <mergeCell ref="B84:H84"/>
    <mergeCell ref="B13:H13"/>
    <mergeCell ref="B16:H16"/>
    <mergeCell ref="B18:H18"/>
    <mergeCell ref="B19:H19"/>
    <mergeCell ref="B68:H68"/>
    <mergeCell ref="B67:H67"/>
    <mergeCell ref="B83:H83"/>
  </mergeCells>
  <printOptions gridLines="false" gridLinesSet="true"/>
  <pageMargins left="0.62992125984252" right="0.23622047244094" top="0.74803149606299" bottom="0.74803149606299" header="0.31496062992126" footer="0.31496062992126"/>
  <pageSetup paperSize="9" orientation="portrait" scale="57" fitToHeight="0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view="pageBreakPreview" showGridLines="true" showRowColHeaders="1">
      <selection activeCell="G20" sqref="G20"/>
    </sheetView>
  </sheetViews>
  <sheetFormatPr defaultRowHeight="14.4" outlineLevelRow="0" outlineLevelCol="0"/>
  <cols>
    <col min="1" max="1" width="5.75" customWidth="true" style="0"/>
    <col min="2" max="2" width="17.625" customWidth="true" style="0"/>
    <col min="3" max="3" width="39.125" customWidth="true" style="0"/>
    <col min="4" max="4" width="10.75" customWidth="true" style="0"/>
    <col min="5" max="5" width="13.875" customWidth="true" style="0"/>
    <col min="6" max="6" width="13.25" customWidth="true" style="0"/>
    <col min="7" max="7" width="14.125" customWidth="true" style="0"/>
  </cols>
  <sheetData>
    <row r="1" spans="1:7">
      <c r="A1" s="301" t="s">
        <v>884</v>
      </c>
      <c r="B1" s="301"/>
      <c r="C1" s="301"/>
      <c r="D1" s="301"/>
      <c r="E1" s="301"/>
      <c r="F1" s="301"/>
      <c r="G1" s="301"/>
    </row>
    <row r="2" spans="1:7" customHeight="1" ht="21.75">
      <c r="A2" s="47"/>
      <c r="B2" s="47"/>
      <c r="C2" s="47"/>
      <c r="D2" s="47"/>
      <c r="E2" s="47"/>
      <c r="F2" s="47"/>
      <c r="G2" s="47"/>
    </row>
    <row r="3" spans="1:7">
      <c r="A3" s="246" t="s">
        <v>885</v>
      </c>
      <c r="B3" s="246"/>
      <c r="C3" s="246"/>
      <c r="D3" s="246"/>
      <c r="E3" s="246"/>
      <c r="F3" s="246"/>
      <c r="G3" s="246"/>
    </row>
    <row r="4" spans="1:7" customHeight="1" ht="25.5">
      <c r="A4" s="249" t="s">
        <v>812</v>
      </c>
      <c r="B4" s="249"/>
      <c r="C4" s="249"/>
      <c r="D4" s="249"/>
      <c r="E4" s="249"/>
      <c r="F4" s="249"/>
      <c r="G4" s="249"/>
    </row>
    <row r="5" spans="1:7">
      <c r="A5" s="4"/>
      <c r="B5" s="4"/>
      <c r="C5" s="4"/>
      <c r="D5" s="4"/>
      <c r="E5" s="4"/>
      <c r="F5" s="4"/>
      <c r="G5" s="4"/>
    </row>
    <row r="6" spans="1:7" customHeight="1" ht="30.25">
      <c r="A6" s="306" t="s">
        <v>13</v>
      </c>
      <c r="B6" s="306" t="s">
        <v>100</v>
      </c>
      <c r="C6" s="306" t="s">
        <v>813</v>
      </c>
      <c r="D6" s="306" t="s">
        <v>102</v>
      </c>
      <c r="E6" s="287" t="s">
        <v>856</v>
      </c>
      <c r="F6" s="306" t="s">
        <v>104</v>
      </c>
      <c r="G6" s="306"/>
    </row>
    <row r="7" spans="1:7">
      <c r="A7" s="306"/>
      <c r="B7" s="306"/>
      <c r="C7" s="306"/>
      <c r="D7" s="306"/>
      <c r="E7" s="299"/>
      <c r="F7" s="2" t="s">
        <v>859</v>
      </c>
      <c r="G7" s="2" t="s">
        <v>106</v>
      </c>
    </row>
    <row r="8" spans="1:7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customHeight="1" ht="14.95">
      <c r="A9" s="99"/>
      <c r="B9" s="302" t="s">
        <v>886</v>
      </c>
      <c r="C9" s="303"/>
      <c r="D9" s="303"/>
      <c r="E9" s="303"/>
      <c r="F9" s="303"/>
      <c r="G9" s="304"/>
    </row>
    <row r="10" spans="1:7" customHeight="1" ht="50.95">
      <c r="A10" s="2">
        <v>1</v>
      </c>
      <c r="B10" s="202" t="str">
        <f>'Прил.5 Расчет СМР и ОБ'!B69</f>
        <v>61.2.07.02-0046</v>
      </c>
      <c r="C10" s="8" t="str">
        <f>'Прил.5 Расчет СМР и ОБ'!C69</f>
        <v>Блок управления оборудованием насосной станции спринклерного, дренчерного, пенного пожаротушения или пожарного водопровода</v>
      </c>
      <c r="D10" s="2" t="str">
        <f>'Прил.5 Расчет СМР и ОБ'!D69</f>
        <v>шт.</v>
      </c>
      <c r="E10" s="133">
        <f>'Прил.5 Расчет СМР и ОБ'!E69</f>
        <v>135</v>
      </c>
      <c r="F10" s="42">
        <f>'Прил.5 Расчет СМР и ОБ'!F69</f>
        <v>6243.65</v>
      </c>
      <c r="G10" s="27">
        <f>ROUND(E10*F10,2)</f>
        <v>842892.75</v>
      </c>
    </row>
    <row r="11" spans="1:7">
      <c r="A11" s="2">
        <v>2</v>
      </c>
      <c r="B11" s="202" t="str">
        <f>'Прил.5 Расчет СМР и ОБ'!B70</f>
        <v>68.2.02.01-0001</v>
      </c>
      <c r="C11" s="8" t="str">
        <f>'Прил.5 Расчет СМР и ОБ'!C70</f>
        <v>Насос пожарный NB 80-250/234</v>
      </c>
      <c r="D11" s="2" t="str">
        <f>'Прил.5 Расчет СМР и ОБ'!D70</f>
        <v>1 компл</v>
      </c>
      <c r="E11" s="133">
        <f>'Прил.5 Расчет СМР и ОБ'!E70</f>
        <v>3</v>
      </c>
      <c r="F11" s="42">
        <f>'Прил.5 Расчет СМР и ОБ'!F70</f>
        <v>65947.2</v>
      </c>
      <c r="G11" s="27">
        <f>ROUND(E11*F11,2)</f>
        <v>197841.6</v>
      </c>
    </row>
    <row r="12" spans="1:7" customHeight="1" ht="63.7">
      <c r="A12" s="128">
        <v>3</v>
      </c>
      <c r="B12" s="203" t="str">
        <f>'Прил.5 Расчет СМР и ОБ'!B71</f>
        <v>62.1.02.10-0124</v>
      </c>
      <c r="C12" s="108" t="str">
        <f>'Прил.5 Расчет СМР и ОБ'!C71</f>
        <v>Шкаф ВРУ-3 Prisma Plus P "Schneider Electric" IP30, IK08, размером (с цоколем 100 мм) 2107х706х650 мм, с установленной и скоммутированной аппаратурой ввода-вывода (16 автоматов)</v>
      </c>
      <c r="D12" s="128" t="str">
        <f>'Прил.5 Расчет СМР и ОБ'!D71</f>
        <v>1 компл</v>
      </c>
      <c r="E12" s="201">
        <f>'Прил.5 Расчет СМР и ОБ'!E71</f>
        <v>1</v>
      </c>
      <c r="F12" s="204">
        <f>'Прил.5 Расчет СМР и ОБ'!F71</f>
        <v>123565.74</v>
      </c>
      <c r="G12" s="204">
        <f>ROUND(E12*F12,2)</f>
        <v>123565.74</v>
      </c>
    </row>
    <row r="13" spans="1:7" customHeight="1" ht="38.25">
      <c r="A13" s="2">
        <v>4</v>
      </c>
      <c r="B13" s="202" t="str">
        <f>'Прил.5 Расчет СМР и ОБ'!B73</f>
        <v>61.2.03.01-1006</v>
      </c>
      <c r="C13" s="8" t="str">
        <f>'Прил.5 Расчет СМР и ОБ'!C73</f>
        <v>Модуль газового пожаротушения, вместимость 100 л., диаметр прохода 16 мм.</v>
      </c>
      <c r="D13" s="2" t="str">
        <f>'Прил.5 Расчет СМР и ОБ'!D73</f>
        <v>шт.</v>
      </c>
      <c r="E13" s="171">
        <f>'Прил.5 Расчет СМР и ОБ'!E73</f>
        <v>6</v>
      </c>
      <c r="F13" s="98">
        <f>'Прил.5 Расчет СМР и ОБ'!F73</f>
        <v>13334.64</v>
      </c>
      <c r="G13" s="42">
        <f>ROUND(E13*F13,2)</f>
        <v>80007.84</v>
      </c>
    </row>
    <row r="14" spans="1:7" customHeight="1" ht="38.25">
      <c r="A14" s="2">
        <v>5</v>
      </c>
      <c r="B14" s="202" t="str">
        <f>'Прил.5 Расчет СМР и ОБ'!B74</f>
        <v>Прайс из СД ОП</v>
      </c>
      <c r="C14" s="8" t="str">
        <f>'Прил.5 Расчет СМР и ОБ'!C74</f>
        <v>Светильник светодиодный мощностью 60Вт L-industry48; Ц=14100/1,18/3,55=3365,95</v>
      </c>
      <c r="D14" s="2" t="str">
        <f>'Прил.5 Расчет СМР и ОБ'!D74</f>
        <v>шт.</v>
      </c>
      <c r="E14" s="2">
        <f>'Прил.5 Расчет СМР и ОБ'!E74</f>
        <v>6</v>
      </c>
      <c r="F14" s="42">
        <f>'Прил.5 Расчет СМР и ОБ'!F74</f>
        <v>3365.95</v>
      </c>
      <c r="G14" s="42">
        <f>ROUND(E14*F14,2)</f>
        <v>20195.7</v>
      </c>
    </row>
    <row r="15" spans="1:7">
      <c r="A15" s="2">
        <v>6</v>
      </c>
      <c r="B15" s="8" t="str">
        <f>'Прил.5 Расчет СМР и ОБ'!B75</f>
        <v>Прайс из СД ОП</v>
      </c>
      <c r="C15" s="8" t="str">
        <f>'Прил.5 Расчет СМР и ОБ'!C75</f>
        <v>Насос-жокей CR 15-6</v>
      </c>
      <c r="D15" s="2" t="str">
        <f>'Прил.5 Расчет СМР и ОБ'!D75</f>
        <v>шт.</v>
      </c>
      <c r="E15" s="171">
        <f>'Прил.5 Расчет СМР и ОБ'!E75</f>
        <v>1</v>
      </c>
      <c r="F15" s="42">
        <f>'Прил.5 Расчет СМР и ОБ'!F75</f>
        <v>13671.52</v>
      </c>
      <c r="G15" s="42">
        <f>ROUND(E15*F15,2)</f>
        <v>13671.52</v>
      </c>
    </row>
    <row r="16" spans="1:7" customHeight="1" ht="25.5">
      <c r="A16" s="2">
        <v>7</v>
      </c>
      <c r="B16" s="202" t="str">
        <f>'Прил.5 Расчет СМР и ОБ'!B76</f>
        <v>Прайс из СД ОП</v>
      </c>
      <c r="C16" s="8" t="str">
        <f>'Прил.5 Расчет СМР и ОБ'!C76</f>
        <v>Насос погружной для скважины Grundfos SQ 2-55</v>
      </c>
      <c r="D16" s="2" t="str">
        <f>'Прил.5 Расчет СМР и ОБ'!D76</f>
        <v>шт.</v>
      </c>
      <c r="E16" s="171">
        <f>'Прил.5 Расчет СМР и ОБ'!E76</f>
        <v>1</v>
      </c>
      <c r="F16" s="42">
        <f>'Прил.5 Расчет СМР и ОБ'!F76</f>
        <v>5609.93</v>
      </c>
      <c r="G16" s="42">
        <f>ROUND(E16*F16,2)</f>
        <v>5609.93</v>
      </c>
    </row>
    <row r="17" spans="1:7">
      <c r="A17" s="2">
        <v>8</v>
      </c>
      <c r="B17" s="202" t="str">
        <f>'Прил.5 Расчет СМР и ОБ'!B77</f>
        <v>Прайс из СД ОП</v>
      </c>
      <c r="C17" s="8" t="str">
        <f>'Прил.5 Расчет СМР и ОБ'!C77</f>
        <v>Щитовое оборудование (шкафы)</v>
      </c>
      <c r="D17" s="2" t="str">
        <f>'Прил.5 Расчет СМР и ОБ'!D77</f>
        <v>шт.</v>
      </c>
      <c r="E17" s="171">
        <f>'Прил.5 Расчет СМР и ОБ'!E77</f>
        <v>2</v>
      </c>
      <c r="F17" s="42">
        <f>'Прил.5 Расчет СМР и ОБ'!F77</f>
        <v>822.3</v>
      </c>
      <c r="G17" s="42">
        <f>ROUND(E17*F17,2)</f>
        <v>1644.6</v>
      </c>
    </row>
    <row r="18" spans="1:7" customHeight="1" ht="38.25">
      <c r="A18" s="2">
        <v>9</v>
      </c>
      <c r="B18" s="202" t="str">
        <f>'Прил.5 Расчет СМР и ОБ'!B78</f>
        <v>Прайс из СД ОП</v>
      </c>
      <c r="C18" s="8" t="str">
        <f>'Прил.5 Расчет СМР и ОБ'!C78</f>
        <v>ШПК-320Н  закр. тип, цвет красн./бел., габариты 540х1300х230. цена 3455,75/1,18/3,55=824,95</v>
      </c>
      <c r="D18" s="2" t="str">
        <f>'Прил.5 Расчет СМР и ОБ'!D78</f>
        <v>шт.</v>
      </c>
      <c r="E18" s="2">
        <f>'Прил.5 Расчет СМР и ОБ'!E78</f>
        <v>1</v>
      </c>
      <c r="F18" s="42">
        <f>'Прил.5 Расчет СМР и ОБ'!F78</f>
        <v>824.95</v>
      </c>
      <c r="G18" s="42">
        <f>ROUND(E18*F18,2)</f>
        <v>824.95</v>
      </c>
    </row>
    <row r="19" spans="1:7" customHeight="1" ht="25.5">
      <c r="A19" s="2">
        <v>10</v>
      </c>
      <c r="B19" s="202" t="str">
        <f>'Прил.5 Расчет СМР и ОБ'!B79</f>
        <v>Прайс из СД ОП</v>
      </c>
      <c r="C19" s="8" t="str">
        <f>'Прил.5 Расчет СМР и ОБ'!C79</f>
        <v>Светильник ручной РВО-42 40Вт; Ц=281/3,55=79,15</v>
      </c>
      <c r="D19" s="2" t="str">
        <f>'Прил.5 Расчет СМР и ОБ'!D79</f>
        <v>шт.</v>
      </c>
      <c r="E19" s="2">
        <f>'Прил.5 Расчет СМР и ОБ'!E79</f>
        <v>1</v>
      </c>
      <c r="F19" s="42">
        <f>'Прил.5 Расчет СМР и ОБ'!F79</f>
        <v>79.15</v>
      </c>
      <c r="G19" s="42">
        <f>ROUND(E19*F19,2)</f>
        <v>79.15</v>
      </c>
    </row>
    <row r="20" spans="1:7" customHeight="1" ht="27">
      <c r="A20" s="179"/>
      <c r="B20" s="205"/>
      <c r="C20" s="190" t="s">
        <v>887</v>
      </c>
      <c r="D20" s="205"/>
      <c r="E20" s="206"/>
      <c r="F20" s="199"/>
      <c r="G20" s="142">
        <f>SUM(G10:G19)</f>
        <v>1286333.78</v>
      </c>
    </row>
    <row r="21" spans="1:7">
      <c r="A21" s="2"/>
      <c r="B21" s="279" t="s">
        <v>888</v>
      </c>
      <c r="C21" s="279"/>
      <c r="D21" s="279"/>
      <c r="E21" s="305"/>
      <c r="F21" s="282"/>
      <c r="G21" s="282"/>
    </row>
    <row r="22" spans="1:7" customHeight="1" ht="25.5">
      <c r="A22" s="2"/>
      <c r="B22" s="8"/>
      <c r="C22" s="8" t="s">
        <v>889</v>
      </c>
      <c r="D22" s="8"/>
      <c r="E22" s="42"/>
      <c r="F22" s="98"/>
      <c r="G22" s="27">
        <f>SUM(0)</f>
        <v>0</v>
      </c>
    </row>
    <row r="23" spans="1:7" customHeight="1" ht="19.55">
      <c r="A23" s="2"/>
      <c r="B23" s="8"/>
      <c r="C23" s="8" t="s">
        <v>890</v>
      </c>
      <c r="D23" s="8"/>
      <c r="E23" s="42"/>
      <c r="F23" s="98"/>
      <c r="G23" s="27">
        <f>G20+G22</f>
        <v>1286333.78</v>
      </c>
    </row>
    <row r="24" spans="1:7">
      <c r="A24" s="25"/>
      <c r="B24" s="100"/>
      <c r="C24" s="25"/>
      <c r="D24" s="25"/>
      <c r="E24" s="25"/>
      <c r="F24" s="25"/>
      <c r="G24" s="25"/>
    </row>
    <row r="25" spans="1:7">
      <c r="A25" s="4" t="s">
        <v>891</v>
      </c>
      <c r="B25" s="12"/>
      <c r="C25" s="12"/>
      <c r="D25" s="25"/>
      <c r="E25" s="25"/>
      <c r="F25" s="25"/>
      <c r="G25" s="25"/>
    </row>
    <row r="26" spans="1:7">
      <c r="A26" s="28" t="s">
        <v>77</v>
      </c>
      <c r="B26" s="12"/>
      <c r="C26" s="12"/>
      <c r="D26" s="25"/>
      <c r="E26" s="25"/>
      <c r="F26" s="25"/>
      <c r="G26" s="25"/>
    </row>
    <row r="27" spans="1:7">
      <c r="A27" s="4"/>
      <c r="B27" s="12"/>
      <c r="C27" s="12"/>
      <c r="D27" s="25"/>
      <c r="E27" s="25"/>
      <c r="F27" s="25"/>
      <c r="G27" s="25"/>
    </row>
    <row r="28" spans="1:7">
      <c r="A28" s="4" t="s">
        <v>883</v>
      </c>
      <c r="B28" s="12"/>
      <c r="C28" s="12"/>
      <c r="D28" s="25"/>
      <c r="E28" s="25"/>
      <c r="F28" s="25"/>
      <c r="G28" s="25"/>
    </row>
    <row r="29" spans="1:7">
      <c r="A29" s="28" t="s">
        <v>79</v>
      </c>
      <c r="B29" s="12"/>
      <c r="C29" s="12"/>
      <c r="D29" s="25"/>
      <c r="E29" s="25"/>
      <c r="F29" s="25"/>
      <c r="G29" s="25"/>
    </row>
  </sheetData>
  <mergeCells>
    <mergeCell ref="A1:G1"/>
    <mergeCell ref="A3:G3"/>
    <mergeCell ref="A4:G4"/>
    <mergeCell ref="B9:G9"/>
    <mergeCell ref="B21:G21"/>
    <mergeCell ref="A6:A7"/>
    <mergeCell ref="B6:B7"/>
    <mergeCell ref="C6:C7"/>
    <mergeCell ref="D6:D7"/>
    <mergeCell ref="E6:E7"/>
    <mergeCell ref="F6:G6"/>
  </mergeCells>
  <printOptions gridLines="false" gridLinesSet="true"/>
  <pageMargins left="0.7" right="0.7" top="0.75" bottom="0.75" header="0.3" footer="0.3"/>
  <pageSetup paperSize="9" orientation="portrait" scale="76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User4</cp:lastModifiedBy>
  <dcterms:created xsi:type="dcterms:W3CDTF">2020-09-30T08:50:27+00:00</dcterms:created>
  <dcterms:modified xsi:type="dcterms:W3CDTF">2023-10-11T10:14:19+00:00</dcterms:modified>
  <dc:title/>
  <dc:description/>
  <dc:subject/>
  <cp:keywords/>
  <cp:category/>
</cp:coreProperties>
</file>